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20" yWindow="1500" windowWidth="8592" windowHeight="2736" tabRatio="597"/>
  </bookViews>
  <sheets>
    <sheet name="CRF" sheetId="55" r:id="rId1"/>
    <sheet name="01-gen gov" sheetId="1" r:id="rId2"/>
    <sheet name="02-assessing" sheetId="2" r:id="rId3"/>
    <sheet name="03-fire" sheetId="3" r:id="rId4"/>
    <sheet name="04-police" sheetId="4" r:id="rId5"/>
    <sheet name="05-comm" sheetId="5" r:id="rId6"/>
    <sheet name="06-code enforcement" sheetId="53" r:id="rId7"/>
    <sheet name="07-pub works" sheetId="6" r:id="rId8"/>
    <sheet name="08-highway" sheetId="7" r:id="rId9"/>
    <sheet name="09-solid waste" sheetId="8" r:id="rId10"/>
    <sheet name="13-parks &amp; rec" sheetId="11" r:id="rId11"/>
    <sheet name="15-library" sheetId="12" r:id="rId12"/>
    <sheet name="16-equip mntc" sheetId="13" r:id="rId13"/>
    <sheet name="17-bldg &amp; grounds" sheetId="14" r:id="rId14"/>
    <sheet name="21-comm dev" sheetId="15" r:id="rId15"/>
    <sheet name="24-tax coll" sheetId="16" r:id="rId16"/>
    <sheet name="25-welfare" sheetId="17" r:id="rId17"/>
    <sheet name="27-debt svc" sheetId="18" r:id="rId18"/>
    <sheet name="10-wastewater" sheetId="9" r:id="rId19"/>
    <sheet name="32-Media" sheetId="37" r:id="rId20"/>
    <sheet name="33-Fire Protection -other" sheetId="36" r:id="rId21"/>
    <sheet name="42- capital Projects fund" sheetId="61" r:id="rId22"/>
    <sheet name="-other SPECIAL REVENUE FUNDING" sheetId="50" r:id="rId23"/>
    <sheet name="Revolving Fund" sheetId="60" r:id="rId24"/>
  </sheets>
  <externalReferences>
    <externalReference r:id="rId25"/>
    <externalReference r:id="rId26"/>
    <externalReference r:id="rId27"/>
    <externalReference r:id="rId28"/>
  </externalReferences>
  <definedNames>
    <definedName name="_bos38" localSheetId="21">'15-library'!#REF!</definedName>
    <definedName name="_bos38" localSheetId="0">'[1]15-library'!#REF!</definedName>
    <definedName name="_bos38" localSheetId="23">'15-library'!#REF!</definedName>
    <definedName name="_bos38">'15-library'!#REF!</definedName>
    <definedName name="_mgr38" localSheetId="21">'15-library'!#REF!</definedName>
    <definedName name="_mgr38" localSheetId="0">'[1]15-library'!#REF!</definedName>
    <definedName name="_mgr38" localSheetId="23">'15-library'!#REF!</definedName>
    <definedName name="_mgr38">'15-library'!#REF!</definedName>
    <definedName name="_Order1" hidden="1">255</definedName>
    <definedName name="_Order2" hidden="1">255</definedName>
    <definedName name="aaa" localSheetId="21">'[2]15-library'!#REF!</definedName>
    <definedName name="aaa" localSheetId="23">'[2]15-library'!#REF!</definedName>
    <definedName name="aaa">'[2]15-library'!#REF!</definedName>
    <definedName name="actual" localSheetId="21">'15-library'!#REF!</definedName>
    <definedName name="actual" localSheetId="0">'[1]15-library'!#REF!</definedName>
    <definedName name="actual" localSheetId="23">'15-library'!#REF!</definedName>
    <definedName name="actual">'15-library'!#REF!</definedName>
    <definedName name="actual38" localSheetId="21">'15-library'!#REF!</definedName>
    <definedName name="actual38" localSheetId="0">'[1]15-library'!#REF!</definedName>
    <definedName name="actual38" localSheetId="23">'15-library'!#REF!</definedName>
    <definedName name="actual38">'15-library'!#REF!</definedName>
    <definedName name="bbb" localSheetId="21">'[2]15-library'!#REF!</definedName>
    <definedName name="bbb" localSheetId="23">'[2]15-library'!#REF!</definedName>
    <definedName name="bbb">'[2]15-library'!#REF!</definedName>
    <definedName name="bos" localSheetId="21">'15-library'!#REF!</definedName>
    <definedName name="bos" localSheetId="0">'[1]15-library'!#REF!</definedName>
    <definedName name="bos" localSheetId="23">'15-library'!#REF!</definedName>
    <definedName name="bos">'15-library'!#REF!</definedName>
    <definedName name="budcom" localSheetId="21">'15-library'!#REF!</definedName>
    <definedName name="budcom" localSheetId="0">'[1]15-library'!#REF!</definedName>
    <definedName name="budcom" localSheetId="23">'15-library'!#REF!</definedName>
    <definedName name="budcom">'15-library'!#REF!</definedName>
    <definedName name="budget" localSheetId="21">'15-library'!#REF!</definedName>
    <definedName name="budget" localSheetId="0">'[1]15-library'!#REF!</definedName>
    <definedName name="budget" localSheetId="23">'15-library'!#REF!</definedName>
    <definedName name="budget">'15-library'!#REF!</definedName>
    <definedName name="budget38" localSheetId="21">'15-library'!#REF!</definedName>
    <definedName name="budget38" localSheetId="0">'[1]15-library'!#REF!</definedName>
    <definedName name="budget38" localSheetId="23">'15-library'!#REF!</definedName>
    <definedName name="budget38">'15-library'!#REF!</definedName>
    <definedName name="ccc" localSheetId="21">'[2]15-library'!#REF!</definedName>
    <definedName name="ccc" localSheetId="23">'[2]15-library'!#REF!</definedName>
    <definedName name="ccc">'[2]15-library'!#REF!</definedName>
    <definedName name="ddd" localSheetId="21">'[2]15-library'!#REF!</definedName>
    <definedName name="ddd" localSheetId="23">'[2]15-library'!#REF!</definedName>
    <definedName name="ddd">'[2]15-library'!#REF!</definedName>
    <definedName name="dept" localSheetId="21">'15-library'!#REF!</definedName>
    <definedName name="dept" localSheetId="0">'[1]15-library'!#REF!</definedName>
    <definedName name="dept" localSheetId="23">'15-library'!#REF!</definedName>
    <definedName name="dept">'15-library'!#REF!</definedName>
    <definedName name="dept22" localSheetId="21">'15-library'!#REF!</definedName>
    <definedName name="dept22">'15-library'!#REF!</definedName>
    <definedName name="dept38" localSheetId="21">'15-library'!#REF!</definedName>
    <definedName name="dept38" localSheetId="0">'[1]15-library'!#REF!</definedName>
    <definedName name="dept38" localSheetId="23">'15-library'!#REF!</definedName>
    <definedName name="dept38">'15-library'!#REF!</definedName>
    <definedName name="eee" localSheetId="21">'[2]15-library'!#REF!</definedName>
    <definedName name="eee" localSheetId="23">'[2]15-library'!#REF!</definedName>
    <definedName name="eee">'[2]15-library'!#REF!</definedName>
    <definedName name="fff" localSheetId="21">'[2]15-library'!#REF!</definedName>
    <definedName name="fff" localSheetId="23">'[2]15-library'!#REF!</definedName>
    <definedName name="fff">'[2]15-library'!#REF!</definedName>
    <definedName name="ggg" localSheetId="21">'[2]15-library'!#REF!</definedName>
    <definedName name="ggg" localSheetId="23">'[2]15-library'!#REF!</definedName>
    <definedName name="ggg">'[2]15-library'!#REF!</definedName>
    <definedName name="help" localSheetId="21">'[3]15-library'!#REF!</definedName>
    <definedName name="help" localSheetId="23">'[3]15-library'!#REF!</definedName>
    <definedName name="help">'[3]15-library'!#REF!</definedName>
    <definedName name="hhh" localSheetId="21">'[2]15-library'!#REF!</definedName>
    <definedName name="hhh" localSheetId="23">'[2]15-library'!#REF!</definedName>
    <definedName name="hhh">'[2]15-library'!#REF!</definedName>
    <definedName name="iii" localSheetId="21">'[2]15-library'!#REF!</definedName>
    <definedName name="iii" localSheetId="23">'[2]15-library'!#REF!</definedName>
    <definedName name="iii">'[2]15-library'!#REF!</definedName>
    <definedName name="jjj" localSheetId="21">'[2]15-library'!#REF!</definedName>
    <definedName name="jjj" localSheetId="23">'[2]15-library'!#REF!</definedName>
    <definedName name="jjj">'[2]15-library'!#REF!</definedName>
    <definedName name="meet" localSheetId="21">'[4]15-library'!#REF!</definedName>
    <definedName name="meet" localSheetId="23">'[4]15-library'!#REF!</definedName>
    <definedName name="meet">'[4]15-library'!#REF!</definedName>
    <definedName name="meeting" localSheetId="21">'15-library'!#REF!</definedName>
    <definedName name="meeting" localSheetId="0">'[1]15-library'!#REF!</definedName>
    <definedName name="meeting" localSheetId="23">'15-library'!#REF!</definedName>
    <definedName name="meeting">'15-library'!#REF!</definedName>
    <definedName name="mgr" localSheetId="21">'15-library'!#REF!</definedName>
    <definedName name="mgr" localSheetId="0">'[1]15-library'!#REF!</definedName>
    <definedName name="mgr" localSheetId="23">'15-library'!#REF!</definedName>
    <definedName name="mgr">'15-library'!#REF!</definedName>
    <definedName name="ooop" localSheetId="21">'[3]15-library'!#REF!</definedName>
    <definedName name="ooop" localSheetId="23">'[3]15-library'!#REF!</definedName>
    <definedName name="ooop">'[3]15-library'!#REF!</definedName>
    <definedName name="ooou" localSheetId="21">'[3]15-library'!#REF!</definedName>
    <definedName name="ooou" localSheetId="23">'[3]15-library'!#REF!</definedName>
    <definedName name="ooou">'[3]15-library'!#REF!</definedName>
    <definedName name="_xlnm.Print_Area" localSheetId="1">'01-gen gov'!$A$1:$J$277</definedName>
    <definedName name="_xlnm.Print_Area" localSheetId="2">'02-assessing'!$A$1:$J$122</definedName>
    <definedName name="_xlnm.Print_Area" localSheetId="3">'03-fire'!$A$1:$J$520</definedName>
    <definedName name="_xlnm.Print_Area" localSheetId="4">'04-police'!$A$1:$J$307</definedName>
    <definedName name="_xlnm.Print_Area" localSheetId="5">'05-comm'!$A$1:$J$144</definedName>
    <definedName name="_xlnm.Print_Area" localSheetId="6">'06-code enforcement'!$A$1:$J$174</definedName>
    <definedName name="_xlnm.Print_Area" localSheetId="7">'07-pub works'!$A$1:$J$120</definedName>
    <definedName name="_xlnm.Print_Area" localSheetId="8">'08-highway'!$A$1:$J$349</definedName>
    <definedName name="_xlnm.Print_Area" localSheetId="9">'09-solid waste'!$A$1:$J$219</definedName>
    <definedName name="_xlnm.Print_Area" localSheetId="18">'10-wastewater'!$A$1:$J$329</definedName>
    <definedName name="_xlnm.Print_Area" localSheetId="10">'13-parks &amp; rec'!$A$1:$J$263</definedName>
    <definedName name="_xlnm.Print_Area" localSheetId="11">'15-library'!$A$1:$J$253</definedName>
    <definedName name="_xlnm.Print_Area" localSheetId="12">'16-equip mntc'!$A$1:$J$134</definedName>
    <definedName name="_xlnm.Print_Area" localSheetId="13">'17-bldg &amp; grounds'!$A$1:$J$144</definedName>
    <definedName name="_xlnm.Print_Area" localSheetId="14">'21-comm dev'!$A$1:$J$162</definedName>
    <definedName name="_xlnm.Print_Area" localSheetId="15">'24-tax coll'!$A$1:$J$146</definedName>
    <definedName name="_xlnm.Print_Area" localSheetId="16">'25-welfare'!$A$1:$K$97</definedName>
    <definedName name="_xlnm.Print_Area" localSheetId="17">'27-debt svc'!$A$1:$G$65</definedName>
    <definedName name="_xlnm.Print_Area" localSheetId="19">'32-Media'!$A$1:$J$105</definedName>
    <definedName name="_xlnm.Print_Area" localSheetId="20">'33-Fire Protection -other'!$A$1:$J$18</definedName>
    <definedName name="_xlnm.Print_Area" localSheetId="21">'42- capital Projects fund'!$A$1:$J$18</definedName>
    <definedName name="_xlnm.Print_Area" localSheetId="0">CRF!$A$1:$Y$36</definedName>
    <definedName name="_xlnm.Print_Area" localSheetId="22">'-other SPECIAL REVENUE FUNDING'!$A$1:$K$19</definedName>
    <definedName name="_xlnm.Print_Area" localSheetId="23">'Revolving Fund'!$A$1:$K$145</definedName>
    <definedName name="_xlnm.Print_Titles" localSheetId="1">'01-gen gov'!$1:$5</definedName>
    <definedName name="_xlnm.Print_Titles" localSheetId="2">'02-assessing'!$1:$5</definedName>
    <definedName name="_xlnm.Print_Titles" localSheetId="3">'03-fire'!$1:$5</definedName>
    <definedName name="_xlnm.Print_Titles" localSheetId="4">'04-police'!$1:$5</definedName>
    <definedName name="_xlnm.Print_Titles" localSheetId="5">'05-comm'!$1:$5</definedName>
    <definedName name="_xlnm.Print_Titles" localSheetId="6">'06-code enforcement'!$1:$5</definedName>
    <definedName name="_xlnm.Print_Titles" localSheetId="7">'07-pub works'!$1:$5</definedName>
    <definedName name="_xlnm.Print_Titles" localSheetId="8">'08-highway'!$1:$5</definedName>
    <definedName name="_xlnm.Print_Titles" localSheetId="9">'09-solid waste'!$1:$5</definedName>
    <definedName name="_xlnm.Print_Titles" localSheetId="18">'10-wastewater'!$1:$5</definedName>
    <definedName name="_xlnm.Print_Titles" localSheetId="10">'13-parks &amp; rec'!$1:$5</definedName>
    <definedName name="_xlnm.Print_Titles" localSheetId="11">'15-library'!$1:$5</definedName>
    <definedName name="_xlnm.Print_Titles" localSheetId="12">'16-equip mntc'!$1:$5</definedName>
    <definedName name="_xlnm.Print_Titles" localSheetId="13">'17-bldg &amp; grounds'!$1:$5</definedName>
    <definedName name="_xlnm.Print_Titles" localSheetId="14">'21-comm dev'!$1:$5</definedName>
    <definedName name="_xlnm.Print_Titles" localSheetId="15">'24-tax coll'!$1:$5</definedName>
    <definedName name="_xlnm.Print_Titles" localSheetId="16">'25-welfare'!$1:$5</definedName>
    <definedName name="_xlnm.Print_Titles" localSheetId="19">'32-Media'!$1:$5</definedName>
    <definedName name="_xlnm.Print_Titles" localSheetId="20">'33-Fire Protection -other'!$1:$4</definedName>
    <definedName name="_xlnm.Print_Titles" localSheetId="21">'42- capital Projects fund'!$1:$4</definedName>
    <definedName name="_xlnm.Print_Titles" localSheetId="22">'-other SPECIAL REVENUE FUNDING'!$1:$6</definedName>
    <definedName name="_xlnm.Print_Titles" localSheetId="23">'Revolving Fund'!$1:$7</definedName>
    <definedName name="pwq" localSheetId="21">'[3]15-library'!#REF!</definedName>
    <definedName name="pwq" localSheetId="23">'[3]15-library'!#REF!</definedName>
    <definedName name="pwq">'[3]15-library'!#REF!</definedName>
    <definedName name="revenue2" localSheetId="21">'15-library'!#REF!</definedName>
    <definedName name="revenue2">'15-library'!#REF!</definedName>
    <definedName name="rtl" localSheetId="21">'[3]15-library'!#REF!</definedName>
    <definedName name="rtl" localSheetId="23">'[3]15-library'!#REF!</definedName>
    <definedName name="rtl">'[3]15-library'!#REF!</definedName>
    <definedName name="ssg" localSheetId="21">'[3]15-library'!#REF!</definedName>
    <definedName name="ssg" localSheetId="23">'[3]15-library'!#REF!</definedName>
    <definedName name="ssg">'[3]15-library'!#REF!</definedName>
    <definedName name="voted" localSheetId="21">'15-library'!#REF!</definedName>
    <definedName name="voted" localSheetId="0">'[1]15-library'!#REF!</definedName>
    <definedName name="voted" localSheetId="23">'15-library'!#REF!</definedName>
    <definedName name="voted">'15-library'!#REF!</definedName>
    <definedName name="www" localSheetId="21">'[3]15-library'!#REF!</definedName>
    <definedName name="www" localSheetId="23">'[3]15-library'!#REF!</definedName>
    <definedName name="www">'[3]15-library'!#REF!</definedName>
  </definedNames>
  <calcPr calcId="145621"/>
</workbook>
</file>

<file path=xl/calcChain.xml><?xml version="1.0" encoding="utf-8"?>
<calcChain xmlns="http://schemas.openxmlformats.org/spreadsheetml/2006/main">
  <c r="G28" i="18" l="1"/>
  <c r="G29" i="18"/>
  <c r="G27" i="18"/>
  <c r="G25" i="18"/>
  <c r="J19" i="50" s="1"/>
  <c r="D59" i="9"/>
  <c r="D58" i="9"/>
  <c r="D57" i="9"/>
  <c r="D56" i="9"/>
  <c r="D54" i="9"/>
  <c r="L22" i="15"/>
  <c r="L21" i="15"/>
  <c r="L20" i="15"/>
  <c r="L19" i="15"/>
  <c r="L18" i="15"/>
  <c r="L17" i="15"/>
  <c r="L16" i="15"/>
  <c r="L15" i="15"/>
  <c r="L14" i="15"/>
  <c r="L13" i="15"/>
  <c r="L12" i="15"/>
  <c r="L11" i="15"/>
  <c r="L10" i="15"/>
  <c r="L9" i="15"/>
  <c r="L8" i="15"/>
  <c r="L7" i="15"/>
  <c r="D63" i="7"/>
  <c r="D62" i="7"/>
  <c r="D61" i="7"/>
  <c r="D60" i="7"/>
  <c r="D59" i="7"/>
  <c r="D58" i="7"/>
  <c r="D95" i="4" l="1"/>
  <c r="D193" i="4"/>
  <c r="J17" i="61" l="1"/>
  <c r="J18" i="61" s="1"/>
  <c r="H18" i="61"/>
  <c r="E18" i="61"/>
  <c r="I16" i="61"/>
  <c r="I18" i="61" s="1"/>
  <c r="H16" i="61"/>
  <c r="G16" i="61"/>
  <c r="G18" i="61" s="1"/>
  <c r="F16" i="61"/>
  <c r="F18" i="61" s="1"/>
  <c r="E16" i="61"/>
  <c r="J12" i="61"/>
  <c r="I12" i="61"/>
  <c r="H12" i="61"/>
  <c r="G12" i="61"/>
  <c r="F12" i="61"/>
  <c r="E12" i="61"/>
  <c r="K145" i="60"/>
  <c r="J145" i="60"/>
  <c r="J16" i="36"/>
  <c r="J18" i="36" s="1"/>
  <c r="J12" i="36"/>
  <c r="J104" i="37"/>
  <c r="J103" i="37"/>
  <c r="J102" i="37"/>
  <c r="J105" i="37" s="1"/>
  <c r="J100" i="37"/>
  <c r="J328" i="9"/>
  <c r="J327" i="9"/>
  <c r="J326" i="9"/>
  <c r="J329" i="9" s="1"/>
  <c r="J332" i="9" s="1"/>
  <c r="J338" i="9" s="1"/>
  <c r="J324" i="9"/>
  <c r="G65" i="18"/>
  <c r="G22" i="18"/>
  <c r="K96" i="17"/>
  <c r="K95" i="17"/>
  <c r="K94" i="17"/>
  <c r="K92" i="17"/>
  <c r="J145" i="16"/>
  <c r="J144" i="16"/>
  <c r="J143" i="16"/>
  <c r="J141" i="16"/>
  <c r="J161" i="15"/>
  <c r="J160" i="15"/>
  <c r="J159" i="15"/>
  <c r="J155" i="15"/>
  <c r="J143" i="14"/>
  <c r="J142" i="14"/>
  <c r="J141" i="14"/>
  <c r="J139" i="14"/>
  <c r="J133" i="13"/>
  <c r="J132" i="13"/>
  <c r="J134" i="13" s="1"/>
  <c r="J131" i="13"/>
  <c r="J128" i="13"/>
  <c r="J252" i="12"/>
  <c r="J251" i="12"/>
  <c r="J253" i="12" s="1"/>
  <c r="J250" i="12"/>
  <c r="J248" i="12"/>
  <c r="J242" i="12"/>
  <c r="J247" i="12" s="1"/>
  <c r="J262" i="11"/>
  <c r="J261" i="11"/>
  <c r="J260" i="11"/>
  <c r="J258" i="11"/>
  <c r="J218" i="8"/>
  <c r="J217" i="8"/>
  <c r="J216" i="8"/>
  <c r="J219" i="8" s="1"/>
  <c r="J213" i="8"/>
  <c r="J348" i="7"/>
  <c r="J347" i="7"/>
  <c r="J346" i="7"/>
  <c r="J344" i="7"/>
  <c r="J119" i="6"/>
  <c r="J118" i="6"/>
  <c r="J117" i="6"/>
  <c r="J115" i="6"/>
  <c r="J172" i="53"/>
  <c r="J171" i="53"/>
  <c r="J170" i="53"/>
  <c r="J168" i="53"/>
  <c r="J143" i="5"/>
  <c r="J144" i="5" s="1"/>
  <c r="J142" i="5"/>
  <c r="J141" i="5"/>
  <c r="J139" i="5"/>
  <c r="J306" i="4"/>
  <c r="J305" i="4"/>
  <c r="J304" i="4"/>
  <c r="J302" i="4"/>
  <c r="J518" i="3"/>
  <c r="J517" i="3"/>
  <c r="J516" i="3"/>
  <c r="J519" i="3" s="1"/>
  <c r="J523" i="3" s="1"/>
  <c r="J514" i="3"/>
  <c r="J121" i="2"/>
  <c r="J120" i="2"/>
  <c r="J119" i="2"/>
  <c r="J117" i="2"/>
  <c r="J276" i="1"/>
  <c r="J275" i="1"/>
  <c r="J274" i="1"/>
  <c r="J277" i="1" s="1"/>
  <c r="J272" i="1"/>
  <c r="J146" i="16" l="1"/>
  <c r="K97" i="17"/>
  <c r="J162" i="15"/>
  <c r="J144" i="14"/>
  <c r="J263" i="11"/>
  <c r="J349" i="7"/>
  <c r="J120" i="6"/>
  <c r="J173" i="53"/>
  <c r="J122" i="2"/>
  <c r="J307" i="4"/>
  <c r="J310" i="4" s="1"/>
  <c r="J108" i="37"/>
  <c r="J120" i="37" s="1"/>
  <c r="L93" i="12" l="1"/>
  <c r="D88" i="12"/>
  <c r="D86" i="12"/>
  <c r="D85" i="12"/>
  <c r="D84" i="12"/>
  <c r="I518" i="3" l="1"/>
  <c r="H518" i="3"/>
  <c r="G518" i="3"/>
  <c r="F518" i="3"/>
  <c r="I517" i="3"/>
  <c r="H517" i="3"/>
  <c r="G517" i="3"/>
  <c r="F517" i="3"/>
  <c r="I516" i="3"/>
  <c r="H516" i="3"/>
  <c r="G516" i="3"/>
  <c r="G519" i="3" s="1"/>
  <c r="F516" i="3"/>
  <c r="F519" i="3" s="1"/>
  <c r="I514" i="3"/>
  <c r="H514" i="3"/>
  <c r="G514" i="3"/>
  <c r="F514" i="3"/>
  <c r="D161" i="3"/>
  <c r="H522" i="3"/>
  <c r="I519" i="3" l="1"/>
  <c r="I523" i="3" s="1"/>
  <c r="J524" i="3" s="1"/>
  <c r="H519" i="3"/>
  <c r="H309" i="4"/>
  <c r="H102" i="37"/>
  <c r="G102" i="37"/>
  <c r="F102" i="37"/>
  <c r="E102" i="37"/>
  <c r="I102" i="37"/>
  <c r="I105" i="37" s="1"/>
  <c r="I108" i="37" s="1"/>
  <c r="J110" i="37" s="1"/>
  <c r="I104" i="37"/>
  <c r="I103" i="37"/>
  <c r="I100" i="37"/>
  <c r="I328" i="9"/>
  <c r="I327" i="9"/>
  <c r="I326" i="9"/>
  <c r="I329" i="9" s="1"/>
  <c r="I332" i="9" s="1"/>
  <c r="I324" i="9"/>
  <c r="F65" i="18"/>
  <c r="F30" i="18"/>
  <c r="F22" i="18"/>
  <c r="J96" i="17"/>
  <c r="J95" i="17"/>
  <c r="J94" i="17"/>
  <c r="J92" i="17"/>
  <c r="I145" i="16"/>
  <c r="I144" i="16"/>
  <c r="I143" i="16"/>
  <c r="I146" i="16" s="1"/>
  <c r="J149" i="16" s="1"/>
  <c r="I141" i="16"/>
  <c r="I161" i="15"/>
  <c r="I160" i="15"/>
  <c r="I159" i="15"/>
  <c r="I162" i="15" s="1"/>
  <c r="I155" i="15"/>
  <c r="I143" i="14"/>
  <c r="I142" i="14"/>
  <c r="I141" i="14"/>
  <c r="I144" i="14" s="1"/>
  <c r="I139" i="14"/>
  <c r="I133" i="13"/>
  <c r="I132" i="13"/>
  <c r="I131" i="13"/>
  <c r="I134" i="13" s="1"/>
  <c r="I128" i="13"/>
  <c r="I252" i="12"/>
  <c r="I251" i="12"/>
  <c r="I250" i="12"/>
  <c r="I253" i="12" s="1"/>
  <c r="I248" i="12"/>
  <c r="I242" i="12"/>
  <c r="I247" i="12" s="1"/>
  <c r="I262" i="11"/>
  <c r="F29" i="18" s="1"/>
  <c r="I261" i="11"/>
  <c r="I260" i="11"/>
  <c r="I258" i="11"/>
  <c r="I218" i="8"/>
  <c r="I217" i="8"/>
  <c r="I216" i="8"/>
  <c r="I219" i="8" s="1"/>
  <c r="J221" i="8" s="1"/>
  <c r="I213" i="8"/>
  <c r="I348" i="7"/>
  <c r="I347" i="7"/>
  <c r="I346" i="7"/>
  <c r="I349" i="7" s="1"/>
  <c r="I344" i="7"/>
  <c r="I119" i="6"/>
  <c r="I118" i="6"/>
  <c r="I117" i="6"/>
  <c r="I120" i="6" s="1"/>
  <c r="I115" i="6"/>
  <c r="I172" i="53"/>
  <c r="I171" i="53"/>
  <c r="I170" i="53"/>
  <c r="I173" i="53" s="1"/>
  <c r="I168" i="53"/>
  <c r="I143" i="5"/>
  <c r="I142" i="5"/>
  <c r="I141" i="5"/>
  <c r="I144" i="5" s="1"/>
  <c r="I139" i="5"/>
  <c r="I306" i="4"/>
  <c r="I305" i="4"/>
  <c r="F28" i="18" s="1"/>
  <c r="I304" i="4"/>
  <c r="I302" i="4"/>
  <c r="I121" i="2"/>
  <c r="I120" i="2"/>
  <c r="I119" i="2"/>
  <c r="I122" i="2" s="1"/>
  <c r="I117" i="2"/>
  <c r="I276" i="1"/>
  <c r="I275" i="1"/>
  <c r="I274" i="1"/>
  <c r="I272" i="1"/>
  <c r="D72" i="4"/>
  <c r="J97" i="17" l="1"/>
  <c r="I263" i="11"/>
  <c r="I307" i="4"/>
  <c r="I310" i="4" s="1"/>
  <c r="J311" i="4" s="1"/>
  <c r="F27" i="18"/>
  <c r="F31" i="18" s="1"/>
  <c r="F25" i="18"/>
  <c r="I19" i="50" s="1"/>
  <c r="I277" i="1"/>
  <c r="J279" i="1" s="1"/>
  <c r="D115" i="4" l="1"/>
  <c r="D210" i="3"/>
  <c r="D209" i="3"/>
  <c r="D208" i="3"/>
  <c r="D207" i="3"/>
  <c r="D206" i="3"/>
  <c r="D23" i="60" l="1"/>
  <c r="D22" i="60"/>
  <c r="D21" i="60"/>
  <c r="D20" i="60"/>
  <c r="D19" i="60"/>
  <c r="D18" i="60"/>
  <c r="D17" i="60"/>
  <c r="D16" i="60"/>
  <c r="D15" i="60"/>
  <c r="D14" i="60"/>
  <c r="D13" i="60"/>
  <c r="D12" i="60"/>
  <c r="D11" i="60"/>
  <c r="H133" i="13" l="1"/>
  <c r="H132" i="13"/>
  <c r="H131" i="13"/>
  <c r="H134" i="13" s="1"/>
  <c r="H128" i="13"/>
  <c r="X24" i="55"/>
  <c r="N29" i="55"/>
  <c r="N33" i="55" s="1"/>
  <c r="U25" i="55"/>
  <c r="U29" i="55" s="1"/>
  <c r="U33" i="55" s="1"/>
  <c r="R25" i="55"/>
  <c r="R29" i="55" s="1"/>
  <c r="R33" i="55" s="1"/>
  <c r="Q25" i="55"/>
  <c r="Q29" i="55" s="1"/>
  <c r="Q33" i="55" s="1"/>
  <c r="P25" i="55"/>
  <c r="P29" i="55" s="1"/>
  <c r="P33" i="55" s="1"/>
  <c r="O25" i="55"/>
  <c r="O29" i="55" s="1"/>
  <c r="O33" i="55" s="1"/>
  <c r="N25" i="55"/>
  <c r="D16" i="5"/>
  <c r="D15" i="5"/>
  <c r="D14" i="5"/>
  <c r="D13" i="5"/>
  <c r="D12" i="5"/>
  <c r="D11" i="5"/>
  <c r="D10" i="5"/>
  <c r="H328" i="9"/>
  <c r="G328" i="9"/>
  <c r="E328" i="9"/>
  <c r="H327" i="9"/>
  <c r="G327" i="9"/>
  <c r="H326" i="9"/>
  <c r="H329" i="9" s="1"/>
  <c r="H332" i="9" s="1"/>
  <c r="G326" i="9"/>
  <c r="G329" i="9" s="1"/>
  <c r="E326" i="9"/>
  <c r="H324" i="9"/>
  <c r="G324" i="9"/>
  <c r="F326" i="9"/>
  <c r="D33" i="9"/>
  <c r="D32" i="9"/>
  <c r="D31" i="9"/>
  <c r="D30" i="9"/>
  <c r="D29" i="9"/>
  <c r="D28" i="9"/>
  <c r="D27" i="9"/>
  <c r="D26" i="9"/>
  <c r="D25" i="9"/>
  <c r="D24" i="9"/>
  <c r="D23" i="9"/>
  <c r="D22" i="9"/>
  <c r="I67" i="18"/>
  <c r="I68" i="18"/>
  <c r="I69" i="18"/>
  <c r="G161" i="15"/>
  <c r="F161" i="15"/>
  <c r="E161" i="15"/>
  <c r="G160" i="15"/>
  <c r="F160" i="15"/>
  <c r="G159" i="15"/>
  <c r="G162" i="15" s="1"/>
  <c r="F159" i="15"/>
  <c r="F162" i="15" s="1"/>
  <c r="G155" i="15"/>
  <c r="F155" i="15"/>
  <c r="D240" i="12"/>
  <c r="C240" i="12"/>
  <c r="B240" i="12"/>
  <c r="D37" i="12"/>
  <c r="D36" i="12"/>
  <c r="D35" i="12"/>
  <c r="D34" i="12"/>
  <c r="D33" i="12"/>
  <c r="D32" i="12"/>
  <c r="D31" i="12"/>
  <c r="D30" i="12"/>
  <c r="D29" i="12"/>
  <c r="D28" i="12"/>
  <c r="D27" i="12"/>
  <c r="D26" i="12"/>
  <c r="D25" i="12"/>
  <c r="D24" i="12"/>
  <c r="D23" i="12"/>
  <c r="D24" i="11"/>
  <c r="D23" i="11"/>
  <c r="D22" i="11"/>
  <c r="D21" i="11"/>
  <c r="D20" i="11"/>
  <c r="D19" i="11"/>
  <c r="B60" i="11" s="1"/>
  <c r="D60" i="11" s="1"/>
  <c r="D130" i="7"/>
  <c r="D129" i="7"/>
  <c r="D128" i="7"/>
  <c r="D127" i="7"/>
  <c r="D126" i="7"/>
  <c r="D125" i="7"/>
  <c r="D124" i="7"/>
  <c r="D35" i="7"/>
  <c r="D34" i="7"/>
  <c r="D33" i="7"/>
  <c r="D32" i="7"/>
  <c r="D31" i="7"/>
  <c r="D30" i="7"/>
  <c r="D29" i="7"/>
  <c r="D28" i="7"/>
  <c r="D27" i="7"/>
  <c r="D26" i="7"/>
  <c r="D25" i="7"/>
  <c r="D24" i="7"/>
  <c r="D23" i="7"/>
  <c r="D22" i="7"/>
  <c r="D21" i="7"/>
  <c r="D20" i="7"/>
  <c r="D19" i="7"/>
  <c r="D18" i="7"/>
  <c r="G143" i="5"/>
  <c r="F143" i="5"/>
  <c r="E143" i="5"/>
  <c r="G142" i="5"/>
  <c r="F142" i="5"/>
  <c r="E142" i="5"/>
  <c r="E144" i="5"/>
  <c r="G141" i="5"/>
  <c r="G144" i="5" s="1"/>
  <c r="F141" i="5"/>
  <c r="F144" i="5" s="1"/>
  <c r="E141" i="5"/>
  <c r="C138" i="5"/>
  <c r="H306" i="4"/>
  <c r="G306" i="4"/>
  <c r="F306" i="4"/>
  <c r="H305" i="4"/>
  <c r="G305" i="4"/>
  <c r="F305" i="4"/>
  <c r="H304" i="4"/>
  <c r="G304" i="4"/>
  <c r="G307" i="4" s="1"/>
  <c r="F304" i="4"/>
  <c r="F307" i="4" s="1"/>
  <c r="H302" i="4"/>
  <c r="G302" i="4"/>
  <c r="F302" i="4"/>
  <c r="D194" i="4"/>
  <c r="D192" i="4"/>
  <c r="D191" i="4"/>
  <c r="D190" i="4"/>
  <c r="D189" i="4"/>
  <c r="D188" i="4"/>
  <c r="D187" i="4"/>
  <c r="D186" i="4"/>
  <c r="D185" i="4"/>
  <c r="D184" i="4"/>
  <c r="D183" i="4"/>
  <c r="D452" i="3"/>
  <c r="D451" i="3"/>
  <c r="D450" i="3"/>
  <c r="D449" i="3"/>
  <c r="D448" i="3"/>
  <c r="D447" i="3"/>
  <c r="D446" i="3"/>
  <c r="D445" i="3"/>
  <c r="D453" i="3" s="1"/>
  <c r="D444" i="3"/>
  <c r="D434" i="3"/>
  <c r="D433" i="3"/>
  <c r="D432" i="3"/>
  <c r="D431" i="3"/>
  <c r="D430" i="3"/>
  <c r="D429" i="3"/>
  <c r="D428" i="3"/>
  <c r="D427" i="3"/>
  <c r="D426" i="3"/>
  <c r="D425" i="3"/>
  <c r="D424" i="3"/>
  <c r="D423" i="3"/>
  <c r="D422" i="3"/>
  <c r="D421" i="3"/>
  <c r="D420" i="3"/>
  <c r="D419" i="3"/>
  <c r="D418" i="3"/>
  <c r="D417" i="3"/>
  <c r="D416" i="3"/>
  <c r="D415" i="3"/>
  <c r="D414" i="3"/>
  <c r="D413" i="3"/>
  <c r="D412" i="3"/>
  <c r="D411" i="3"/>
  <c r="D410" i="3"/>
  <c r="D403" i="3"/>
  <c r="D402" i="3"/>
  <c r="D401" i="3"/>
  <c r="D400" i="3"/>
  <c r="D399" i="3"/>
  <c r="D398" i="3"/>
  <c r="D397" i="3"/>
  <c r="D396" i="3"/>
  <c r="D404" i="3" s="1"/>
  <c r="D395" i="3"/>
  <c r="D394" i="3"/>
  <c r="D354" i="3"/>
  <c r="D352" i="3"/>
  <c r="D350" i="3"/>
  <c r="D349" i="3"/>
  <c r="D348" i="3"/>
  <c r="D347" i="3"/>
  <c r="D346" i="3"/>
  <c r="D345" i="3"/>
  <c r="D344" i="3"/>
  <c r="D343" i="3"/>
  <c r="D329" i="3"/>
  <c r="D328" i="3"/>
  <c r="D327" i="3"/>
  <c r="D326" i="3"/>
  <c r="D325" i="3"/>
  <c r="D324" i="3"/>
  <c r="D323" i="3"/>
  <c r="D322" i="3"/>
  <c r="D321" i="3"/>
  <c r="D320" i="3"/>
  <c r="D319" i="3"/>
  <c r="D318" i="3"/>
  <c r="D317" i="3"/>
  <c r="D312" i="3"/>
  <c r="D262" i="3"/>
  <c r="D261" i="3"/>
  <c r="D260" i="3"/>
  <c r="D259" i="3"/>
  <c r="D258" i="3"/>
  <c r="D257" i="3"/>
  <c r="D256" i="3"/>
  <c r="D255" i="3"/>
  <c r="D254" i="3"/>
  <c r="D253" i="3"/>
  <c r="D252" i="3"/>
  <c r="D244" i="3"/>
  <c r="D243" i="3"/>
  <c r="D242" i="3"/>
  <c r="D241" i="3"/>
  <c r="D240" i="3"/>
  <c r="D239" i="3"/>
  <c r="D238" i="3"/>
  <c r="D237" i="3"/>
  <c r="D236" i="3"/>
  <c r="D235" i="3"/>
  <c r="D233" i="3"/>
  <c r="D232" i="3"/>
  <c r="D148" i="3"/>
  <c r="D147" i="3"/>
  <c r="D146" i="3"/>
  <c r="D145" i="3"/>
  <c r="D144" i="3"/>
  <c r="D143" i="3"/>
  <c r="D142" i="3"/>
  <c r="D141" i="3"/>
  <c r="D90" i="3"/>
  <c r="C105" i="3"/>
  <c r="D105" i="3" s="1"/>
  <c r="D27" i="1"/>
  <c r="D26" i="1"/>
  <c r="D25" i="1"/>
  <c r="D24" i="1"/>
  <c r="D23" i="1"/>
  <c r="D22" i="1"/>
  <c r="D21" i="1"/>
  <c r="D311" i="3"/>
  <c r="D310" i="3"/>
  <c r="D309" i="3"/>
  <c r="D308" i="3"/>
  <c r="D307" i="3"/>
  <c r="D306" i="3"/>
  <c r="D305" i="3"/>
  <c r="D304" i="3"/>
  <c r="D303" i="3"/>
  <c r="D125" i="16"/>
  <c r="D118" i="16"/>
  <c r="D111" i="16"/>
  <c r="D23" i="4"/>
  <c r="D22" i="4"/>
  <c r="D21" i="4"/>
  <c r="D20" i="4"/>
  <c r="D19" i="4"/>
  <c r="D18" i="4"/>
  <c r="D17" i="4"/>
  <c r="D16" i="4"/>
  <c r="B101" i="4" s="1"/>
  <c r="D101" i="4" s="1"/>
  <c r="D15" i="4"/>
  <c r="D76" i="4"/>
  <c r="D75" i="4"/>
  <c r="D74" i="4"/>
  <c r="D73" i="4"/>
  <c r="D71"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150" i="3"/>
  <c r="D126" i="3"/>
  <c r="D124" i="3"/>
  <c r="D123" i="3"/>
  <c r="D121" i="3"/>
  <c r="D120" i="3"/>
  <c r="D119" i="3"/>
  <c r="D118" i="3"/>
  <c r="D117" i="3"/>
  <c r="D116" i="3"/>
  <c r="D89" i="3"/>
  <c r="D88" i="3"/>
  <c r="D87" i="3"/>
  <c r="D86" i="3"/>
  <c r="D85" i="3"/>
  <c r="D84" i="3"/>
  <c r="D83" i="3"/>
  <c r="D82" i="3"/>
  <c r="D81" i="3"/>
  <c r="D80" i="3"/>
  <c r="D79" i="3"/>
  <c r="D77" i="3"/>
  <c r="D76" i="3"/>
  <c r="D75" i="3"/>
  <c r="D71" i="3"/>
  <c r="D70" i="3"/>
  <c r="D69" i="3"/>
  <c r="D68" i="3"/>
  <c r="D54" i="3"/>
  <c r="D45" i="3"/>
  <c r="D44" i="3"/>
  <c r="D64" i="3"/>
  <c r="D57" i="3"/>
  <c r="D67" i="3"/>
  <c r="D66" i="3"/>
  <c r="D53" i="3"/>
  <c r="D56" i="3"/>
  <c r="D63" i="3"/>
  <c r="D55" i="3"/>
  <c r="D52" i="3"/>
  <c r="D51" i="3"/>
  <c r="D62" i="3"/>
  <c r="D61" i="3"/>
  <c r="D50" i="3"/>
  <c r="D49" i="3"/>
  <c r="D60" i="3"/>
  <c r="D48" i="3"/>
  <c r="D47" i="3"/>
  <c r="D59" i="3"/>
  <c r="D46" i="3"/>
  <c r="D58" i="3"/>
  <c r="D65" i="3"/>
  <c r="D37" i="3"/>
  <c r="D36" i="3"/>
  <c r="D35" i="3"/>
  <c r="D34" i="3"/>
  <c r="D33" i="3"/>
  <c r="D31" i="3"/>
  <c r="D30" i="3"/>
  <c r="D29" i="3"/>
  <c r="D28" i="3"/>
  <c r="D27" i="3"/>
  <c r="D26" i="3"/>
  <c r="D24" i="3"/>
  <c r="D23" i="3"/>
  <c r="D22" i="3"/>
  <c r="D21" i="3"/>
  <c r="D20" i="3"/>
  <c r="D19" i="3"/>
  <c r="D18" i="3"/>
  <c r="D17" i="3"/>
  <c r="D16" i="3"/>
  <c r="D15" i="3"/>
  <c r="D14" i="3"/>
  <c r="D13" i="3"/>
  <c r="T25" i="55"/>
  <c r="T29" i="55"/>
  <c r="T33" i="55" s="1"/>
  <c r="V23" i="55"/>
  <c r="V22" i="55"/>
  <c r="V21" i="55"/>
  <c r="V20" i="55"/>
  <c r="V19" i="55"/>
  <c r="V18" i="55"/>
  <c r="V15" i="55"/>
  <c r="V14" i="55"/>
  <c r="V13" i="55"/>
  <c r="V12" i="55"/>
  <c r="V11" i="55"/>
  <c r="V10" i="55"/>
  <c r="V8" i="55"/>
  <c r="V7" i="55"/>
  <c r="D87" i="53"/>
  <c r="D25" i="60"/>
  <c r="D45" i="60"/>
  <c r="D46" i="60"/>
  <c r="D47" i="60"/>
  <c r="D49" i="60"/>
  <c r="B52" i="60" s="1"/>
  <c r="D52" i="60" s="1"/>
  <c r="D63" i="60"/>
  <c r="D66" i="60" s="1"/>
  <c r="D64" i="60"/>
  <c r="D82" i="60"/>
  <c r="D83" i="60"/>
  <c r="D85" i="60"/>
  <c r="B86" i="60" s="1"/>
  <c r="D86" i="60" s="1"/>
  <c r="D99" i="60"/>
  <c r="D101" i="60" s="1"/>
  <c r="D115" i="60"/>
  <c r="D117" i="60"/>
  <c r="D129" i="60"/>
  <c r="D133" i="60" s="1"/>
  <c r="D130" i="60"/>
  <c r="D131" i="60"/>
  <c r="H145" i="60"/>
  <c r="I145" i="60"/>
  <c r="D10" i="50"/>
  <c r="D13" i="50"/>
  <c r="D15" i="50" s="1"/>
  <c r="E20" i="50"/>
  <c r="F20" i="50"/>
  <c r="G20" i="50"/>
  <c r="H20" i="50"/>
  <c r="I20" i="50"/>
  <c r="J20" i="50"/>
  <c r="E12" i="36"/>
  <c r="F12" i="36"/>
  <c r="G12" i="36"/>
  <c r="H12" i="36"/>
  <c r="I12" i="36"/>
  <c r="E16" i="36"/>
  <c r="E18" i="36" s="1"/>
  <c r="F16" i="36"/>
  <c r="F18" i="36" s="1"/>
  <c r="G16" i="36"/>
  <c r="G18" i="36" s="1"/>
  <c r="H16" i="36"/>
  <c r="H18" i="36" s="1"/>
  <c r="I16" i="36"/>
  <c r="I18" i="36" s="1"/>
  <c r="D7" i="37"/>
  <c r="D9" i="37" s="1"/>
  <c r="D12" i="37"/>
  <c r="B46" i="37" s="1"/>
  <c r="D46" i="37" s="1"/>
  <c r="D15" i="37"/>
  <c r="D17" i="37" s="1"/>
  <c r="B24" i="37" s="1"/>
  <c r="D31" i="37"/>
  <c r="D34" i="37"/>
  <c r="D35" i="37"/>
  <c r="D36" i="37" s="1"/>
  <c r="D39" i="37"/>
  <c r="D42" i="37"/>
  <c r="D51" i="37"/>
  <c r="D55" i="37" s="1"/>
  <c r="D52" i="37"/>
  <c r="B53" i="37"/>
  <c r="D53" i="37" s="1"/>
  <c r="D54" i="37"/>
  <c r="D83" i="37"/>
  <c r="B98" i="37"/>
  <c r="C98" i="37"/>
  <c r="D98" i="37"/>
  <c r="E100" i="37"/>
  <c r="F100" i="37"/>
  <c r="G100" i="37"/>
  <c r="H100" i="37"/>
  <c r="E105" i="37"/>
  <c r="F105" i="37"/>
  <c r="G105" i="37"/>
  <c r="H105" i="37"/>
  <c r="H108" i="37" s="1"/>
  <c r="I110" i="37" s="1"/>
  <c r="E103" i="37"/>
  <c r="F103" i="37"/>
  <c r="G103" i="37"/>
  <c r="H103" i="37"/>
  <c r="E104" i="37"/>
  <c r="F104" i="37"/>
  <c r="G104" i="37"/>
  <c r="H104" i="37"/>
  <c r="D7" i="9"/>
  <c r="B54" i="9" s="1"/>
  <c r="B63" i="9" s="1"/>
  <c r="D63" i="9" s="1"/>
  <c r="D10" i="9"/>
  <c r="D11" i="9"/>
  <c r="D12" i="9"/>
  <c r="D13" i="9"/>
  <c r="D14" i="9"/>
  <c r="D15" i="9"/>
  <c r="D16" i="9"/>
  <c r="D34" i="9"/>
  <c r="D36" i="9"/>
  <c r="D37" i="9" s="1"/>
  <c r="B56" i="9" s="1"/>
  <c r="B95" i="9" s="1"/>
  <c r="D95" i="9" s="1"/>
  <c r="C41" i="9"/>
  <c r="D41" i="9" s="1"/>
  <c r="B57" i="9" s="1"/>
  <c r="D45" i="9"/>
  <c r="D46" i="9"/>
  <c r="C51" i="9"/>
  <c r="D51" i="9" s="1"/>
  <c r="B59" i="9" s="1"/>
  <c r="D71" i="9"/>
  <c r="D72" i="9"/>
  <c r="D73" i="9"/>
  <c r="D77" i="9"/>
  <c r="D78" i="9" s="1"/>
  <c r="D82" i="9"/>
  <c r="D83" i="9"/>
  <c r="D84" i="9"/>
  <c r="D88" i="9"/>
  <c r="D89" i="9"/>
  <c r="D102" i="9"/>
  <c r="D103" i="9"/>
  <c r="D104" i="9"/>
  <c r="D105" i="9"/>
  <c r="D106" i="9"/>
  <c r="D113" i="9"/>
  <c r="D133" i="9"/>
  <c r="D140" i="9"/>
  <c r="D143" i="9"/>
  <c r="E153" i="9"/>
  <c r="E324" i="9" s="1"/>
  <c r="D166" i="9"/>
  <c r="D173" i="9"/>
  <c r="D176" i="9"/>
  <c r="D178" i="9" s="1"/>
  <c r="D177" i="9"/>
  <c r="D188" i="9"/>
  <c r="D194" i="9"/>
  <c r="D195" i="9"/>
  <c r="D196" i="9"/>
  <c r="D204" i="9"/>
  <c r="D212" i="9"/>
  <c r="D223" i="9"/>
  <c r="D228" i="9" s="1"/>
  <c r="D224" i="9"/>
  <c r="D225" i="9"/>
  <c r="D226" i="9"/>
  <c r="D227" i="9"/>
  <c r="D231" i="9"/>
  <c r="D233" i="9" s="1"/>
  <c r="D241" i="9"/>
  <c r="D255" i="9"/>
  <c r="D260" i="9"/>
  <c r="D271" i="9"/>
  <c r="D291" i="9"/>
  <c r="D297" i="9"/>
  <c r="D322" i="9"/>
  <c r="F324" i="9"/>
  <c r="F327" i="9"/>
  <c r="F328" i="9"/>
  <c r="B22" i="18"/>
  <c r="B67" i="18" s="1"/>
  <c r="B69" i="18" s="1"/>
  <c r="C22" i="18"/>
  <c r="C30" i="18" s="1"/>
  <c r="D22" i="18"/>
  <c r="D30" i="18"/>
  <c r="E22" i="18"/>
  <c r="F67" i="18"/>
  <c r="B65" i="18"/>
  <c r="B68" i="18"/>
  <c r="C65" i="18"/>
  <c r="C68" i="18" s="1"/>
  <c r="D65" i="18"/>
  <c r="D68" i="18" s="1"/>
  <c r="E65" i="18"/>
  <c r="E68" i="18"/>
  <c r="F68" i="18"/>
  <c r="G68" i="18"/>
  <c r="G67" i="18"/>
  <c r="H67" i="18"/>
  <c r="H68" i="18"/>
  <c r="H69" i="18"/>
  <c r="E7" i="17"/>
  <c r="E9" i="17" s="1"/>
  <c r="D32" i="17"/>
  <c r="E32" i="17"/>
  <c r="D48" i="17"/>
  <c r="E48" i="17"/>
  <c r="B73" i="17"/>
  <c r="C73" i="17"/>
  <c r="D73" i="17"/>
  <c r="E73" i="17"/>
  <c r="F92" i="17"/>
  <c r="G92" i="17"/>
  <c r="H92" i="17"/>
  <c r="I92" i="17"/>
  <c r="F94" i="17"/>
  <c r="G94" i="17"/>
  <c r="H94" i="17"/>
  <c r="I94" i="17"/>
  <c r="F95" i="17"/>
  <c r="G95" i="17"/>
  <c r="H95" i="17"/>
  <c r="I95" i="17"/>
  <c r="F96" i="17"/>
  <c r="G96" i="17"/>
  <c r="H96" i="17"/>
  <c r="I96" i="17"/>
  <c r="D7" i="16"/>
  <c r="D8" i="16"/>
  <c r="D12" i="16"/>
  <c r="D13" i="16"/>
  <c r="D14" i="16"/>
  <c r="D19" i="16"/>
  <c r="D21" i="16" s="1"/>
  <c r="D24" i="16"/>
  <c r="D25" i="16"/>
  <c r="D26" i="16"/>
  <c r="D27" i="16"/>
  <c r="C31" i="16"/>
  <c r="D31" i="16" s="1"/>
  <c r="D49" i="16"/>
  <c r="D52" i="16"/>
  <c r="D53" i="16"/>
  <c r="D57" i="16"/>
  <c r="D60" i="16"/>
  <c r="D71" i="16"/>
  <c r="D72" i="16"/>
  <c r="D73" i="16"/>
  <c r="D75" i="16"/>
  <c r="D85" i="16"/>
  <c r="E141" i="16"/>
  <c r="F141" i="16"/>
  <c r="G141" i="16"/>
  <c r="H141" i="16"/>
  <c r="E143" i="16"/>
  <c r="F143" i="16"/>
  <c r="G143" i="16"/>
  <c r="H143" i="16"/>
  <c r="E144" i="16"/>
  <c r="F144" i="16"/>
  <c r="G144" i="16"/>
  <c r="H144" i="16"/>
  <c r="E145" i="16"/>
  <c r="F145" i="16"/>
  <c r="G145" i="16"/>
  <c r="H145" i="16"/>
  <c r="D7" i="15"/>
  <c r="D9" i="15" s="1"/>
  <c r="D12" i="15"/>
  <c r="D13" i="15"/>
  <c r="B55" i="15" s="1"/>
  <c r="D55" i="15" s="1"/>
  <c r="D18" i="15"/>
  <c r="B28" i="15" s="1"/>
  <c r="D28" i="15" s="1"/>
  <c r="E20" i="15"/>
  <c r="E155" i="15" s="1"/>
  <c r="D21" i="15"/>
  <c r="D22" i="15"/>
  <c r="D39" i="15"/>
  <c r="D42" i="15"/>
  <c r="D44" i="15" s="1"/>
  <c r="D43" i="15"/>
  <c r="D47" i="15"/>
  <c r="D50" i="15"/>
  <c r="D54" i="15"/>
  <c r="D61" i="15"/>
  <c r="D62" i="15"/>
  <c r="D63" i="15"/>
  <c r="D65" i="15"/>
  <c r="D80" i="15"/>
  <c r="D83" i="15"/>
  <c r="D87" i="15"/>
  <c r="D88" i="15" s="1"/>
  <c r="D94" i="15"/>
  <c r="E105" i="15"/>
  <c r="E160" i="15" s="1"/>
  <c r="D116" i="15"/>
  <c r="D121" i="15"/>
  <c r="D137" i="15"/>
  <c r="H155" i="15"/>
  <c r="H159" i="15"/>
  <c r="H160" i="15"/>
  <c r="H161" i="15"/>
  <c r="D7" i="14"/>
  <c r="D9" i="14" s="1"/>
  <c r="D12" i="14"/>
  <c r="D13" i="14"/>
  <c r="C16" i="14"/>
  <c r="D16" i="14" s="1"/>
  <c r="D30" i="14"/>
  <c r="D33" i="14"/>
  <c r="D35" i="14"/>
  <c r="D34" i="14"/>
  <c r="D38" i="14"/>
  <c r="D41" i="14"/>
  <c r="D50" i="14"/>
  <c r="D52" i="14" s="1"/>
  <c r="D51" i="14"/>
  <c r="D56" i="14"/>
  <c r="D58" i="14"/>
  <c r="D64" i="14"/>
  <c r="D69" i="14"/>
  <c r="D78" i="14"/>
  <c r="D83" i="14"/>
  <c r="D108" i="14"/>
  <c r="D115" i="14"/>
  <c r="D133" i="14"/>
  <c r="D137" i="14"/>
  <c r="E139" i="14"/>
  <c r="F139" i="14"/>
  <c r="G139" i="14"/>
  <c r="H139" i="14"/>
  <c r="E141" i="14"/>
  <c r="E144" i="14" s="1"/>
  <c r="F141" i="14"/>
  <c r="G141" i="14"/>
  <c r="H141" i="14"/>
  <c r="H144" i="14" s="1"/>
  <c r="E142" i="14"/>
  <c r="F142" i="14"/>
  <c r="G142" i="14"/>
  <c r="H142" i="14"/>
  <c r="E143" i="14"/>
  <c r="F143" i="14"/>
  <c r="G143" i="14"/>
  <c r="H143" i="14"/>
  <c r="D7" i="13"/>
  <c r="D9" i="13"/>
  <c r="D8" i="13"/>
  <c r="D12" i="13"/>
  <c r="D13" i="13"/>
  <c r="D17" i="13" s="1"/>
  <c r="D14" i="13"/>
  <c r="D15" i="13"/>
  <c r="C20" i="13"/>
  <c r="D20" i="13"/>
  <c r="C25" i="13"/>
  <c r="D25" i="13" s="1"/>
  <c r="D43" i="13"/>
  <c r="D45" i="13"/>
  <c r="D44" i="13"/>
  <c r="D48" i="13"/>
  <c r="D49" i="13" s="1"/>
  <c r="D53" i="13"/>
  <c r="D54" i="13"/>
  <c r="D58" i="13"/>
  <c r="D68" i="13"/>
  <c r="D69" i="13"/>
  <c r="D70" i="13" s="1"/>
  <c r="D80" i="13"/>
  <c r="D85" i="13" s="1"/>
  <c r="G79" i="13" s="1"/>
  <c r="D81" i="13"/>
  <c r="D82" i="13"/>
  <c r="D83" i="13"/>
  <c r="D90" i="13"/>
  <c r="D91" i="13"/>
  <c r="D92" i="13" s="1"/>
  <c r="D116" i="13"/>
  <c r="G111" i="13" s="1"/>
  <c r="D124" i="13"/>
  <c r="E128" i="13"/>
  <c r="F128" i="13"/>
  <c r="E131" i="13"/>
  <c r="F131" i="13"/>
  <c r="F134" i="13" s="1"/>
  <c r="G131" i="13"/>
  <c r="E132" i="13"/>
  <c r="F132" i="13"/>
  <c r="E133" i="13"/>
  <c r="F133" i="13"/>
  <c r="G133" i="13"/>
  <c r="D7" i="12"/>
  <c r="D8" i="12"/>
  <c r="D9" i="12"/>
  <c r="D10" i="12"/>
  <c r="D11" i="12"/>
  <c r="D12" i="12"/>
  <c r="D18" i="12"/>
  <c r="D19" i="12"/>
  <c r="D20" i="12"/>
  <c r="D43" i="12"/>
  <c r="D46" i="12" s="1"/>
  <c r="B51" i="12" s="1"/>
  <c r="D44" i="12"/>
  <c r="B89" i="12" s="1"/>
  <c r="D89" i="12" s="1"/>
  <c r="D45" i="12"/>
  <c r="D61" i="12"/>
  <c r="D64" i="12"/>
  <c r="D65" i="12"/>
  <c r="D69" i="12"/>
  <c r="D70" i="12"/>
  <c r="D71" i="12"/>
  <c r="D75" i="12"/>
  <c r="D99" i="12"/>
  <c r="D126" i="12"/>
  <c r="D133" i="12"/>
  <c r="D141" i="12"/>
  <c r="D157" i="12"/>
  <c r="D162" i="12"/>
  <c r="E167" i="12"/>
  <c r="E251" i="12" s="1"/>
  <c r="D173" i="12"/>
  <c r="D185" i="12"/>
  <c r="D191" i="12"/>
  <c r="E196" i="12"/>
  <c r="D197" i="12"/>
  <c r="D220" i="12"/>
  <c r="D232" i="12"/>
  <c r="F242" i="12"/>
  <c r="G242" i="12"/>
  <c r="H242" i="12"/>
  <c r="E248" i="12"/>
  <c r="F248" i="12"/>
  <c r="G248" i="12"/>
  <c r="H248" i="12"/>
  <c r="E250" i="12"/>
  <c r="F250" i="12"/>
  <c r="G250" i="12"/>
  <c r="H250" i="12"/>
  <c r="F251" i="12"/>
  <c r="G251" i="12"/>
  <c r="H251" i="12"/>
  <c r="E252" i="12"/>
  <c r="F252" i="12"/>
  <c r="G252" i="12"/>
  <c r="H252" i="12"/>
  <c r="D7" i="11"/>
  <c r="D9" i="11" s="1"/>
  <c r="B32" i="11" s="1"/>
  <c r="D32" i="11" s="1"/>
  <c r="D13" i="11"/>
  <c r="D15" i="11" s="1"/>
  <c r="D25" i="11"/>
  <c r="D26" i="11"/>
  <c r="B61" i="11" s="1"/>
  <c r="D61" i="11" s="1"/>
  <c r="B35" i="11"/>
  <c r="D35" i="11" s="1"/>
  <c r="D44" i="11"/>
  <c r="D47" i="11"/>
  <c r="D48" i="11"/>
  <c r="D52" i="11"/>
  <c r="D55" i="11"/>
  <c r="B63" i="11"/>
  <c r="C63" i="11"/>
  <c r="D67" i="11"/>
  <c r="D68" i="11"/>
  <c r="D69" i="11"/>
  <c r="D71" i="11"/>
  <c r="D103" i="11"/>
  <c r="D108" i="11"/>
  <c r="D116" i="11"/>
  <c r="D122" i="11"/>
  <c r="D127" i="11"/>
  <c r="D133" i="11"/>
  <c r="D147" i="11"/>
  <c r="D156" i="11"/>
  <c r="B177" i="11"/>
  <c r="B179" i="11" s="1"/>
  <c r="B181" i="11" s="1"/>
  <c r="B184" i="11" s="1"/>
  <c r="C177" i="11"/>
  <c r="D177" i="11"/>
  <c r="D179" i="11" s="1"/>
  <c r="D181" i="11" s="1"/>
  <c r="D184" i="11" s="1"/>
  <c r="C178" i="11"/>
  <c r="D202" i="11"/>
  <c r="C231" i="11"/>
  <c r="C234" i="11" s="1"/>
  <c r="D231" i="11"/>
  <c r="D234" i="11" s="1"/>
  <c r="B245" i="11"/>
  <c r="B253" i="11" s="1"/>
  <c r="C245" i="11"/>
  <c r="C253" i="11" s="1"/>
  <c r="D245" i="11"/>
  <c r="D253" i="11" s="1"/>
  <c r="C252" i="11"/>
  <c r="D252" i="11"/>
  <c r="E258" i="11"/>
  <c r="F258" i="11"/>
  <c r="G258" i="11"/>
  <c r="H258" i="11"/>
  <c r="E260" i="11"/>
  <c r="F260" i="11"/>
  <c r="G260" i="11"/>
  <c r="H260" i="11"/>
  <c r="E261" i="11"/>
  <c r="F261" i="11"/>
  <c r="G261" i="11"/>
  <c r="H261" i="11"/>
  <c r="E28" i="18" s="1"/>
  <c r="E262" i="11"/>
  <c r="F262" i="11"/>
  <c r="G262" i="11"/>
  <c r="H262" i="11"/>
  <c r="D7" i="8"/>
  <c r="D8" i="8"/>
  <c r="D9" i="8"/>
  <c r="D10" i="8"/>
  <c r="D14" i="8"/>
  <c r="D15" i="8"/>
  <c r="D16" i="8"/>
  <c r="D17" i="8"/>
  <c r="D18" i="8"/>
  <c r="D19" i="8"/>
  <c r="C20" i="8"/>
  <c r="C25" i="8"/>
  <c r="D25" i="8" s="1"/>
  <c r="D28" i="8"/>
  <c r="B38" i="8" s="1"/>
  <c r="D38" i="8" s="1"/>
  <c r="B44" i="8"/>
  <c r="D44" i="8"/>
  <c r="D51" i="8"/>
  <c r="D53" i="8" s="1"/>
  <c r="D52" i="8"/>
  <c r="D56" i="8"/>
  <c r="D57" i="8" s="1"/>
  <c r="D61" i="8"/>
  <c r="D62" i="8"/>
  <c r="D66" i="8"/>
  <c r="D77" i="8"/>
  <c r="D78" i="8"/>
  <c r="D95" i="8"/>
  <c r="D96" i="8"/>
  <c r="D97" i="8"/>
  <c r="D98" i="8"/>
  <c r="D105" i="8"/>
  <c r="D115" i="8"/>
  <c r="D118" i="8"/>
  <c r="D119" i="8"/>
  <c r="D120" i="8"/>
  <c r="D128" i="8"/>
  <c r="D135" i="8"/>
  <c r="D136" i="8"/>
  <c r="D151" i="8"/>
  <c r="D166" i="8"/>
  <c r="D168" i="8" s="1"/>
  <c r="D167" i="8"/>
  <c r="D179" i="8"/>
  <c r="D185" i="8"/>
  <c r="D193" i="8"/>
  <c r="D198" i="8"/>
  <c r="D211" i="8"/>
  <c r="E213" i="8"/>
  <c r="F213" i="8"/>
  <c r="G213" i="8"/>
  <c r="H213" i="8"/>
  <c r="E216" i="8"/>
  <c r="E219" i="8" s="1"/>
  <c r="F216" i="8"/>
  <c r="G216" i="8"/>
  <c r="H216" i="8"/>
  <c r="E217" i="8"/>
  <c r="F217" i="8"/>
  <c r="G217" i="8"/>
  <c r="H217" i="8"/>
  <c r="E218" i="8"/>
  <c r="F218" i="8"/>
  <c r="G218" i="8"/>
  <c r="H218" i="8"/>
  <c r="D7" i="7"/>
  <c r="B58" i="7" s="1"/>
  <c r="B67" i="7" s="1"/>
  <c r="B97" i="7" s="1"/>
  <c r="D97" i="7" s="1"/>
  <c r="D10" i="7"/>
  <c r="D11" i="7"/>
  <c r="D12" i="7"/>
  <c r="D13" i="7"/>
  <c r="D38" i="7"/>
  <c r="B60" i="7" s="1"/>
  <c r="D45" i="7"/>
  <c r="B61" i="7"/>
  <c r="B70" i="7"/>
  <c r="D70" i="7" s="1"/>
  <c r="D48" i="7"/>
  <c r="B62" i="7" s="1"/>
  <c r="B107" i="7" s="1"/>
  <c r="D107" i="7" s="1"/>
  <c r="D108" i="7" s="1"/>
  <c r="D55" i="7"/>
  <c r="B63" i="7"/>
  <c r="D64" i="7"/>
  <c r="D75" i="7"/>
  <c r="D76" i="7"/>
  <c r="D78" i="7" s="1"/>
  <c r="D77" i="7"/>
  <c r="D81" i="7"/>
  <c r="D82" i="7" s="1"/>
  <c r="D83" i="7" s="1"/>
  <c r="D86" i="7"/>
  <c r="D87" i="7"/>
  <c r="D88" i="7"/>
  <c r="D92" i="7"/>
  <c r="D93" i="7"/>
  <c r="C100" i="7"/>
  <c r="C102" i="7"/>
  <c r="D106" i="7"/>
  <c r="D121" i="7"/>
  <c r="D131" i="7"/>
  <c r="D145" i="7"/>
  <c r="D158" i="7"/>
  <c r="D159" i="7"/>
  <c r="D165" i="7"/>
  <c r="D166" i="7" s="1"/>
  <c r="D181" i="7"/>
  <c r="D197" i="7"/>
  <c r="D206" i="7"/>
  <c r="D211" i="7"/>
  <c r="D242" i="7"/>
  <c r="D257" i="7"/>
  <c r="D267" i="7"/>
  <c r="D283" i="7"/>
  <c r="D302" i="7"/>
  <c r="E304" i="7"/>
  <c r="E344" i="7"/>
  <c r="D307" i="7"/>
  <c r="D312" i="7"/>
  <c r="B319" i="7"/>
  <c r="C319" i="7"/>
  <c r="D319" i="7"/>
  <c r="B341" i="7"/>
  <c r="C341" i="7"/>
  <c r="D341" i="7"/>
  <c r="F344" i="7"/>
  <c r="G344" i="7"/>
  <c r="H344" i="7"/>
  <c r="E346" i="7"/>
  <c r="E349" i="7" s="1"/>
  <c r="F346" i="7"/>
  <c r="G346" i="7"/>
  <c r="H346" i="7"/>
  <c r="E347" i="7"/>
  <c r="F347" i="7"/>
  <c r="G347" i="7"/>
  <c r="H347" i="7"/>
  <c r="F348" i="7"/>
  <c r="G348" i="7"/>
  <c r="H348" i="7"/>
  <c r="D7" i="6"/>
  <c r="B21" i="6" s="1"/>
  <c r="D10" i="6"/>
  <c r="D11" i="6"/>
  <c r="D12" i="6"/>
  <c r="D16" i="6"/>
  <c r="D18" i="6"/>
  <c r="D17" i="6"/>
  <c r="D32" i="6"/>
  <c r="D35" i="6"/>
  <c r="D37" i="6"/>
  <c r="D36" i="6"/>
  <c r="D40" i="6"/>
  <c r="D43" i="6"/>
  <c r="D52" i="6"/>
  <c r="D53" i="6"/>
  <c r="B54" i="6"/>
  <c r="D54" i="6" s="1"/>
  <c r="D73" i="6"/>
  <c r="D83" i="6"/>
  <c r="D95" i="6"/>
  <c r="D103" i="6"/>
  <c r="E115" i="6"/>
  <c r="F115" i="6"/>
  <c r="G115" i="6"/>
  <c r="H115" i="6"/>
  <c r="E117" i="6"/>
  <c r="F117" i="6"/>
  <c r="G117" i="6"/>
  <c r="G120" i="6" s="1"/>
  <c r="H117" i="6"/>
  <c r="H120" i="6" s="1"/>
  <c r="E118" i="6"/>
  <c r="F118" i="6"/>
  <c r="G118" i="6"/>
  <c r="H118" i="6"/>
  <c r="E119" i="6"/>
  <c r="F119" i="6"/>
  <c r="G119" i="6"/>
  <c r="H119" i="6"/>
  <c r="D7" i="53"/>
  <c r="B59" i="53" s="1"/>
  <c r="D59" i="53" s="1"/>
  <c r="D10" i="53"/>
  <c r="D12" i="53" s="1"/>
  <c r="D11" i="53"/>
  <c r="D15" i="53"/>
  <c r="D16" i="53"/>
  <c r="D20" i="53"/>
  <c r="D21" i="53"/>
  <c r="C25" i="53"/>
  <c r="D25" i="53" s="1"/>
  <c r="C26" i="53"/>
  <c r="D26" i="53" s="1"/>
  <c r="B38" i="53"/>
  <c r="D38" i="53" s="1"/>
  <c r="D45" i="53"/>
  <c r="D48" i="53"/>
  <c r="D50" i="53" s="1"/>
  <c r="D49" i="53"/>
  <c r="D53" i="53"/>
  <c r="D56" i="53"/>
  <c r="C63" i="53"/>
  <c r="D67" i="53"/>
  <c r="D68" i="53"/>
  <c r="D69" i="53"/>
  <c r="D70" i="53"/>
  <c r="D71" i="53"/>
  <c r="D78" i="53"/>
  <c r="D92" i="53"/>
  <c r="D98" i="53"/>
  <c r="D102" i="53"/>
  <c r="D103" i="53"/>
  <c r="D104" i="53"/>
  <c r="D105" i="53" s="1"/>
  <c r="D110" i="53"/>
  <c r="D120" i="53"/>
  <c r="D129" i="53"/>
  <c r="D132" i="53"/>
  <c r="D130" i="53"/>
  <c r="D131" i="53"/>
  <c r="D136" i="53"/>
  <c r="D137" i="53"/>
  <c r="D143" i="53"/>
  <c r="D147" i="53"/>
  <c r="D148" i="53"/>
  <c r="D152" i="53"/>
  <c r="D149" i="53"/>
  <c r="D150" i="53"/>
  <c r="D151" i="53"/>
  <c r="D157" i="53"/>
  <c r="D160" i="53"/>
  <c r="D161" i="53"/>
  <c r="D164" i="53"/>
  <c r="D166" i="53"/>
  <c r="G163" i="53" s="1"/>
  <c r="D165" i="53"/>
  <c r="E168" i="53"/>
  <c r="F168" i="53"/>
  <c r="H168" i="53"/>
  <c r="K168" i="53"/>
  <c r="E170" i="53"/>
  <c r="E173" i="53" s="1"/>
  <c r="F170" i="53"/>
  <c r="G170" i="53"/>
  <c r="H170" i="53"/>
  <c r="K170" i="53"/>
  <c r="E171" i="53"/>
  <c r="F171" i="53"/>
  <c r="G171" i="53"/>
  <c r="H171" i="53"/>
  <c r="K171" i="53"/>
  <c r="E172" i="53"/>
  <c r="F172" i="53"/>
  <c r="H172" i="53"/>
  <c r="K172" i="53"/>
  <c r="D7" i="5"/>
  <c r="B34" i="5" s="1"/>
  <c r="C18" i="5"/>
  <c r="D18" i="5"/>
  <c r="D19" i="5" s="1"/>
  <c r="B69" i="5" s="1"/>
  <c r="D69" i="5" s="1"/>
  <c r="C22" i="5"/>
  <c r="D22" i="5" s="1"/>
  <c r="D25" i="5"/>
  <c r="B78" i="5" s="1"/>
  <c r="D78" i="5" s="1"/>
  <c r="D79" i="5" s="1"/>
  <c r="D26" i="5"/>
  <c r="D47" i="5"/>
  <c r="D48" i="5"/>
  <c r="D49" i="5" s="1"/>
  <c r="D52" i="5"/>
  <c r="D53" i="5"/>
  <c r="D54" i="5"/>
  <c r="D58" i="5"/>
  <c r="D59" i="5"/>
  <c r="D63" i="5"/>
  <c r="D64" i="5"/>
  <c r="D76" i="5"/>
  <c r="D77" i="5"/>
  <c r="D88" i="5"/>
  <c r="D89" i="5"/>
  <c r="C90" i="5"/>
  <c r="D101" i="5"/>
  <c r="D116" i="5"/>
  <c r="D125" i="5"/>
  <c r="B138" i="5"/>
  <c r="D138" i="5"/>
  <c r="E139" i="5"/>
  <c r="F139" i="5"/>
  <c r="G139" i="5"/>
  <c r="H139" i="5"/>
  <c r="H141" i="5"/>
  <c r="H142" i="5"/>
  <c r="H143" i="5"/>
  <c r="D7" i="4"/>
  <c r="D8" i="4"/>
  <c r="D9" i="4"/>
  <c r="D10" i="4"/>
  <c r="D25" i="4"/>
  <c r="D26" i="4"/>
  <c r="D27" i="4"/>
  <c r="D28" i="4"/>
  <c r="D30" i="4"/>
  <c r="D31" i="4"/>
  <c r="D32" i="4"/>
  <c r="C69" i="4"/>
  <c r="D69" i="4" s="1"/>
  <c r="C83" i="4"/>
  <c r="D83" i="4" s="1"/>
  <c r="D86" i="4"/>
  <c r="B154" i="4" s="1"/>
  <c r="D154" i="4" s="1"/>
  <c r="D89" i="4"/>
  <c r="D90" i="4"/>
  <c r="D120" i="4"/>
  <c r="D121" i="4"/>
  <c r="D122" i="4"/>
  <c r="D123" i="4"/>
  <c r="D128" i="4"/>
  <c r="D129" i="4"/>
  <c r="D130" i="4"/>
  <c r="D131" i="4"/>
  <c r="D132" i="4"/>
  <c r="D136" i="4"/>
  <c r="D137" i="4"/>
  <c r="D138" i="4"/>
  <c r="D139" i="4"/>
  <c r="D143" i="4"/>
  <c r="D146" i="4" s="1"/>
  <c r="D144" i="4"/>
  <c r="D145" i="4"/>
  <c r="A151" i="4"/>
  <c r="D160" i="4"/>
  <c r="D161" i="4"/>
  <c r="D162" i="4"/>
  <c r="D163" i="4"/>
  <c r="D171" i="4"/>
  <c r="D177" i="4"/>
  <c r="D178" i="4"/>
  <c r="D181" i="4"/>
  <c r="D206" i="4"/>
  <c r="D219" i="4"/>
  <c r="D229" i="4"/>
  <c r="D238" i="4"/>
  <c r="D249" i="4"/>
  <c r="D251" i="4" s="1"/>
  <c r="D262" i="4"/>
  <c r="D270" i="4"/>
  <c r="D275" i="4"/>
  <c r="D285" i="4"/>
  <c r="D290" i="4"/>
  <c r="D298" i="4"/>
  <c r="E302" i="4"/>
  <c r="E304" i="4"/>
  <c r="E305" i="4"/>
  <c r="E306" i="4"/>
  <c r="D7" i="3"/>
  <c r="D9" i="3" s="1"/>
  <c r="B196" i="3" s="1"/>
  <c r="D196" i="3" s="1"/>
  <c r="D12" i="3"/>
  <c r="B95" i="3"/>
  <c r="D115" i="3"/>
  <c r="D127" i="3" s="1"/>
  <c r="B131" i="3"/>
  <c r="D173" i="3"/>
  <c r="D174" i="3"/>
  <c r="D175" i="3"/>
  <c r="B179" i="3"/>
  <c r="D179" i="3" s="1"/>
  <c r="D180" i="3"/>
  <c r="D181" i="3"/>
  <c r="D185" i="3"/>
  <c r="D186" i="3"/>
  <c r="D187" i="3"/>
  <c r="D191" i="3"/>
  <c r="D192" i="3"/>
  <c r="D205" i="3"/>
  <c r="D218" i="3"/>
  <c r="D226" i="3"/>
  <c r="D229" i="3"/>
  <c r="D247" i="3" s="1"/>
  <c r="D230" i="3"/>
  <c r="D231" i="3"/>
  <c r="D251" i="3"/>
  <c r="D268" i="3"/>
  <c r="D276" i="3"/>
  <c r="D282" i="3"/>
  <c r="D291" i="3"/>
  <c r="D294" i="3"/>
  <c r="D295" i="3"/>
  <c r="D301" i="3"/>
  <c r="D302" i="3"/>
  <c r="D316" i="3"/>
  <c r="D336" i="3"/>
  <c r="D337" i="3"/>
  <c r="D342" i="3"/>
  <c r="D363" i="3"/>
  <c r="D371" i="3"/>
  <c r="D372" i="3"/>
  <c r="D373" i="3"/>
  <c r="D382" i="3"/>
  <c r="D385" i="3"/>
  <c r="D388" i="3" s="1"/>
  <c r="D387" i="3"/>
  <c r="D393" i="3"/>
  <c r="D408" i="3"/>
  <c r="D409" i="3"/>
  <c r="D438" i="3"/>
  <c r="D439" i="3" s="1"/>
  <c r="D443" i="3"/>
  <c r="D456" i="3"/>
  <c r="D459" i="3"/>
  <c r="D461" i="3" s="1"/>
  <c r="D464" i="3"/>
  <c r="D465" i="3"/>
  <c r="D466" i="3"/>
  <c r="D472" i="3"/>
  <c r="D477" i="3" s="1"/>
  <c r="D475" i="3"/>
  <c r="D476" i="3"/>
  <c r="D481" i="3"/>
  <c r="D483" i="3" s="1"/>
  <c r="D482" i="3"/>
  <c r="D488" i="3"/>
  <c r="D489" i="3"/>
  <c r="D493" i="3"/>
  <c r="D494" i="3"/>
  <c r="D495" i="3"/>
  <c r="D501" i="3"/>
  <c r="B512" i="3"/>
  <c r="C512" i="3"/>
  <c r="D512" i="3"/>
  <c r="E514" i="3"/>
  <c r="E516" i="3"/>
  <c r="E517" i="3"/>
  <c r="E518" i="3"/>
  <c r="D7" i="2"/>
  <c r="D9" i="2" s="1"/>
  <c r="B40" i="2" s="1"/>
  <c r="D40" i="2" s="1"/>
  <c r="D12" i="2"/>
  <c r="D13" i="2"/>
  <c r="D14" i="2" s="1"/>
  <c r="B23" i="2" s="1"/>
  <c r="D23" i="2" s="1"/>
  <c r="D27" i="2"/>
  <c r="D30" i="2"/>
  <c r="D31" i="2"/>
  <c r="D32" i="2"/>
  <c r="D34" i="2"/>
  <c r="D37" i="2"/>
  <c r="D45" i="2"/>
  <c r="D47" i="2" s="1"/>
  <c r="D46" i="2"/>
  <c r="D55" i="2"/>
  <c r="D64" i="2"/>
  <c r="D69" i="2"/>
  <c r="D74" i="2"/>
  <c r="D89" i="2"/>
  <c r="D91" i="2"/>
  <c r="D98" i="2"/>
  <c r="D103" i="2"/>
  <c r="E117" i="2"/>
  <c r="F117" i="2"/>
  <c r="G117" i="2"/>
  <c r="H117" i="2"/>
  <c r="E119" i="2"/>
  <c r="E122" i="2" s="1"/>
  <c r="F119" i="2"/>
  <c r="F122" i="2" s="1"/>
  <c r="G119" i="2"/>
  <c r="H119" i="2"/>
  <c r="H122" i="2" s="1"/>
  <c r="E120" i="2"/>
  <c r="F120" i="2"/>
  <c r="G120" i="2"/>
  <c r="H120" i="2"/>
  <c r="E121" i="2"/>
  <c r="F121" i="2"/>
  <c r="G121" i="2"/>
  <c r="H121" i="2"/>
  <c r="D7" i="1"/>
  <c r="D10" i="1" s="1"/>
  <c r="D8" i="1"/>
  <c r="D9" i="1"/>
  <c r="D13" i="1"/>
  <c r="D14" i="1"/>
  <c r="D15" i="1"/>
  <c r="D16" i="1"/>
  <c r="D29" i="1"/>
  <c r="D32" i="1"/>
  <c r="D33" i="1"/>
  <c r="D34" i="1"/>
  <c r="B54" i="1"/>
  <c r="D54" i="1" s="1"/>
  <c r="D60" i="1"/>
  <c r="D63" i="1"/>
  <c r="D65" i="1"/>
  <c r="D64" i="1"/>
  <c r="D68" i="1"/>
  <c r="D71" i="1"/>
  <c r="D83" i="1"/>
  <c r="D84" i="1"/>
  <c r="D85" i="1"/>
  <c r="D94" i="1"/>
  <c r="F96" i="1"/>
  <c r="B109" i="1"/>
  <c r="C109" i="1"/>
  <c r="D109" i="1"/>
  <c r="B114" i="1"/>
  <c r="C114" i="1"/>
  <c r="D114" i="1"/>
  <c r="B120" i="1"/>
  <c r="C120" i="1"/>
  <c r="D120" i="1"/>
  <c r="B129" i="1"/>
  <c r="C129" i="1"/>
  <c r="D129" i="1"/>
  <c r="B134" i="1"/>
  <c r="C134" i="1"/>
  <c r="D134" i="1"/>
  <c r="E139" i="1"/>
  <c r="E275" i="1" s="1"/>
  <c r="B142" i="1"/>
  <c r="C142" i="1"/>
  <c r="D142" i="1"/>
  <c r="B149" i="1"/>
  <c r="C149" i="1"/>
  <c r="D149" i="1"/>
  <c r="B156" i="1"/>
  <c r="C156" i="1"/>
  <c r="D156" i="1"/>
  <c r="B161" i="1"/>
  <c r="C161" i="1"/>
  <c r="D161" i="1"/>
  <c r="B175" i="1"/>
  <c r="C175" i="1"/>
  <c r="D175" i="1"/>
  <c r="B183" i="1"/>
  <c r="C183" i="1"/>
  <c r="D183" i="1"/>
  <c r="B192" i="1"/>
  <c r="C192" i="1"/>
  <c r="D192" i="1"/>
  <c r="B206" i="1"/>
  <c r="B207" i="1"/>
  <c r="B210" i="1"/>
  <c r="B212" i="1" s="1"/>
  <c r="C206" i="1"/>
  <c r="D206" i="1"/>
  <c r="D207" i="1"/>
  <c r="D210" i="1" s="1"/>
  <c r="D212" i="1" s="1"/>
  <c r="C207" i="1"/>
  <c r="C210" i="1"/>
  <c r="C212" i="1" s="1"/>
  <c r="B217" i="1"/>
  <c r="C217" i="1"/>
  <c r="D217" i="1"/>
  <c r="B225" i="1"/>
  <c r="C225" i="1"/>
  <c r="D225" i="1"/>
  <c r="D236" i="1" s="1"/>
  <c r="B226" i="1"/>
  <c r="C226" i="1"/>
  <c r="D226" i="1"/>
  <c r="B227" i="1"/>
  <c r="C227" i="1"/>
  <c r="D227" i="1"/>
  <c r="B228" i="1"/>
  <c r="B236" i="1"/>
  <c r="C228" i="1"/>
  <c r="C236" i="1" s="1"/>
  <c r="D228" i="1"/>
  <c r="B247" i="1"/>
  <c r="C247" i="1"/>
  <c r="D247" i="1"/>
  <c r="B261" i="1"/>
  <c r="B265" i="1" s="1"/>
  <c r="C261" i="1"/>
  <c r="C265" i="1" s="1"/>
  <c r="D261" i="1"/>
  <c r="D265" i="1"/>
  <c r="B270" i="1"/>
  <c r="C270" i="1"/>
  <c r="D270" i="1"/>
  <c r="E272" i="1"/>
  <c r="G272" i="1"/>
  <c r="H272" i="1"/>
  <c r="E274" i="1"/>
  <c r="G274" i="1"/>
  <c r="H274" i="1"/>
  <c r="F275" i="1"/>
  <c r="G275" i="1"/>
  <c r="H275" i="1"/>
  <c r="E276" i="1"/>
  <c r="F276" i="1"/>
  <c r="G276" i="1"/>
  <c r="H276" i="1"/>
  <c r="M6" i="55"/>
  <c r="S6" i="55"/>
  <c r="M7" i="55"/>
  <c r="Y7" i="55"/>
  <c r="M8" i="55"/>
  <c r="Y8" i="55"/>
  <c r="L9" i="55"/>
  <c r="M9" i="55"/>
  <c r="S9" i="55"/>
  <c r="V9" i="55" s="1"/>
  <c r="Y9" i="55" s="1"/>
  <c r="B10" i="55"/>
  <c r="M10" i="55"/>
  <c r="Y10" i="55"/>
  <c r="M11" i="55"/>
  <c r="Y11" i="55"/>
  <c r="L12" i="55"/>
  <c r="M12" i="55"/>
  <c r="Y12" i="55"/>
  <c r="M13" i="55"/>
  <c r="Y13" i="55"/>
  <c r="M14" i="55"/>
  <c r="Y14" i="55"/>
  <c r="M15" i="55"/>
  <c r="Y15" i="55"/>
  <c r="M16" i="55"/>
  <c r="S16" i="55"/>
  <c r="V16" i="55" s="1"/>
  <c r="Y16" i="55" s="1"/>
  <c r="M17" i="55"/>
  <c r="S17" i="55"/>
  <c r="Y17" i="55"/>
  <c r="M18" i="55"/>
  <c r="Y18" i="55"/>
  <c r="M19" i="55"/>
  <c r="Y19" i="55"/>
  <c r="M20" i="55"/>
  <c r="Y20" i="55"/>
  <c r="M21" i="55"/>
  <c r="Y21" i="55"/>
  <c r="M22" i="55"/>
  <c r="Y22" i="55"/>
  <c r="M23" i="55"/>
  <c r="Y23" i="55"/>
  <c r="L24" i="55"/>
  <c r="M24" i="55" s="1"/>
  <c r="S24" i="55"/>
  <c r="V24" i="55"/>
  <c r="Y24" i="55"/>
  <c r="C25" i="55"/>
  <c r="C33" i="55" s="1"/>
  <c r="D25" i="55"/>
  <c r="D33" i="55" s="1"/>
  <c r="E25" i="55"/>
  <c r="F25" i="55"/>
  <c r="G25" i="55"/>
  <c r="H25" i="55"/>
  <c r="I25" i="55"/>
  <c r="J25" i="55"/>
  <c r="K25" i="55"/>
  <c r="L25" i="55"/>
  <c r="M25" i="55"/>
  <c r="W25" i="55"/>
  <c r="W29" i="55" s="1"/>
  <c r="W33" i="55" s="1"/>
  <c r="X25" i="55"/>
  <c r="X29" i="55"/>
  <c r="X33" i="55"/>
  <c r="U38" i="55"/>
  <c r="M27" i="55"/>
  <c r="V27" i="55"/>
  <c r="Y27" i="55"/>
  <c r="F29" i="55"/>
  <c r="F33" i="55"/>
  <c r="G29" i="55"/>
  <c r="H29" i="55"/>
  <c r="I29" i="55"/>
  <c r="J29" i="55"/>
  <c r="K29" i="55"/>
  <c r="L29" i="55"/>
  <c r="M29" i="55"/>
  <c r="I31" i="55"/>
  <c r="L31" i="55"/>
  <c r="M31" i="55"/>
  <c r="V31" i="55"/>
  <c r="B33" i="55"/>
  <c r="E33" i="55"/>
  <c r="G33" i="55"/>
  <c r="H33" i="55"/>
  <c r="I33" i="55"/>
  <c r="J33" i="55"/>
  <c r="K33" i="55"/>
  <c r="L33" i="55"/>
  <c r="M33" i="55"/>
  <c r="V6" i="55"/>
  <c r="D47" i="9"/>
  <c r="B58" i="9" s="1"/>
  <c r="B97" i="9" s="1"/>
  <c r="D97" i="9" s="1"/>
  <c r="D74" i="9"/>
  <c r="D198" i="9"/>
  <c r="D107" i="9"/>
  <c r="D144" i="9"/>
  <c r="G69" i="18"/>
  <c r="C67" i="18"/>
  <c r="D67" i="18"/>
  <c r="B30" i="18"/>
  <c r="G30" i="18"/>
  <c r="I97" i="17"/>
  <c r="H97" i="17"/>
  <c r="G97" i="17"/>
  <c r="D9" i="16"/>
  <c r="B63" i="16" s="1"/>
  <c r="D63" i="16" s="1"/>
  <c r="D54" i="16"/>
  <c r="H162" i="15"/>
  <c r="F144" i="14"/>
  <c r="B44" i="14"/>
  <c r="D44" i="14" s="1"/>
  <c r="B29" i="13"/>
  <c r="D29" i="13" s="1"/>
  <c r="D55" i="13"/>
  <c r="B30" i="13"/>
  <c r="D30" i="13"/>
  <c r="B38" i="13"/>
  <c r="D38" i="13" s="1"/>
  <c r="B63" i="13"/>
  <c r="D63" i="13"/>
  <c r="B28" i="13"/>
  <c r="D28" i="13"/>
  <c r="B36" i="13"/>
  <c r="D36" i="13" s="1"/>
  <c r="B61" i="13"/>
  <c r="D61" i="13"/>
  <c r="E134" i="13"/>
  <c r="D50" i="13"/>
  <c r="G253" i="12"/>
  <c r="F247" i="12"/>
  <c r="G247" i="12"/>
  <c r="E242" i="12"/>
  <c r="E247" i="12" s="1"/>
  <c r="D39" i="12"/>
  <c r="B50" i="12" s="1"/>
  <c r="H253" i="12"/>
  <c r="I256" i="12" s="1"/>
  <c r="D66" i="12"/>
  <c r="H247" i="12"/>
  <c r="D51" i="12"/>
  <c r="B56" i="12"/>
  <c r="D56" i="12" s="1"/>
  <c r="B39" i="11"/>
  <c r="D39" i="11" s="1"/>
  <c r="F263" i="11"/>
  <c r="E263" i="11"/>
  <c r="D121" i="8"/>
  <c r="H219" i="8"/>
  <c r="D137" i="8"/>
  <c r="B71" i="8"/>
  <c r="D71" i="8" s="1"/>
  <c r="G219" i="8"/>
  <c r="B72" i="8"/>
  <c r="D72" i="8" s="1"/>
  <c r="B79" i="8"/>
  <c r="D79" i="8" s="1"/>
  <c r="D80" i="8" s="1"/>
  <c r="D58" i="8"/>
  <c r="B43" i="8"/>
  <c r="D43" i="8" s="1"/>
  <c r="B71" i="7"/>
  <c r="D71" i="7" s="1"/>
  <c r="E348" i="7"/>
  <c r="B101" i="7"/>
  <c r="D101" i="7" s="1"/>
  <c r="B102" i="7"/>
  <c r="B100" i="7"/>
  <c r="D100" i="7"/>
  <c r="D160" i="7"/>
  <c r="B69" i="7"/>
  <c r="D69" i="7" s="1"/>
  <c r="B99" i="7"/>
  <c r="D99" i="7"/>
  <c r="D67" i="7"/>
  <c r="D15" i="7"/>
  <c r="B59" i="7" s="1"/>
  <c r="D94" i="7"/>
  <c r="D89" i="7"/>
  <c r="D102" i="7"/>
  <c r="G349" i="7"/>
  <c r="F349" i="7"/>
  <c r="B48" i="6"/>
  <c r="D48" i="6" s="1"/>
  <c r="B23" i="6"/>
  <c r="D23" i="6" s="1"/>
  <c r="D55" i="6"/>
  <c r="F120" i="6"/>
  <c r="E120" i="6"/>
  <c r="G168" i="53"/>
  <c r="G172" i="53"/>
  <c r="G173" i="53" s="1"/>
  <c r="D72" i="53"/>
  <c r="D65" i="5"/>
  <c r="D55" i="5"/>
  <c r="D34" i="5"/>
  <c r="B68" i="5"/>
  <c r="D68" i="5" s="1"/>
  <c r="C31" i="5"/>
  <c r="D31" i="5"/>
  <c r="B43" i="5"/>
  <c r="D43" i="5" s="1"/>
  <c r="D90" i="5"/>
  <c r="D60" i="5"/>
  <c r="B70" i="5"/>
  <c r="D70" i="5" s="1"/>
  <c r="B36" i="5"/>
  <c r="D36" i="5" s="1"/>
  <c r="B35" i="5"/>
  <c r="D35" i="5" s="1"/>
  <c r="H144" i="5"/>
  <c r="D91" i="4"/>
  <c r="B105" i="4" s="1"/>
  <c r="D105" i="4" s="1"/>
  <c r="D374" i="3"/>
  <c r="D29" i="18"/>
  <c r="D355" i="3"/>
  <c r="D338" i="3"/>
  <c r="B29" i="18"/>
  <c r="D467" i="3"/>
  <c r="G122" i="2"/>
  <c r="C29" i="18"/>
  <c r="B44" i="1"/>
  <c r="D44" i="1" s="1"/>
  <c r="D35" i="1"/>
  <c r="B77" i="1" s="1"/>
  <c r="D18" i="1"/>
  <c r="B74" i="1"/>
  <c r="D74" i="1" s="1"/>
  <c r="B82" i="1"/>
  <c r="D82" i="1"/>
  <c r="B51" i="1"/>
  <c r="D51" i="1" s="1"/>
  <c r="B41" i="1"/>
  <c r="D41" i="1"/>
  <c r="Y31" i="55"/>
  <c r="B96" i="9"/>
  <c r="D96" i="9" s="1"/>
  <c r="B66" i="9"/>
  <c r="D66" i="9" s="1"/>
  <c r="B93" i="9"/>
  <c r="D93" i="9" s="1"/>
  <c r="B65" i="9"/>
  <c r="D65" i="9" s="1"/>
  <c r="D90" i="9"/>
  <c r="F329" i="9"/>
  <c r="D85" i="9"/>
  <c r="F146" i="16"/>
  <c r="G146" i="16"/>
  <c r="E146" i="16"/>
  <c r="H173" i="53"/>
  <c r="F173" i="53"/>
  <c r="V25" i="55"/>
  <c r="V29" i="55" s="1"/>
  <c r="V33" i="55" s="1"/>
  <c r="Y6" i="55"/>
  <c r="Y25" i="55"/>
  <c r="Y29" i="55" s="1"/>
  <c r="Y33" i="55" s="1"/>
  <c r="B80" i="12"/>
  <c r="D80" i="12" s="1"/>
  <c r="B98" i="7"/>
  <c r="D98" i="7" s="1"/>
  <c r="B38" i="5"/>
  <c r="D38" i="5" s="1"/>
  <c r="B72" i="5"/>
  <c r="D72" i="5" s="1"/>
  <c r="B42" i="5"/>
  <c r="D42" i="5" s="1"/>
  <c r="D44" i="5" s="1"/>
  <c r="H146" i="16" l="1"/>
  <c r="H150" i="16" s="1"/>
  <c r="D14" i="12"/>
  <c r="B87" i="12"/>
  <c r="D87" i="12" s="1"/>
  <c r="D90" i="12" s="1"/>
  <c r="E29" i="18"/>
  <c r="D27" i="11"/>
  <c r="B34" i="11" s="1"/>
  <c r="D34" i="11" s="1"/>
  <c r="C179" i="11"/>
  <c r="C181" i="11" s="1"/>
  <c r="C184" i="11" s="1"/>
  <c r="D49" i="11"/>
  <c r="D63" i="11"/>
  <c r="B62" i="11"/>
  <c r="D62" i="11" s="1"/>
  <c r="H263" i="11"/>
  <c r="G263" i="11"/>
  <c r="B70" i="11"/>
  <c r="D70" i="11" s="1"/>
  <c r="D72" i="11" s="1"/>
  <c r="B67" i="9"/>
  <c r="D67" i="9" s="1"/>
  <c r="B98" i="9"/>
  <c r="D98" i="9" s="1"/>
  <c r="D18" i="9"/>
  <c r="B55" i="9" s="1"/>
  <c r="D55" i="9" s="1"/>
  <c r="D60" i="9" s="1"/>
  <c r="B42" i="16"/>
  <c r="D42" i="16" s="1"/>
  <c r="B34" i="16"/>
  <c r="D34" i="16" s="1"/>
  <c r="F97" i="17"/>
  <c r="B44" i="16"/>
  <c r="D44" i="16" s="1"/>
  <c r="B65" i="16"/>
  <c r="D65" i="16" s="1"/>
  <c r="B36" i="16"/>
  <c r="D36" i="16" s="1"/>
  <c r="D16" i="16"/>
  <c r="B38" i="16"/>
  <c r="D38" i="16" s="1"/>
  <c r="B45" i="16"/>
  <c r="D45" i="16" s="1"/>
  <c r="B67" i="16"/>
  <c r="D67" i="16" s="1"/>
  <c r="B35" i="15"/>
  <c r="D35" i="15" s="1"/>
  <c r="B56" i="15"/>
  <c r="D56" i="15" s="1"/>
  <c r="D15" i="15"/>
  <c r="B53" i="15"/>
  <c r="D53" i="15" s="1"/>
  <c r="B26" i="15"/>
  <c r="D26" i="15" s="1"/>
  <c r="B33" i="15"/>
  <c r="D33" i="15" s="1"/>
  <c r="D14" i="14"/>
  <c r="B20" i="14" s="1"/>
  <c r="B58" i="11"/>
  <c r="D58" i="11" s="1"/>
  <c r="B68" i="7"/>
  <c r="D68" i="7" s="1"/>
  <c r="D72" i="7" s="1"/>
  <c r="D13" i="6"/>
  <c r="B27" i="6"/>
  <c r="D21" i="6"/>
  <c r="D22" i="53"/>
  <c r="D27" i="53"/>
  <c r="B34" i="53" s="1"/>
  <c r="D34" i="53" s="1"/>
  <c r="B31" i="53"/>
  <c r="D31" i="53" s="1"/>
  <c r="B60" i="53"/>
  <c r="D60" i="53" s="1"/>
  <c r="B39" i="53"/>
  <c r="D39" i="53" s="1"/>
  <c r="B63" i="53"/>
  <c r="D63" i="53" s="1"/>
  <c r="B30" i="53"/>
  <c r="D30" i="53" s="1"/>
  <c r="B46" i="1"/>
  <c r="D46" i="1" s="1"/>
  <c r="B76" i="1"/>
  <c r="D76" i="1" s="1"/>
  <c r="C38" i="1"/>
  <c r="D38" i="1" s="1"/>
  <c r="B56" i="1" s="1"/>
  <c r="D56" i="1" s="1"/>
  <c r="B45" i="1"/>
  <c r="D45" i="1" s="1"/>
  <c r="B55" i="1"/>
  <c r="D55" i="1" s="1"/>
  <c r="B41" i="2"/>
  <c r="D41" i="2" s="1"/>
  <c r="D42" i="2" s="1"/>
  <c r="B18" i="2"/>
  <c r="D18" i="2" s="1"/>
  <c r="B17" i="2"/>
  <c r="D125" i="4"/>
  <c r="D12" i="4"/>
  <c r="B99" i="4" s="1"/>
  <c r="D99" i="4" s="1"/>
  <c r="D140" i="4"/>
  <c r="B155" i="4"/>
  <c r="D155" i="4" s="1"/>
  <c r="D133" i="4"/>
  <c r="D195" i="4"/>
  <c r="D34" i="4"/>
  <c r="B100" i="4" s="1"/>
  <c r="D100" i="4" s="1"/>
  <c r="H307" i="4"/>
  <c r="H310" i="4" s="1"/>
  <c r="I311" i="4" s="1"/>
  <c r="B104" i="4"/>
  <c r="D104" i="4" s="1"/>
  <c r="B149" i="4"/>
  <c r="D149" i="4" s="1"/>
  <c r="B110" i="4"/>
  <c r="D110" i="4" s="1"/>
  <c r="B103" i="4"/>
  <c r="D103" i="4" s="1"/>
  <c r="B114" i="4"/>
  <c r="E307" i="4"/>
  <c r="F253" i="12"/>
  <c r="D72" i="12"/>
  <c r="E253" i="12"/>
  <c r="D50" i="12"/>
  <c r="B79" i="12"/>
  <c r="D79" i="12" s="1"/>
  <c r="D188" i="3"/>
  <c r="B112" i="4"/>
  <c r="B151" i="4" s="1"/>
  <c r="D151" i="4" s="1"/>
  <c r="C94" i="4"/>
  <c r="D94" i="4" s="1"/>
  <c r="D96" i="4" s="1"/>
  <c r="B156" i="4" s="1"/>
  <c r="D156" i="4" s="1"/>
  <c r="D79" i="4"/>
  <c r="B152" i="4" s="1"/>
  <c r="D152" i="4" s="1"/>
  <c r="F219" i="8"/>
  <c r="D63" i="8"/>
  <c r="H222" i="8"/>
  <c r="I221" i="8"/>
  <c r="B28" i="18"/>
  <c r="C28" i="18"/>
  <c r="G277" i="1"/>
  <c r="D182" i="3"/>
  <c r="D330" i="3"/>
  <c r="D496" i="3"/>
  <c r="D313" i="3"/>
  <c r="D263" i="3"/>
  <c r="D296" i="3"/>
  <c r="D490" i="3"/>
  <c r="D193" i="3"/>
  <c r="E519" i="3"/>
  <c r="B156" i="3"/>
  <c r="B165" i="3" s="1"/>
  <c r="D165" i="3" s="1"/>
  <c r="C39" i="3"/>
  <c r="D39" i="3" s="1"/>
  <c r="D41" i="3" s="1"/>
  <c r="B157" i="3" s="1"/>
  <c r="D176" i="3"/>
  <c r="B160" i="3"/>
  <c r="D160" i="3" s="1"/>
  <c r="B200" i="3"/>
  <c r="D200" i="3" s="1"/>
  <c r="B211" i="3"/>
  <c r="D211" i="3" s="1"/>
  <c r="D212" i="3" s="1"/>
  <c r="D435" i="3"/>
  <c r="C72" i="3"/>
  <c r="D72" i="3" s="1"/>
  <c r="D91" i="3" s="1"/>
  <c r="C130" i="3"/>
  <c r="C133" i="3" s="1"/>
  <c r="D133" i="3" s="1"/>
  <c r="B25" i="18"/>
  <c r="E19" i="50" s="1"/>
  <c r="H349" i="7"/>
  <c r="E27" i="18"/>
  <c r="D103" i="7"/>
  <c r="K173" i="53"/>
  <c r="G144" i="14"/>
  <c r="H523" i="3"/>
  <c r="I524" i="3" s="1"/>
  <c r="D27" i="18"/>
  <c r="D77" i="1"/>
  <c r="B86" i="1"/>
  <c r="D86" i="1" s="1"/>
  <c r="D87" i="1" s="1"/>
  <c r="B164" i="4"/>
  <c r="D164" i="4" s="1"/>
  <c r="D165" i="4" s="1"/>
  <c r="D100" i="8"/>
  <c r="D12" i="8"/>
  <c r="B25" i="14"/>
  <c r="D25" i="14" s="1"/>
  <c r="B19" i="14"/>
  <c r="D19" i="14" s="1"/>
  <c r="B47" i="37"/>
  <c r="D47" i="37" s="1"/>
  <c r="D24" i="37"/>
  <c r="B75" i="1"/>
  <c r="D75" i="1" s="1"/>
  <c r="B42" i="1"/>
  <c r="D42" i="1" s="1"/>
  <c r="B43" i="1"/>
  <c r="D43" i="1" s="1"/>
  <c r="B52" i="1"/>
  <c r="D52" i="1" s="1"/>
  <c r="B102" i="60"/>
  <c r="D102" i="60" s="1"/>
  <c r="E111" i="60" s="1"/>
  <c r="B103" i="60"/>
  <c r="D103" i="60" s="1"/>
  <c r="B104" i="60"/>
  <c r="D104" i="60" s="1"/>
  <c r="B64" i="15"/>
  <c r="D64" i="15" s="1"/>
  <c r="D66" i="15" s="1"/>
  <c r="D23" i="15"/>
  <c r="D17" i="53"/>
  <c r="C15" i="17"/>
  <c r="E15" i="17" s="1"/>
  <c r="C12" i="17"/>
  <c r="E12" i="17" s="1"/>
  <c r="B28" i="37"/>
  <c r="D28" i="37" s="1"/>
  <c r="B45" i="37"/>
  <c r="D45" i="37" s="1"/>
  <c r="B22" i="37"/>
  <c r="D22" i="37" s="1"/>
  <c r="F274" i="1"/>
  <c r="F272" i="1"/>
  <c r="B37" i="13"/>
  <c r="D37" i="13" s="1"/>
  <c r="B62" i="13"/>
  <c r="D62" i="13" s="1"/>
  <c r="B46" i="14"/>
  <c r="D46" i="14" s="1"/>
  <c r="B26" i="14"/>
  <c r="D26" i="14" s="1"/>
  <c r="B21" i="14"/>
  <c r="D21" i="14" s="1"/>
  <c r="F69" i="18"/>
  <c r="S25" i="55"/>
  <c r="S29" i="55" s="1"/>
  <c r="S33" i="55" s="1"/>
  <c r="B37" i="8"/>
  <c r="D37" i="8" s="1"/>
  <c r="B46" i="8"/>
  <c r="D46" i="8" s="1"/>
  <c r="B33" i="11"/>
  <c r="B40" i="11"/>
  <c r="D40" i="11" s="1"/>
  <c r="D41" i="11" s="1"/>
  <c r="G128" i="13"/>
  <c r="G132" i="13"/>
  <c r="D69" i="18"/>
  <c r="E30" i="18"/>
  <c r="E67" i="18"/>
  <c r="E69" i="18" s="1"/>
  <c r="D20" i="8"/>
  <c r="D22" i="8" s="1"/>
  <c r="C32" i="8"/>
  <c r="D32" i="8" s="1"/>
  <c r="D28" i="16"/>
  <c r="B37" i="16" s="1"/>
  <c r="B74" i="16"/>
  <c r="D74" i="16" s="1"/>
  <c r="D76" i="16" s="1"/>
  <c r="C69" i="18"/>
  <c r="B135" i="60"/>
  <c r="D135" i="60" s="1"/>
  <c r="B136" i="60"/>
  <c r="D136" i="60" s="1"/>
  <c r="E143" i="60"/>
  <c r="B134" i="60"/>
  <c r="D134" i="60" s="1"/>
  <c r="B68" i="60"/>
  <c r="D68" i="60" s="1"/>
  <c r="B69" i="60"/>
  <c r="D69" i="60" s="1"/>
  <c r="E79" i="60"/>
  <c r="B67" i="60"/>
  <c r="D67" i="60" s="1"/>
  <c r="B31" i="13"/>
  <c r="B64" i="13"/>
  <c r="D64" i="13" s="1"/>
  <c r="B26" i="60"/>
  <c r="D26" i="60" s="1"/>
  <c r="E41" i="60" s="1"/>
  <c r="B27" i="60"/>
  <c r="D27" i="60" s="1"/>
  <c r="B28" i="60"/>
  <c r="D28" i="60" s="1"/>
  <c r="B120" i="60"/>
  <c r="D120" i="60" s="1"/>
  <c r="B51" i="60"/>
  <c r="D51" i="60" s="1"/>
  <c r="D27" i="5"/>
  <c r="H277" i="1"/>
  <c r="I279" i="1" s="1"/>
  <c r="B119" i="60"/>
  <c r="D119" i="60" s="1"/>
  <c r="E126" i="60" s="1"/>
  <c r="B88" i="60"/>
  <c r="D88" i="60" s="1"/>
  <c r="E95" i="60" s="1"/>
  <c r="B50" i="60"/>
  <c r="D50" i="60" s="1"/>
  <c r="C94" i="3"/>
  <c r="D94" i="3" s="1"/>
  <c r="E159" i="15"/>
  <c r="B23" i="37"/>
  <c r="D23" i="37" s="1"/>
  <c r="B118" i="60"/>
  <c r="D118" i="60" s="1"/>
  <c r="B87" i="60"/>
  <c r="D87" i="60" s="1"/>
  <c r="E60" i="60"/>
  <c r="E327" i="9"/>
  <c r="E329" i="9" s="1"/>
  <c r="E277" i="1"/>
  <c r="D79" i="9"/>
  <c r="E25" i="18"/>
  <c r="H19" i="50" s="1"/>
  <c r="E31" i="18" l="1"/>
  <c r="I149" i="16"/>
  <c r="I150" i="16" s="1"/>
  <c r="B49" i="12"/>
  <c r="B55" i="12"/>
  <c r="D55" i="12" s="1"/>
  <c r="D58" i="12" s="1"/>
  <c r="B64" i="9"/>
  <c r="D64" i="9" s="1"/>
  <c r="D68" i="9" s="1"/>
  <c r="B94" i="9"/>
  <c r="D94" i="9" s="1"/>
  <c r="D99" i="9" s="1"/>
  <c r="B47" i="1"/>
  <c r="D47" i="1" s="1"/>
  <c r="D48" i="1" s="1"/>
  <c r="B78" i="1"/>
  <c r="D78" i="1" s="1"/>
  <c r="D79" i="1" s="1"/>
  <c r="I223" i="8"/>
  <c r="J223" i="8"/>
  <c r="B35" i="16"/>
  <c r="D35" i="16" s="1"/>
  <c r="B43" i="16"/>
  <c r="D43" i="16" s="1"/>
  <c r="D46" i="16" s="1"/>
  <c r="B64" i="16"/>
  <c r="D64" i="16" s="1"/>
  <c r="B27" i="15"/>
  <c r="D27" i="15" s="1"/>
  <c r="B34" i="15"/>
  <c r="D34" i="15" s="1"/>
  <c r="D36" i="15" s="1"/>
  <c r="D20" i="14"/>
  <c r="B45" i="14"/>
  <c r="D45" i="14" s="1"/>
  <c r="D47" i="14"/>
  <c r="B22" i="6"/>
  <c r="D22" i="6" s="1"/>
  <c r="D24" i="6" s="1"/>
  <c r="B47" i="6"/>
  <c r="D47" i="6" s="1"/>
  <c r="B28" i="6"/>
  <c r="D28" i="6" s="1"/>
  <c r="D27" i="6"/>
  <c r="B46" i="6"/>
  <c r="D46" i="6" s="1"/>
  <c r="B33" i="53"/>
  <c r="D33" i="53" s="1"/>
  <c r="B62" i="53"/>
  <c r="D62" i="53" s="1"/>
  <c r="B41" i="53"/>
  <c r="D41" i="53" s="1"/>
  <c r="B53" i="1"/>
  <c r="D53" i="1" s="1"/>
  <c r="D57" i="1" s="1"/>
  <c r="B197" i="3"/>
  <c r="D197" i="3" s="1"/>
  <c r="D17" i="2"/>
  <c r="D19" i="2" s="1"/>
  <c r="B22" i="2"/>
  <c r="D22" i="2" s="1"/>
  <c r="D24" i="2" s="1"/>
  <c r="B111" i="4"/>
  <c r="D111" i="4" s="1"/>
  <c r="B150" i="4"/>
  <c r="D150" i="4" s="1"/>
  <c r="B153" i="4"/>
  <c r="D153" i="4" s="1"/>
  <c r="D114" i="4"/>
  <c r="D112" i="4"/>
  <c r="B102" i="4"/>
  <c r="D102" i="4" s="1"/>
  <c r="B113" i="4"/>
  <c r="D113" i="4" s="1"/>
  <c r="B116" i="4"/>
  <c r="D116" i="4" s="1"/>
  <c r="B106" i="4"/>
  <c r="D106" i="4" s="1"/>
  <c r="D156" i="3"/>
  <c r="G31" i="18"/>
  <c r="N31" i="18" s="1"/>
  <c r="B166" i="3"/>
  <c r="D166" i="3" s="1"/>
  <c r="D157" i="3"/>
  <c r="C109" i="3"/>
  <c r="D109" i="3" s="1"/>
  <c r="C95" i="3"/>
  <c r="C101" i="3" s="1"/>
  <c r="D101" i="3" s="1"/>
  <c r="C111" i="3"/>
  <c r="C100" i="3"/>
  <c r="D100" i="3" s="1"/>
  <c r="C108" i="3"/>
  <c r="D108" i="3" s="1"/>
  <c r="C132" i="3"/>
  <c r="D132" i="3" s="1"/>
  <c r="B158" i="3"/>
  <c r="B198" i="3"/>
  <c r="D198" i="3" s="1"/>
  <c r="C131" i="3"/>
  <c r="D130" i="3"/>
  <c r="C136" i="3"/>
  <c r="D136" i="3" s="1"/>
  <c r="C138" i="3"/>
  <c r="D138" i="3" s="1"/>
  <c r="D48" i="37"/>
  <c r="E162" i="15"/>
  <c r="B27" i="18"/>
  <c r="B31" i="18" s="1"/>
  <c r="I31" i="18" s="1"/>
  <c r="M31" i="18"/>
  <c r="D65" i="13"/>
  <c r="D37" i="16"/>
  <c r="B66" i="16"/>
  <c r="D66" i="16" s="1"/>
  <c r="D40" i="13"/>
  <c r="B37" i="5"/>
  <c r="D37" i="5" s="1"/>
  <c r="D39" i="5" s="1"/>
  <c r="B71" i="5"/>
  <c r="D71" i="5" s="1"/>
  <c r="D73" i="5" s="1"/>
  <c r="B39" i="8"/>
  <c r="D39" i="8" s="1"/>
  <c r="B73" i="8"/>
  <c r="D73" i="8" s="1"/>
  <c r="B47" i="8"/>
  <c r="D47" i="8" s="1"/>
  <c r="D28" i="18"/>
  <c r="D31" i="18" s="1"/>
  <c r="G134" i="13"/>
  <c r="C25" i="18"/>
  <c r="F19" i="50" s="1"/>
  <c r="B40" i="53"/>
  <c r="D40" i="53" s="1"/>
  <c r="D42" i="53" s="1"/>
  <c r="B32" i="53"/>
  <c r="D32" i="53" s="1"/>
  <c r="B61" i="53"/>
  <c r="D61" i="53" s="1"/>
  <c r="D31" i="13"/>
  <c r="D32" i="13" s="1"/>
  <c r="B39" i="13"/>
  <c r="D39" i="13" s="1"/>
  <c r="B36" i="8"/>
  <c r="D36" i="8" s="1"/>
  <c r="B45" i="8"/>
  <c r="D25" i="18"/>
  <c r="G19" i="50" s="1"/>
  <c r="F277" i="1"/>
  <c r="C27" i="18"/>
  <c r="C31" i="18" s="1"/>
  <c r="D22" i="14"/>
  <c r="B29" i="15"/>
  <c r="D29" i="15" s="1"/>
  <c r="B57" i="15"/>
  <c r="D57" i="15" s="1"/>
  <c r="D58" i="15" s="1"/>
  <c r="D27" i="14"/>
  <c r="D33" i="11"/>
  <c r="D36" i="11" s="1"/>
  <c r="B59" i="11"/>
  <c r="D59" i="11" s="1"/>
  <c r="D64" i="11" s="1"/>
  <c r="D25" i="37"/>
  <c r="B35" i="8"/>
  <c r="D35" i="8" s="1"/>
  <c r="B69" i="8"/>
  <c r="D69" i="8" s="1"/>
  <c r="L31" i="18"/>
  <c r="J150" i="16" l="1"/>
  <c r="B78" i="12"/>
  <c r="D78" i="12" s="1"/>
  <c r="D81" i="12" s="1"/>
  <c r="D49" i="12"/>
  <c r="D52" i="12" s="1"/>
  <c r="D64" i="53"/>
  <c r="D68" i="16"/>
  <c r="D39" i="16"/>
  <c r="D30" i="15"/>
  <c r="D49" i="6"/>
  <c r="D29" i="6"/>
  <c r="D35" i="53"/>
  <c r="D157" i="4"/>
  <c r="D107" i="4"/>
  <c r="D117" i="4"/>
  <c r="C107" i="3"/>
  <c r="D107" i="3" s="1"/>
  <c r="D95" i="3"/>
  <c r="C96" i="3"/>
  <c r="C102" i="3" s="1"/>
  <c r="D102" i="3" s="1"/>
  <c r="C106" i="3"/>
  <c r="D106" i="3" s="1"/>
  <c r="B167" i="3"/>
  <c r="D167" i="3" s="1"/>
  <c r="D158" i="3"/>
  <c r="C139" i="3"/>
  <c r="D139" i="3" s="1"/>
  <c r="D131" i="3"/>
  <c r="C135" i="3"/>
  <c r="D135" i="3" s="1"/>
  <c r="D45" i="8"/>
  <c r="D48" i="8" s="1"/>
  <c r="B70" i="8"/>
  <c r="D70" i="8" s="1"/>
  <c r="D74" i="8" s="1"/>
  <c r="D40" i="8"/>
  <c r="K31" i="18"/>
  <c r="J31" i="18"/>
  <c r="D96" i="3"/>
  <c r="C97" i="3" l="1"/>
  <c r="D153" i="3"/>
  <c r="B161" i="3" s="1"/>
  <c r="D97" i="3"/>
  <c r="C98" i="3"/>
  <c r="C103" i="3"/>
  <c r="D103" i="3" s="1"/>
  <c r="B169" i="3" l="1"/>
  <c r="B201" i="3" s="1"/>
  <c r="D201" i="3" s="1"/>
  <c r="D98" i="3"/>
  <c r="C104" i="3"/>
  <c r="D104" i="3" s="1"/>
  <c r="D169" i="3" l="1"/>
  <c r="D112" i="3"/>
  <c r="B159" i="3" s="1"/>
  <c r="B168" i="3" l="1"/>
  <c r="D168" i="3" s="1"/>
  <c r="D170" i="3" s="1"/>
  <c r="D159" i="3"/>
  <c r="D162" i="3" s="1"/>
  <c r="B199" i="3" l="1"/>
  <c r="D199" i="3" s="1"/>
  <c r="D202" i="3" s="1"/>
</calcChain>
</file>

<file path=xl/comments1.xml><?xml version="1.0" encoding="utf-8"?>
<comments xmlns="http://schemas.openxmlformats.org/spreadsheetml/2006/main">
  <authors>
    <author>Michael Currier</author>
  </authors>
  <commentList>
    <comment ref="A16" authorId="0">
      <text>
        <r>
          <rPr>
            <b/>
            <sz val="9"/>
            <color indexed="81"/>
            <rFont val="Tahoma"/>
            <family val="2"/>
          </rPr>
          <t>Michael Currier:</t>
        </r>
        <r>
          <rPr>
            <sz val="9"/>
            <color indexed="81"/>
            <rFont val="Tahoma"/>
            <family val="2"/>
          </rPr>
          <t xml:space="preserve">
Reference Justification Documentation</t>
        </r>
      </text>
    </comment>
    <comment ref="A68" authorId="0">
      <text>
        <r>
          <rPr>
            <b/>
            <sz val="9"/>
            <color indexed="81"/>
            <rFont val="Tahoma"/>
            <family val="2"/>
          </rPr>
          <t>Michael Currier:</t>
        </r>
        <r>
          <rPr>
            <sz val="9"/>
            <color indexed="81"/>
            <rFont val="Tahoma"/>
            <family val="2"/>
          </rPr>
          <t xml:space="preserve">
Reference Justification Documentation</t>
        </r>
      </text>
    </comment>
    <comment ref="A69" authorId="0">
      <text>
        <r>
          <rPr>
            <b/>
            <sz val="9"/>
            <color indexed="81"/>
            <rFont val="Tahoma"/>
            <family val="2"/>
          </rPr>
          <t>Michael Currier:</t>
        </r>
        <r>
          <rPr>
            <sz val="9"/>
            <color indexed="81"/>
            <rFont val="Tahoma"/>
            <family val="2"/>
          </rPr>
          <t xml:space="preserve">
Reference Justification Documentation</t>
        </r>
      </text>
    </comment>
    <comment ref="A70" authorId="0">
      <text>
        <r>
          <rPr>
            <b/>
            <sz val="9"/>
            <color indexed="81"/>
            <rFont val="Tahoma"/>
            <family val="2"/>
          </rPr>
          <t>Michael Currier:</t>
        </r>
        <r>
          <rPr>
            <sz val="9"/>
            <color indexed="81"/>
            <rFont val="Tahoma"/>
            <family val="2"/>
          </rPr>
          <t xml:space="preserve">
Reference Justification Documentation</t>
        </r>
      </text>
    </comment>
    <comment ref="A71" authorId="0">
      <text>
        <r>
          <rPr>
            <b/>
            <sz val="9"/>
            <color indexed="81"/>
            <rFont val="Tahoma"/>
            <family val="2"/>
          </rPr>
          <t>Michael Currier:</t>
        </r>
        <r>
          <rPr>
            <sz val="9"/>
            <color indexed="81"/>
            <rFont val="Tahoma"/>
            <family val="2"/>
          </rPr>
          <t xml:space="preserve">
Reference Justification Documentation</t>
        </r>
      </text>
    </comment>
    <comment ref="A96" authorId="0">
      <text>
        <r>
          <rPr>
            <b/>
            <sz val="9"/>
            <color indexed="81"/>
            <rFont val="Tahoma"/>
            <family val="2"/>
          </rPr>
          <t>Michael Currier:</t>
        </r>
        <r>
          <rPr>
            <sz val="9"/>
            <color indexed="81"/>
            <rFont val="Tahoma"/>
            <family val="2"/>
          </rPr>
          <t xml:space="preserve">
Due to promotions we now have an officer who is a paramedic.  The training is needed to maintain certifications</t>
        </r>
      </text>
    </comment>
    <comment ref="A97" authorId="0">
      <text>
        <r>
          <rPr>
            <b/>
            <sz val="9"/>
            <color indexed="81"/>
            <rFont val="Tahoma"/>
            <family val="2"/>
          </rPr>
          <t>Michael Currier:</t>
        </r>
        <r>
          <rPr>
            <sz val="9"/>
            <color indexed="81"/>
            <rFont val="Tahoma"/>
            <family val="2"/>
          </rPr>
          <t xml:space="preserve">
Due to promotions we now have an officers who are AEMT's.  The training is needed to maintain certifications</t>
        </r>
      </text>
    </comment>
    <comment ref="A99" authorId="0">
      <text>
        <r>
          <rPr>
            <b/>
            <sz val="9"/>
            <color indexed="81"/>
            <rFont val="Tahoma"/>
            <family val="2"/>
          </rPr>
          <t>Michael Currier:</t>
        </r>
        <r>
          <rPr>
            <sz val="9"/>
            <color indexed="81"/>
            <rFont val="Tahoma"/>
            <family val="2"/>
          </rPr>
          <t xml:space="preserve">
Reference Justification Documentation</t>
        </r>
      </text>
    </comment>
    <comment ref="A135" authorId="0">
      <text>
        <r>
          <rPr>
            <b/>
            <sz val="9"/>
            <color indexed="81"/>
            <rFont val="Tahoma"/>
            <family val="2"/>
          </rPr>
          <t>Michael Currier:</t>
        </r>
        <r>
          <rPr>
            <sz val="9"/>
            <color indexed="81"/>
            <rFont val="Tahoma"/>
            <family val="2"/>
          </rPr>
          <t xml:space="preserve">
Adjustment in hours based on personnel needs for certifications</t>
        </r>
      </text>
    </comment>
    <comment ref="A137" authorId="0">
      <text>
        <r>
          <rPr>
            <b/>
            <sz val="9"/>
            <color indexed="81"/>
            <rFont val="Tahoma"/>
            <family val="2"/>
          </rPr>
          <t>Michael Currier:</t>
        </r>
        <r>
          <rPr>
            <sz val="9"/>
            <color indexed="81"/>
            <rFont val="Tahoma"/>
            <family val="2"/>
          </rPr>
          <t xml:space="preserve">
Adjustment in hours based on personnel needs for certifications</t>
        </r>
      </text>
    </comment>
    <comment ref="A140" authorId="0">
      <text>
        <r>
          <rPr>
            <b/>
            <sz val="9"/>
            <color indexed="81"/>
            <rFont val="Tahoma"/>
            <family val="2"/>
          </rPr>
          <t>Michael Currier:</t>
        </r>
        <r>
          <rPr>
            <sz val="9"/>
            <color indexed="81"/>
            <rFont val="Tahoma"/>
            <family val="2"/>
          </rPr>
          <t xml:space="preserve">
Reference Justification Documentation</t>
        </r>
      </text>
    </comment>
    <comment ref="A150" authorId="0">
      <text>
        <r>
          <rPr>
            <b/>
            <sz val="9"/>
            <color indexed="81"/>
            <rFont val="Tahoma"/>
            <family val="2"/>
          </rPr>
          <t>Michael Currier:</t>
        </r>
        <r>
          <rPr>
            <sz val="9"/>
            <color indexed="81"/>
            <rFont val="Tahoma"/>
            <family val="2"/>
          </rPr>
          <t xml:space="preserve">
Training time needed to bring new hires up to speed with our procedures, streets, ambulance protocols and expectations.</t>
        </r>
      </text>
    </comment>
    <comment ref="A230" authorId="0">
      <text>
        <r>
          <rPr>
            <b/>
            <sz val="9"/>
            <color indexed="81"/>
            <rFont val="Tahoma"/>
            <family val="2"/>
          </rPr>
          <t>Michael Currier:</t>
        </r>
        <r>
          <rPr>
            <sz val="9"/>
            <color indexed="81"/>
            <rFont val="Tahoma"/>
            <family val="2"/>
          </rPr>
          <t xml:space="preserve">
Replacement leads for our cardiac monitors.  These were in the past replaced by the hospital but due to system changes these are no longer available that meet the needs of our monitors</t>
        </r>
      </text>
    </comment>
    <comment ref="A231" authorId="0">
      <text>
        <r>
          <rPr>
            <b/>
            <sz val="9"/>
            <color indexed="81"/>
            <rFont val="Tahoma"/>
            <family val="2"/>
          </rPr>
          <t>Michael Currier:</t>
        </r>
        <r>
          <rPr>
            <sz val="9"/>
            <color indexed="81"/>
            <rFont val="Tahoma"/>
            <family val="2"/>
          </rPr>
          <t xml:space="preserve">
Not replaced by the hospital and the boxes of free bands that were received when we purchased the units have been used up over the years</t>
        </r>
      </text>
    </comment>
    <comment ref="A232" authorId="0">
      <text>
        <r>
          <rPr>
            <b/>
            <sz val="9"/>
            <color indexed="81"/>
            <rFont val="Tahoma"/>
            <family val="2"/>
          </rPr>
          <t>Michael Currier:</t>
        </r>
        <r>
          <rPr>
            <sz val="9"/>
            <color indexed="81"/>
            <rFont val="Tahoma"/>
            <family val="2"/>
          </rPr>
          <t xml:space="preserve">
Replacement Advanced Life Support Equipment, due to the ever increasing EMS calls and the types of calls these units are used more frequently in our response protocols.</t>
        </r>
      </text>
    </comment>
    <comment ref="A234" authorId="0">
      <text>
        <r>
          <rPr>
            <b/>
            <sz val="9"/>
            <color indexed="81"/>
            <rFont val="Tahoma"/>
            <family val="2"/>
          </rPr>
          <t>Michael Currier:</t>
        </r>
        <r>
          <rPr>
            <sz val="9"/>
            <color indexed="81"/>
            <rFont val="Tahoma"/>
            <family val="2"/>
          </rPr>
          <t xml:space="preserve">
Reference Justification Documentation</t>
        </r>
      </text>
    </comment>
    <comment ref="A348" authorId="0">
      <text>
        <r>
          <rPr>
            <b/>
            <sz val="9"/>
            <color indexed="81"/>
            <rFont val="Tahoma"/>
            <family val="2"/>
          </rPr>
          <t>Michael Currier:</t>
        </r>
        <r>
          <rPr>
            <sz val="9"/>
            <color indexed="81"/>
            <rFont val="Tahoma"/>
            <family val="2"/>
          </rPr>
          <t xml:space="preserve">
Due to staffing and multiple calls we are finding it harder to plow all three stations in a timely manor.  I have approached DPW but I have been advised that due to their staffing issues they are not able to plow the stations. This is to provide contract plowing unless it canbe covered wihtin the DPW contract plowing.</t>
        </r>
      </text>
    </comment>
    <comment ref="A400" authorId="0">
      <text>
        <r>
          <rPr>
            <b/>
            <sz val="9"/>
            <color indexed="81"/>
            <rFont val="Tahoma"/>
            <family val="2"/>
          </rPr>
          <t>Michael Currier:</t>
        </r>
        <r>
          <rPr>
            <sz val="9"/>
            <color indexed="81"/>
            <rFont val="Tahoma"/>
            <family val="2"/>
          </rPr>
          <t xml:space="preserve">
Due to the size of our patients we have purchased powered stretchers.  These batteries are to replace older batteries annually on a rotating schedule</t>
        </r>
      </text>
    </comment>
    <comment ref="A425" authorId="0">
      <text>
        <r>
          <rPr>
            <b/>
            <sz val="9"/>
            <color indexed="81"/>
            <rFont val="Tahoma"/>
            <family val="2"/>
          </rPr>
          <t>Michael Currier:</t>
        </r>
        <r>
          <rPr>
            <sz val="9"/>
            <color indexed="81"/>
            <rFont val="Tahoma"/>
            <family val="2"/>
          </rPr>
          <t xml:space="preserve">
Reference Justification Documentation</t>
        </r>
      </text>
    </comment>
    <comment ref="A446" authorId="0">
      <text>
        <r>
          <rPr>
            <b/>
            <sz val="9"/>
            <color indexed="81"/>
            <rFont val="Tahoma"/>
            <family val="2"/>
          </rPr>
          <t>Michael Currier:</t>
        </r>
        <r>
          <rPr>
            <sz val="9"/>
            <color indexed="81"/>
            <rFont val="Tahoma"/>
            <family val="2"/>
          </rPr>
          <t xml:space="preserve">
Replacement of out dated respirator protections equipment</t>
        </r>
      </text>
    </comment>
    <comment ref="A447" authorId="0">
      <text>
        <r>
          <rPr>
            <b/>
            <sz val="9"/>
            <color indexed="81"/>
            <rFont val="Tahoma"/>
            <family val="2"/>
          </rPr>
          <t>Michael Currier:</t>
        </r>
        <r>
          <rPr>
            <sz val="9"/>
            <color indexed="81"/>
            <rFont val="Tahoma"/>
            <family val="2"/>
          </rPr>
          <t xml:space="preserve">
Replacement of out dated respirator protections equipment</t>
        </r>
      </text>
    </comment>
    <comment ref="A448" authorId="0">
      <text>
        <r>
          <rPr>
            <b/>
            <sz val="9"/>
            <color indexed="81"/>
            <rFont val="Tahoma"/>
            <family val="2"/>
          </rPr>
          <t>Michael Currier:</t>
        </r>
        <r>
          <rPr>
            <sz val="9"/>
            <color indexed="81"/>
            <rFont val="Tahoma"/>
            <family val="2"/>
          </rPr>
          <t xml:space="preserve">
Replacement of out dated respirator protections equipment</t>
        </r>
      </text>
    </comment>
    <comment ref="A494" authorId="0">
      <text>
        <r>
          <rPr>
            <b/>
            <sz val="9"/>
            <color indexed="81"/>
            <rFont val="Tahoma"/>
            <family val="2"/>
          </rPr>
          <t>Michael Currier:</t>
        </r>
        <r>
          <rPr>
            <sz val="9"/>
            <color indexed="81"/>
            <rFont val="Tahoma"/>
            <family val="2"/>
          </rPr>
          <t xml:space="preserve">
Reference attached justification</t>
        </r>
      </text>
    </comment>
  </commentList>
</comments>
</file>

<file path=xl/comments10.xml><?xml version="1.0" encoding="utf-8"?>
<comments xmlns="http://schemas.openxmlformats.org/spreadsheetml/2006/main">
  <authors>
    <author>Timothy J. Thompson</author>
  </authors>
  <commentList>
    <comment ref="IL105" authorId="0">
      <text>
        <r>
          <rPr>
            <b/>
            <sz val="9"/>
            <color indexed="81"/>
            <rFont val="Tahoma"/>
            <family val="2"/>
          </rPr>
          <t>Timothy J. Thompson:</t>
        </r>
        <r>
          <rPr>
            <sz val="9"/>
            <color indexed="81"/>
            <rFont val="Tahoma"/>
            <family val="2"/>
          </rPr>
          <t xml:space="preserve">
increased due to age of machines, potential need for replacement</t>
        </r>
      </text>
    </comment>
    <comment ref="IL108" authorId="0">
      <text>
        <r>
          <rPr>
            <b/>
            <sz val="9"/>
            <color indexed="81"/>
            <rFont val="Tahoma"/>
            <family val="2"/>
          </rPr>
          <t>Timothy J. Thompson:</t>
        </r>
        <r>
          <rPr>
            <sz val="9"/>
            <color indexed="81"/>
            <rFont val="Tahoma"/>
            <family val="2"/>
          </rPr>
          <t xml:space="preserve">
reduced to offset increase to Copiers line, elimination of sidewalk master plan project</t>
        </r>
      </text>
    </comment>
    <comment ref="IL118" authorId="0">
      <text>
        <r>
          <rPr>
            <b/>
            <sz val="9"/>
            <color indexed="81"/>
            <rFont val="Tahoma"/>
            <family val="2"/>
          </rPr>
          <t>Timothy J. Thompson:</t>
        </r>
        <r>
          <rPr>
            <sz val="9"/>
            <color indexed="81"/>
            <rFont val="Tahoma"/>
            <family val="2"/>
          </rPr>
          <t xml:space="preserve">
reduced to offset increase to Copiers line and based on past experience with line</t>
        </r>
      </text>
    </comment>
  </commentList>
</comments>
</file>

<file path=xl/comments11.xml><?xml version="1.0" encoding="utf-8"?>
<comments xmlns="http://schemas.openxmlformats.org/spreadsheetml/2006/main">
  <authors>
    <author>Diane Trippett</author>
  </authors>
  <commentList>
    <comment ref="B24" authorId="0">
      <text>
        <r>
          <rPr>
            <b/>
            <sz val="9"/>
            <color indexed="81"/>
            <rFont val="Tahoma"/>
            <family val="2"/>
          </rPr>
          <t>Diane Trippett:</t>
        </r>
        <r>
          <rPr>
            <sz val="9"/>
            <color indexed="81"/>
            <rFont val="Tahoma"/>
            <family val="2"/>
          </rPr>
          <t xml:space="preserve">
position is 20 hours per week</t>
        </r>
      </text>
    </comment>
    <comment ref="B27" authorId="0">
      <text>
        <r>
          <rPr>
            <b/>
            <sz val="9"/>
            <color indexed="81"/>
            <rFont val="Tahoma"/>
            <family val="2"/>
          </rPr>
          <t>Diane Trippett:</t>
        </r>
        <r>
          <rPr>
            <sz val="9"/>
            <color indexed="81"/>
            <rFont val="Tahoma"/>
            <family val="2"/>
          </rPr>
          <t xml:space="preserve">
reduction in hours to reflect "actual" for assistance at tax window</t>
        </r>
      </text>
    </comment>
    <comment ref="D114" authorId="0">
      <text>
        <r>
          <rPr>
            <b/>
            <sz val="9"/>
            <color indexed="81"/>
            <rFont val="Tahoma"/>
            <family val="2"/>
          </rPr>
          <t>Diane Trippett:</t>
        </r>
        <r>
          <rPr>
            <sz val="9"/>
            <color indexed="81"/>
            <rFont val="Tahoma"/>
            <family val="2"/>
          </rPr>
          <t xml:space="preserve">
support price increase from $6332 to $6500</t>
        </r>
      </text>
    </comment>
    <comment ref="D115" authorId="0">
      <text>
        <r>
          <rPr>
            <b/>
            <sz val="9"/>
            <color indexed="81"/>
            <rFont val="Tahoma"/>
            <family val="2"/>
          </rPr>
          <t>Diane Trippett:</t>
        </r>
        <r>
          <rPr>
            <sz val="9"/>
            <color indexed="81"/>
            <rFont val="Tahoma"/>
            <family val="2"/>
          </rPr>
          <t xml:space="preserve">
support price increase from $5900 to $6100</t>
        </r>
      </text>
    </comment>
    <comment ref="D121" authorId="0">
      <text>
        <r>
          <rPr>
            <b/>
            <sz val="9"/>
            <color indexed="81"/>
            <rFont val="Tahoma"/>
            <family val="2"/>
          </rPr>
          <t>Diane Trippett:</t>
        </r>
        <r>
          <rPr>
            <sz val="9"/>
            <color indexed="81"/>
            <rFont val="Tahoma"/>
            <family val="2"/>
          </rPr>
          <t xml:space="preserve">
to provide for deputy tc/tct to attend conference in additon to tc/tc</t>
        </r>
      </text>
    </comment>
  </commentList>
</comments>
</file>

<file path=xl/comments12.xml><?xml version="1.0" encoding="utf-8"?>
<comments xmlns="http://schemas.openxmlformats.org/spreadsheetml/2006/main">
  <authors>
    <author>JTaylor</author>
  </authors>
  <commentList>
    <comment ref="C15" authorId="0">
      <text>
        <r>
          <rPr>
            <b/>
            <sz val="9"/>
            <color indexed="81"/>
            <rFont val="Tahoma"/>
            <family val="2"/>
          </rPr>
          <t>JTaylor:</t>
        </r>
        <r>
          <rPr>
            <sz val="9"/>
            <color indexed="81"/>
            <rFont val="Tahoma"/>
            <family val="2"/>
          </rPr>
          <t xml:space="preserve">
Moved to supervisory account.</t>
        </r>
      </text>
    </comment>
    <comment ref="D164" authorId="0">
      <text>
        <r>
          <rPr>
            <b/>
            <sz val="9"/>
            <color indexed="81"/>
            <rFont val="Tahoma"/>
            <family val="2"/>
          </rPr>
          <t>JTaylor:</t>
        </r>
        <r>
          <rPr>
            <sz val="9"/>
            <color indexed="81"/>
            <rFont val="Tahoma"/>
            <family val="2"/>
          </rPr>
          <t xml:space="preserve">
Added in 3 new pump stations</t>
        </r>
      </text>
    </comment>
  </commentList>
</comments>
</file>

<file path=xl/comments2.xml><?xml version="1.0" encoding="utf-8"?>
<comments xmlns="http://schemas.openxmlformats.org/spreadsheetml/2006/main">
  <authors>
    <author>Mark Doyle</author>
  </authors>
  <commentList>
    <comment ref="B25" authorId="0">
      <text>
        <r>
          <rPr>
            <b/>
            <sz val="9"/>
            <color indexed="81"/>
            <rFont val="Tahoma"/>
            <family val="2"/>
          </rPr>
          <t>Mark Doyle:</t>
        </r>
        <r>
          <rPr>
            <sz val="9"/>
            <color indexed="81"/>
            <rFont val="Tahoma"/>
            <family val="2"/>
          </rPr>
          <t xml:space="preserve">
Changes made - number of officers has been adjusted…accordingly</t>
        </r>
      </text>
    </comment>
    <comment ref="B30" authorId="0">
      <text>
        <r>
          <rPr>
            <b/>
            <sz val="9"/>
            <color indexed="81"/>
            <rFont val="Tahoma"/>
            <family val="2"/>
          </rPr>
          <t>Mark Doyle:</t>
        </r>
        <r>
          <rPr>
            <sz val="9"/>
            <color indexed="81"/>
            <rFont val="Tahoma"/>
            <family val="2"/>
          </rPr>
          <t xml:space="preserve">
Changes made - number of officers has been adjusted…accordingly</t>
        </r>
      </text>
    </comment>
    <comment ref="B71" authorId="0">
      <text>
        <r>
          <rPr>
            <b/>
            <sz val="9"/>
            <color indexed="81"/>
            <rFont val="Tahoma"/>
            <family val="2"/>
          </rPr>
          <t>Mark Doyle:</t>
        </r>
        <r>
          <rPr>
            <sz val="9"/>
            <color indexed="81"/>
            <rFont val="Tahoma"/>
            <family val="2"/>
          </rPr>
          <t xml:space="preserve">
Changes made - number of officers has been adjusted…accordingly</t>
        </r>
      </text>
    </comment>
    <comment ref="D77" authorId="0">
      <text>
        <r>
          <rPr>
            <b/>
            <sz val="9"/>
            <color indexed="81"/>
            <rFont val="Tahoma"/>
            <family val="2"/>
          </rPr>
          <t>Mark Doyle:</t>
        </r>
        <r>
          <rPr>
            <sz val="9"/>
            <color indexed="81"/>
            <rFont val="Tahoma"/>
            <family val="2"/>
          </rPr>
          <t xml:space="preserve">
To be better able to attract qualified, certified candidates from other agenciies</t>
        </r>
      </text>
    </comment>
    <comment ref="D91" authorId="0">
      <text>
        <r>
          <rPr>
            <b/>
            <sz val="9"/>
            <color indexed="81"/>
            <rFont val="Tahoma"/>
            <family val="2"/>
          </rPr>
          <t>Mark Doyle:</t>
        </r>
        <r>
          <rPr>
            <sz val="9"/>
            <color indexed="81"/>
            <rFont val="Tahoma"/>
            <family val="2"/>
          </rPr>
          <t xml:space="preserve">
Increase in hourly rate for P/T traffic/Crossing Guard control</t>
        </r>
      </text>
    </comment>
    <comment ref="D170" authorId="0">
      <text>
        <r>
          <rPr>
            <b/>
            <sz val="9"/>
            <color indexed="81"/>
            <rFont val="Tahoma"/>
            <family val="2"/>
          </rPr>
          <t>Mark Doyle:</t>
        </r>
        <r>
          <rPr>
            <sz val="9"/>
            <color indexed="81"/>
            <rFont val="Tahoma"/>
            <family val="2"/>
          </rPr>
          <t xml:space="preserve">
Increase by $1000</t>
        </r>
      </text>
    </comment>
    <comment ref="D175" authorId="0">
      <text>
        <r>
          <rPr>
            <b/>
            <sz val="9"/>
            <color indexed="81"/>
            <rFont val="Tahoma"/>
            <family val="2"/>
          </rPr>
          <t>Mark Doyle:</t>
        </r>
        <r>
          <rPr>
            <sz val="9"/>
            <color indexed="81"/>
            <rFont val="Tahoma"/>
            <family val="2"/>
          </rPr>
          <t xml:space="preserve">
Increase by $1000</t>
        </r>
      </text>
    </comment>
    <comment ref="B183" authorId="0">
      <text>
        <r>
          <rPr>
            <b/>
            <sz val="9"/>
            <color indexed="81"/>
            <rFont val="Tahoma"/>
            <family val="2"/>
          </rPr>
          <t>Mark Doyle:</t>
        </r>
        <r>
          <rPr>
            <sz val="9"/>
            <color indexed="81"/>
            <rFont val="Tahoma"/>
            <family val="2"/>
          </rPr>
          <t xml:space="preserve">
Changes made - number of officers has been adjusted…accordingly</t>
        </r>
      </text>
    </comment>
    <comment ref="C188" authorId="0">
      <text>
        <r>
          <rPr>
            <b/>
            <sz val="9"/>
            <color indexed="81"/>
            <rFont val="Tahoma"/>
            <family val="2"/>
          </rPr>
          <t>Mark Doyle:</t>
        </r>
        <r>
          <rPr>
            <sz val="9"/>
            <color indexed="81"/>
            <rFont val="Tahoma"/>
            <family val="2"/>
          </rPr>
          <t xml:space="preserve">
Increased by 9 for this upcoming year…this will be @ $6000 (accounts for the BVP 50% match)</t>
        </r>
      </text>
    </comment>
    <comment ref="D236" authorId="0">
      <text>
        <r>
          <rPr>
            <b/>
            <sz val="9"/>
            <color indexed="81"/>
            <rFont val="Tahoma"/>
            <family val="2"/>
          </rPr>
          <t>Mark Doyle:</t>
        </r>
        <r>
          <rPr>
            <sz val="9"/>
            <color indexed="81"/>
            <rFont val="Tahoma"/>
            <family val="2"/>
          </rPr>
          <t xml:space="preserve">
Increase by $2500 to allow for greater training opportunities - travel expenses</t>
        </r>
      </text>
    </comment>
    <comment ref="D247" authorId="0">
      <text>
        <r>
          <rPr>
            <b/>
            <sz val="9"/>
            <color indexed="81"/>
            <rFont val="Tahoma"/>
            <family val="2"/>
          </rPr>
          <t>Mark Doyle:</t>
        </r>
        <r>
          <rPr>
            <sz val="9"/>
            <color indexed="81"/>
            <rFont val="Tahoma"/>
            <family val="2"/>
          </rPr>
          <t xml:space="preserve">
Allow for increases in maintenance costs for copiers</t>
        </r>
      </text>
    </comment>
    <comment ref="D257" authorId="0">
      <text>
        <r>
          <rPr>
            <b/>
            <sz val="9"/>
            <color indexed="81"/>
            <rFont val="Tahoma"/>
            <family val="2"/>
          </rPr>
          <t>Mark Doyle:</t>
        </r>
        <r>
          <rPr>
            <sz val="9"/>
            <color indexed="81"/>
            <rFont val="Tahoma"/>
            <family val="2"/>
          </rPr>
          <t xml:space="preserve">
Increase by $5000 for greater training opportunities</t>
        </r>
      </text>
    </comment>
    <comment ref="D288" authorId="0">
      <text>
        <r>
          <rPr>
            <b/>
            <sz val="9"/>
            <color indexed="81"/>
            <rFont val="Tahoma"/>
            <family val="2"/>
          </rPr>
          <t>Mark Doyle:</t>
        </r>
        <r>
          <rPr>
            <sz val="9"/>
            <color indexed="81"/>
            <rFont val="Tahoma"/>
            <family val="2"/>
          </rPr>
          <t xml:space="preserve">
</t>
        </r>
      </text>
    </comment>
    <comment ref="D295" authorId="0">
      <text>
        <r>
          <rPr>
            <b/>
            <sz val="9"/>
            <color indexed="81"/>
            <rFont val="Tahoma"/>
            <family val="2"/>
          </rPr>
          <t>Mark Doyle:</t>
        </r>
        <r>
          <rPr>
            <sz val="9"/>
            <color indexed="81"/>
            <rFont val="Tahoma"/>
            <family val="2"/>
          </rPr>
          <t xml:space="preserve">
Taser Replacement yearly cost-post purchase last year = $10,095.00 savings this year</t>
        </r>
      </text>
    </comment>
  </commentList>
</comments>
</file>

<file path=xl/comments3.xml><?xml version="1.0" encoding="utf-8"?>
<comments xmlns="http://schemas.openxmlformats.org/spreadsheetml/2006/main">
  <authors>
    <author>Mark Doyle</author>
  </authors>
  <commentList>
    <comment ref="B25" authorId="0">
      <text>
        <r>
          <rPr>
            <b/>
            <sz val="9"/>
            <color indexed="81"/>
            <rFont val="Tahoma"/>
            <family val="2"/>
          </rPr>
          <t>Mark Doyle:</t>
        </r>
        <r>
          <rPr>
            <sz val="9"/>
            <color indexed="81"/>
            <rFont val="Tahoma"/>
            <family val="2"/>
          </rPr>
          <t xml:space="preserve">
added 500 hours to accommodate new dispatcher training and coverage of shifts (Disp Cavanaugh + 1)
</t>
        </r>
      </text>
    </comment>
    <comment ref="C26" authorId="0">
      <text>
        <r>
          <rPr>
            <b/>
            <sz val="9"/>
            <color indexed="81"/>
            <rFont val="Tahoma"/>
            <family val="2"/>
          </rPr>
          <t>Mark Doyle:</t>
        </r>
        <r>
          <rPr>
            <sz val="9"/>
            <color indexed="81"/>
            <rFont val="Tahoma"/>
            <family val="2"/>
          </rPr>
          <t xml:space="preserve">
Adjusted to refelct accurate houraly rate
(Disp. Maille)</t>
        </r>
      </text>
    </comment>
    <comment ref="D82" authorId="0">
      <text>
        <r>
          <rPr>
            <b/>
            <sz val="9"/>
            <color indexed="81"/>
            <rFont val="Tahoma"/>
            <family val="2"/>
          </rPr>
          <t>Mark Doyle:</t>
        </r>
        <r>
          <rPr>
            <sz val="9"/>
            <color indexed="81"/>
            <rFont val="Tahoma"/>
            <family val="2"/>
          </rPr>
          <t xml:space="preserve">
Increase to allow for expenses related to office supploies in Communications</t>
        </r>
      </text>
    </comment>
    <comment ref="D93" authorId="0">
      <text>
        <r>
          <rPr>
            <b/>
            <sz val="9"/>
            <color indexed="81"/>
            <rFont val="Tahoma"/>
            <family val="2"/>
          </rPr>
          <t>Mark Doyle:</t>
        </r>
        <r>
          <rPr>
            <sz val="9"/>
            <color indexed="81"/>
            <rFont val="Tahoma"/>
            <family val="2"/>
          </rPr>
          <t xml:space="preserve">
Account for additional Cards and FOB's</t>
        </r>
      </text>
    </comment>
    <comment ref="D99" authorId="0">
      <text>
        <r>
          <rPr>
            <b/>
            <sz val="9"/>
            <color indexed="81"/>
            <rFont val="Tahoma"/>
            <family val="2"/>
          </rPr>
          <t>Mark Doyle:</t>
        </r>
        <r>
          <rPr>
            <sz val="9"/>
            <color indexed="81"/>
            <rFont val="Tahoma"/>
            <family val="2"/>
          </rPr>
          <t xml:space="preserve">
Fiber upgarde - Need numbers from Comcast/Fairpoint</t>
        </r>
      </text>
    </comment>
    <comment ref="D100" authorId="0">
      <text>
        <r>
          <rPr>
            <b/>
            <sz val="9"/>
            <color indexed="81"/>
            <rFont val="Tahoma"/>
            <family val="2"/>
          </rPr>
          <t>Mark Doyle:</t>
        </r>
        <r>
          <rPr>
            <sz val="9"/>
            <color indexed="81"/>
            <rFont val="Tahoma"/>
            <family val="2"/>
          </rPr>
          <t xml:space="preserve">
Added $1440 to allow for the 3 Lt's to have cell service for contact after hours...</t>
        </r>
      </text>
    </comment>
    <comment ref="D114" authorId="0">
      <text>
        <r>
          <rPr>
            <b/>
            <sz val="9"/>
            <color indexed="81"/>
            <rFont val="Tahoma"/>
            <family val="2"/>
          </rPr>
          <t>Mark Doyle:</t>
        </r>
        <r>
          <rPr>
            <sz val="9"/>
            <color indexed="81"/>
            <rFont val="Tahoma"/>
            <family val="2"/>
          </rPr>
          <t xml:space="preserve">
Preventative Maintenance Inspection - Yearly...</t>
        </r>
      </text>
    </comment>
    <comment ref="D122" authorId="0">
      <text>
        <r>
          <rPr>
            <b/>
            <sz val="9"/>
            <color indexed="81"/>
            <rFont val="Tahoma"/>
            <family val="2"/>
          </rPr>
          <t>Mark Doyle:</t>
        </r>
        <r>
          <rPr>
            <sz val="9"/>
            <color indexed="81"/>
            <rFont val="Tahoma"/>
            <family val="2"/>
          </rPr>
          <t xml:space="preserve">
Mark Doyle:
Provide for additional / necessary training to attain/maintain qualifications/certifications</t>
        </r>
      </text>
    </comment>
    <comment ref="D128" authorId="0">
      <text>
        <r>
          <rPr>
            <b/>
            <sz val="9"/>
            <color indexed="81"/>
            <rFont val="Tahoma"/>
            <family val="2"/>
          </rPr>
          <t>Mark Doyle:</t>
        </r>
        <r>
          <rPr>
            <sz val="9"/>
            <color indexed="81"/>
            <rFont val="Tahoma"/>
            <family val="2"/>
          </rPr>
          <t xml:space="preserve">
Needed to increase due to cost of the type of chairs we need to purchase (24/7 365 usage…)</t>
        </r>
      </text>
    </comment>
  </commentList>
</comments>
</file>

<file path=xl/comments4.xml><?xml version="1.0" encoding="utf-8"?>
<comments xmlns="http://schemas.openxmlformats.org/spreadsheetml/2006/main">
  <authors>
    <author>Michael Currier</author>
  </authors>
  <commentList>
    <comment ref="A165" authorId="0">
      <text>
        <r>
          <rPr>
            <b/>
            <sz val="9"/>
            <color indexed="81"/>
            <rFont val="Tahoma"/>
            <family val="2"/>
          </rPr>
          <t>Michael Currier:</t>
        </r>
        <r>
          <rPr>
            <sz val="9"/>
            <color indexed="81"/>
            <rFont val="Tahoma"/>
            <family val="2"/>
          </rPr>
          <t xml:space="preserve">
Replacement of the current color printer that is no longer servicable or supported by HP.  We are having problems with the machine and currently we are not able to print and do not want to waste the money on costly repairs on a non-supported machine.</t>
        </r>
      </text>
    </comment>
  </commentList>
</comments>
</file>

<file path=xl/comments5.xml><?xml version="1.0" encoding="utf-8"?>
<comments xmlns="http://schemas.openxmlformats.org/spreadsheetml/2006/main">
  <authors>
    <author>Lori Barrett</author>
    <author>Kyle Fox</author>
  </authors>
  <commentList>
    <comment ref="D164" authorId="0">
      <text>
        <r>
          <rPr>
            <b/>
            <sz val="9"/>
            <color indexed="81"/>
            <rFont val="Tahoma"/>
            <family val="2"/>
          </rPr>
          <t>Lori Barrett:</t>
        </r>
        <r>
          <rPr>
            <sz val="9"/>
            <color indexed="81"/>
            <rFont val="Tahoma"/>
            <family val="2"/>
          </rPr>
          <t xml:space="preserve">
Greg is getting paid for a smartphone.</t>
        </r>
      </text>
    </comment>
    <comment ref="D169" authorId="0">
      <text>
        <r>
          <rPr>
            <b/>
            <sz val="9"/>
            <color indexed="81"/>
            <rFont val="Tahoma"/>
            <family val="2"/>
          </rPr>
          <t>Lori Barrett:</t>
        </r>
        <r>
          <rPr>
            <sz val="9"/>
            <color indexed="81"/>
            <rFont val="Tahoma"/>
            <family val="2"/>
          </rPr>
          <t xml:space="preserve">
Add membership for foremen</t>
        </r>
      </text>
    </comment>
    <comment ref="D180" authorId="0">
      <text>
        <r>
          <rPr>
            <b/>
            <sz val="9"/>
            <color indexed="81"/>
            <rFont val="Tahoma"/>
            <family val="2"/>
          </rPr>
          <t>Lori Barrett:</t>
        </r>
        <r>
          <rPr>
            <sz val="9"/>
            <color indexed="81"/>
            <rFont val="Tahoma"/>
            <family val="2"/>
          </rPr>
          <t xml:space="preserve">
Added $$ for anticipated fuel island repairs. New inspection requirements in 2017.</t>
        </r>
      </text>
    </comment>
    <comment ref="D193" authorId="1">
      <text>
        <r>
          <rPr>
            <b/>
            <sz val="9"/>
            <color indexed="81"/>
            <rFont val="Tahoma"/>
            <family val="2"/>
          </rPr>
          <t>Kyle Fox:</t>
        </r>
        <r>
          <rPr>
            <sz val="9"/>
            <color indexed="81"/>
            <rFont val="Tahoma"/>
            <family val="2"/>
          </rPr>
          <t xml:space="preserve">
Add money for Watson Park</t>
        </r>
      </text>
    </comment>
    <comment ref="D209" authorId="0">
      <text>
        <r>
          <rPr>
            <b/>
            <sz val="9"/>
            <color indexed="81"/>
            <rFont val="Tahoma"/>
            <family val="2"/>
          </rPr>
          <t>Lori Barrett:</t>
        </r>
        <r>
          <rPr>
            <sz val="9"/>
            <color indexed="81"/>
            <rFont val="Tahoma"/>
            <family val="2"/>
          </rPr>
          <t xml:space="preserve">
Radio system needs repeater installed</t>
        </r>
      </text>
    </comment>
    <comment ref="D233" authorId="0">
      <text>
        <r>
          <rPr>
            <b/>
            <sz val="9"/>
            <color indexed="81"/>
            <rFont val="Tahoma"/>
            <family val="2"/>
          </rPr>
          <t>Lori Barrett:</t>
        </r>
        <r>
          <rPr>
            <sz val="9"/>
            <color indexed="81"/>
            <rFont val="Tahoma"/>
            <family val="2"/>
          </rPr>
          <t xml:space="preserve">
Actual Cost for inspection</t>
        </r>
      </text>
    </comment>
    <comment ref="D265" authorId="0">
      <text>
        <r>
          <rPr>
            <b/>
            <sz val="9"/>
            <color indexed="81"/>
            <rFont val="Tahoma"/>
            <family val="2"/>
          </rPr>
          <t>Lori Barrett:</t>
        </r>
        <r>
          <rPr>
            <sz val="9"/>
            <color indexed="81"/>
            <rFont val="Tahoma"/>
            <family val="2"/>
          </rPr>
          <t xml:space="preserve">
We did emergency repairs in 2016 but more repairs are needed.</t>
        </r>
      </text>
    </comment>
    <comment ref="A282" authorId="1">
      <text>
        <r>
          <rPr>
            <b/>
            <sz val="9"/>
            <color indexed="81"/>
            <rFont val="Tahoma"/>
            <family val="2"/>
          </rPr>
          <t>Kyle Fox:</t>
        </r>
        <r>
          <rPr>
            <sz val="9"/>
            <color indexed="81"/>
            <rFont val="Tahoma"/>
            <family val="2"/>
          </rPr>
          <t xml:space="preserve">
Moved pump to its own line</t>
        </r>
      </text>
    </comment>
    <comment ref="D282" authorId="0">
      <text>
        <r>
          <rPr>
            <b/>
            <sz val="9"/>
            <color indexed="81"/>
            <rFont val="Tahoma"/>
            <family val="2"/>
          </rPr>
          <t>Lori Barrett:</t>
        </r>
        <r>
          <rPr>
            <sz val="9"/>
            <color indexed="81"/>
            <rFont val="Tahoma"/>
            <family val="2"/>
          </rPr>
          <t xml:space="preserve">
Bise needs new irrigation pump</t>
        </r>
      </text>
    </comment>
    <comment ref="D297" authorId="0">
      <text>
        <r>
          <rPr>
            <b/>
            <sz val="9"/>
            <color indexed="81"/>
            <rFont val="Tahoma"/>
            <family val="2"/>
          </rPr>
          <t>Lori Barrett:</t>
        </r>
        <r>
          <rPr>
            <sz val="9"/>
            <color indexed="81"/>
            <rFont val="Tahoma"/>
            <family val="2"/>
          </rPr>
          <t xml:space="preserve">
Pending Highway Garage outcome
</t>
        </r>
      </text>
    </comment>
    <comment ref="D300" authorId="0">
      <text>
        <r>
          <rPr>
            <b/>
            <sz val="9"/>
            <color indexed="81"/>
            <rFont val="Tahoma"/>
            <family val="2"/>
          </rPr>
          <t>Lori Barrett:</t>
        </r>
        <r>
          <rPr>
            <sz val="9"/>
            <color indexed="81"/>
            <rFont val="Tahoma"/>
            <family val="2"/>
          </rPr>
          <t xml:space="preserve">
Office Needs
</t>
        </r>
      </text>
    </comment>
    <comment ref="A301" authorId="1">
      <text>
        <r>
          <rPr>
            <b/>
            <sz val="9"/>
            <color indexed="81"/>
            <rFont val="Tahoma"/>
            <family val="2"/>
          </rPr>
          <t>Kyle Fox:</t>
        </r>
        <r>
          <rPr>
            <sz val="9"/>
            <color indexed="81"/>
            <rFont val="Tahoma"/>
            <family val="2"/>
          </rPr>
          <t xml:space="preserve">
Updated description</t>
        </r>
      </text>
    </comment>
    <comment ref="A323" authorId="1">
      <text>
        <r>
          <rPr>
            <b/>
            <sz val="9"/>
            <color indexed="81"/>
            <rFont val="Tahoma"/>
            <family val="2"/>
          </rPr>
          <t>Kyle Fox:</t>
        </r>
        <r>
          <rPr>
            <sz val="9"/>
            <color indexed="81"/>
            <rFont val="Tahoma"/>
            <family val="2"/>
          </rPr>
          <t xml:space="preserve">
Updated DDescription</t>
        </r>
      </text>
    </comment>
    <comment ref="A324" authorId="1">
      <text>
        <r>
          <rPr>
            <b/>
            <sz val="9"/>
            <color indexed="81"/>
            <rFont val="Tahoma"/>
            <family val="2"/>
          </rPr>
          <t>Kyle Fox:</t>
        </r>
        <r>
          <rPr>
            <sz val="9"/>
            <color indexed="81"/>
            <rFont val="Tahoma"/>
            <family val="2"/>
          </rPr>
          <t xml:space="preserve">
Updated Descriptions</t>
        </r>
      </text>
    </comment>
  </commentList>
</comments>
</file>

<file path=xl/comments6.xml><?xml version="1.0" encoding="utf-8"?>
<comments xmlns="http://schemas.openxmlformats.org/spreadsheetml/2006/main">
  <authors>
    <author>Kyle Fox</author>
  </authors>
  <commentList>
    <comment ref="A166" authorId="0">
      <text>
        <r>
          <rPr>
            <b/>
            <sz val="9"/>
            <color indexed="81"/>
            <rFont val="Tahoma"/>
            <family val="2"/>
          </rPr>
          <t>Kyle Fox:</t>
        </r>
        <r>
          <rPr>
            <sz val="9"/>
            <color indexed="81"/>
            <rFont val="Tahoma"/>
            <family val="2"/>
          </rPr>
          <t xml:space="preserve">
Added previous year fees in description</t>
        </r>
      </text>
    </comment>
  </commentList>
</comments>
</file>

<file path=xl/comments7.xml><?xml version="1.0" encoding="utf-8"?>
<comments xmlns="http://schemas.openxmlformats.org/spreadsheetml/2006/main">
  <authors>
    <author>Matthew Casparius</author>
  </authors>
  <commentList>
    <comment ref="D19" authorId="0">
      <text>
        <r>
          <rPr>
            <b/>
            <sz val="9"/>
            <color indexed="81"/>
            <rFont val="Tahoma"/>
            <family val="2"/>
          </rPr>
          <t>Matthew Casparius:</t>
        </r>
        <r>
          <rPr>
            <sz val="9"/>
            <color indexed="81"/>
            <rFont val="Tahoma"/>
            <family val="2"/>
          </rPr>
          <t xml:space="preserve">
We've been trying for 3 summer now to find weekend lifeguard coverage and have been unsuccessful. At the end of last summer, we posted a park attendant on weekends to provide weekend supervision and to maintain park cleanliness which worked out well. Rather than spending a lot of time on continuing to try to find lifeguards, we'd like to continue with having 1 Park Attendant. </t>
        </r>
      </text>
    </comment>
    <comment ref="D20" authorId="0">
      <text>
        <r>
          <rPr>
            <b/>
            <sz val="9"/>
            <color indexed="81"/>
            <rFont val="Tahoma"/>
            <family val="2"/>
          </rPr>
          <t>Matthew Casparius:</t>
        </r>
        <r>
          <rPr>
            <sz val="9"/>
            <color indexed="81"/>
            <rFont val="Tahoma"/>
            <family val="2"/>
          </rPr>
          <t xml:space="preserve">
We've been trying for 3 summer now to find weekend lifeguard coverage and have been unsuccessful. At the end of last summer, we posted a park attendant on weekends to provide weekend supervision and to maintain park cleanliness which worked out well. Rather than spending a lot of time on continuing to try to find lifeguards, we'd like to continue with having 1 Park Attendant. </t>
        </r>
      </text>
    </comment>
    <comment ref="D21" authorId="0">
      <text>
        <r>
          <rPr>
            <b/>
            <sz val="9"/>
            <color indexed="81"/>
            <rFont val="Tahoma"/>
            <family val="2"/>
          </rPr>
          <t>Matthew Casparius:</t>
        </r>
        <r>
          <rPr>
            <sz val="9"/>
            <color indexed="81"/>
            <rFont val="Tahoma"/>
            <family val="2"/>
          </rPr>
          <t xml:space="preserve">
We've been trying for 3 summer now to find weekend lifeguard coverage and have been unsuccessful. At the end of last summer, we posted a park attendant on weekends to provide weekend supervision and to maintain park cleanliness which worked out well. Rather than spending a lot of time on continuing to try to find lifeguards, we'd like to continue with having 1 Park Attendant. </t>
        </r>
      </text>
    </comment>
    <comment ref="D22" authorId="0">
      <text>
        <r>
          <rPr>
            <b/>
            <sz val="9"/>
            <color indexed="81"/>
            <rFont val="Tahoma"/>
            <family val="2"/>
          </rPr>
          <t>Matthew Casparius:</t>
        </r>
        <r>
          <rPr>
            <sz val="9"/>
            <color indexed="81"/>
            <rFont val="Tahoma"/>
            <family val="2"/>
          </rPr>
          <t xml:space="preserve">
Our current wage scale for Lifeguards is $8.50 - $11.56 per hour. In the past we have been paying on the bottom of this scale and struggle to fill the positions. Statewide, the average wage for a lifeguard is $10.16 per hour. We'd like to start moving our starting wages up towards the middle of the scale to stay competitive with other municipalities.</t>
        </r>
      </text>
    </comment>
    <comment ref="D23" authorId="0">
      <text>
        <r>
          <rPr>
            <b/>
            <sz val="9"/>
            <color indexed="81"/>
            <rFont val="Tahoma"/>
            <family val="2"/>
          </rPr>
          <t>Matthew Casparius:</t>
        </r>
        <r>
          <rPr>
            <sz val="9"/>
            <color indexed="81"/>
            <rFont val="Tahoma"/>
            <family val="2"/>
          </rPr>
          <t xml:space="preserve">
The wage scale for this position has increased since last year and the minimum rate on the scale is $13.98. </t>
        </r>
      </text>
    </comment>
    <comment ref="D25" authorId="0">
      <text>
        <r>
          <rPr>
            <b/>
            <sz val="9"/>
            <color indexed="81"/>
            <rFont val="Tahoma"/>
            <family val="2"/>
          </rPr>
          <t>Matthew Casparius:</t>
        </r>
        <r>
          <rPr>
            <sz val="9"/>
            <color indexed="81"/>
            <rFont val="Tahoma"/>
            <family val="2"/>
          </rPr>
          <t xml:space="preserve">
The starting wage for this position was increased on the wage scale last spring which affects the overall line item needed to maintain services.</t>
        </r>
      </text>
    </comment>
    <comment ref="D26" authorId="0">
      <text>
        <r>
          <rPr>
            <b/>
            <sz val="9"/>
            <color indexed="81"/>
            <rFont val="Tahoma"/>
            <family val="2"/>
          </rPr>
          <t>Matthew Casparius:</t>
        </r>
        <r>
          <rPr>
            <sz val="9"/>
            <color indexed="81"/>
            <rFont val="Tahoma"/>
            <family val="2"/>
          </rPr>
          <t xml:space="preserve">
I am seeking a Part Time Year Round Maintainer position (28 hour per week) to maintain the buildings and grounds at Wasserman Park. Currently we only have seasonal summer help to maintain 18 buildings and 46 acres and we are unable to keep up with the needs of the Park. Currently we spend all summer fixing things that broke over the course of the winter and never make any real progress on our outstanding needs. A 28 hour per week position will go a long way towards improving Wasserman Park and prevent additional buildings from falling apart.</t>
        </r>
      </text>
    </comment>
    <comment ref="G74" authorId="0">
      <text>
        <r>
          <rPr>
            <b/>
            <sz val="9"/>
            <color indexed="81"/>
            <rFont val="Tahoma"/>
            <family val="2"/>
          </rPr>
          <t>Matthew Casparius:</t>
        </r>
        <r>
          <rPr>
            <sz val="9"/>
            <color indexed="81"/>
            <rFont val="Tahoma"/>
            <family val="2"/>
          </rPr>
          <t xml:space="preserve">
Increased to match last years usage.
</t>
        </r>
      </text>
    </comment>
    <comment ref="H74" authorId="0">
      <text>
        <r>
          <rPr>
            <b/>
            <sz val="9"/>
            <color indexed="81"/>
            <rFont val="Tahoma"/>
            <family val="2"/>
          </rPr>
          <t>Matthew Casparius:</t>
        </r>
        <r>
          <rPr>
            <sz val="9"/>
            <color indexed="81"/>
            <rFont val="Tahoma"/>
            <family val="2"/>
          </rPr>
          <t xml:space="preserve">
Increased to match last years usage.
</t>
        </r>
      </text>
    </comment>
    <comment ref="I74" authorId="0">
      <text>
        <r>
          <rPr>
            <b/>
            <sz val="9"/>
            <color indexed="81"/>
            <rFont val="Tahoma"/>
            <family val="2"/>
          </rPr>
          <t>Matthew Casparius:</t>
        </r>
        <r>
          <rPr>
            <sz val="9"/>
            <color indexed="81"/>
            <rFont val="Tahoma"/>
            <family val="2"/>
          </rPr>
          <t xml:space="preserve">
Increased to match last years usage.
</t>
        </r>
      </text>
    </comment>
    <comment ref="J74" authorId="0">
      <text>
        <r>
          <rPr>
            <b/>
            <sz val="9"/>
            <color indexed="81"/>
            <rFont val="Tahoma"/>
            <family val="2"/>
          </rPr>
          <t>Matthew Casparius:</t>
        </r>
        <r>
          <rPr>
            <sz val="9"/>
            <color indexed="81"/>
            <rFont val="Tahoma"/>
            <family val="2"/>
          </rPr>
          <t xml:space="preserve">
Increased to match last years usage.
</t>
        </r>
      </text>
    </comment>
    <comment ref="D130" authorId="0">
      <text>
        <r>
          <rPr>
            <b/>
            <sz val="9"/>
            <color indexed="81"/>
            <rFont val="Tahoma"/>
            <family val="2"/>
          </rPr>
          <t>Matthew Casparius:</t>
        </r>
        <r>
          <rPr>
            <sz val="9"/>
            <color indexed="81"/>
            <rFont val="Tahoma"/>
            <family val="2"/>
          </rPr>
          <t xml:space="preserve">
Increased by $40 so that Program Coordinator could join NH Rec &amp; Park Association and receive the benefits of membership which include free taining opportuntities that they would normally have to pay for.  </t>
        </r>
      </text>
    </comment>
    <comment ref="D197" authorId="0">
      <text>
        <r>
          <rPr>
            <b/>
            <sz val="9"/>
            <color indexed="81"/>
            <rFont val="Tahoma"/>
            <family val="2"/>
          </rPr>
          <t>Matthew Casparius:</t>
        </r>
        <r>
          <rPr>
            <sz val="9"/>
            <color indexed="81"/>
            <rFont val="Tahoma"/>
            <family val="2"/>
          </rPr>
          <t xml:space="preserve">
As our events have grown in size the cost to put them on has increased. We also now have to hire a Santa &amp; Mrs. Claus when it used to be covered by volunteers. Requesting increase from $750 up to $1000.</t>
        </r>
      </text>
    </comment>
    <comment ref="D242" authorId="0">
      <text>
        <r>
          <rPr>
            <b/>
            <sz val="9"/>
            <color indexed="81"/>
            <rFont val="Tahoma"/>
            <family val="2"/>
          </rPr>
          <t>Matthew Casparius:</t>
        </r>
        <r>
          <rPr>
            <sz val="9"/>
            <color indexed="81"/>
            <rFont val="Tahoma"/>
            <family val="2"/>
          </rPr>
          <t xml:space="preserve">
Next to the Function Hall at Wasserman Park, there is an underground oil tank that has 2 pipes sticking out of the ground which creates a safety hazard. We are seeking funds to have this tank removed. This project has been on the  Town's Joint Loss Safety Committee hazard list for a number of year as it poses a tripping hazard. </t>
        </r>
      </text>
    </comment>
    <comment ref="D243" authorId="0">
      <text>
        <r>
          <rPr>
            <b/>
            <sz val="9"/>
            <color indexed="81"/>
            <rFont val="Tahoma"/>
            <family val="2"/>
          </rPr>
          <t>Matthew Casparius:</t>
        </r>
        <r>
          <rPr>
            <sz val="9"/>
            <color indexed="81"/>
            <rFont val="Tahoma"/>
            <family val="2"/>
          </rPr>
          <t xml:space="preserve">
The MYA Cabin at Wasserman Park is one of the oldest buildings on the property and the last major building that needs to be renovated to be usable. This building has been closed for many years and its right on the cusp of being able to restore it vs. having to tear it down. The building needs new electrical wiring, at least a partial new roof and then some repairs to the interior including windows, sections of flooring and repairs to the interior ceiling which we are estimating a need of $8,000. </t>
        </r>
      </text>
    </comment>
  </commentList>
</comments>
</file>

<file path=xl/comments8.xml><?xml version="1.0" encoding="utf-8"?>
<comments xmlns="http://schemas.openxmlformats.org/spreadsheetml/2006/main">
  <authors>
    <author>Lori Barrett</author>
    <author>Kyle Fox</author>
  </authors>
  <commentList>
    <comment ref="D74" authorId="0">
      <text>
        <r>
          <rPr>
            <b/>
            <sz val="9"/>
            <color indexed="81"/>
            <rFont val="Tahoma"/>
            <family val="2"/>
          </rPr>
          <t>Lori Barrett:</t>
        </r>
        <r>
          <rPr>
            <sz val="9"/>
            <color indexed="81"/>
            <rFont val="Tahoma"/>
            <family val="2"/>
          </rPr>
          <t xml:space="preserve">
They use so little we combined it into Hwy
</t>
        </r>
      </text>
    </comment>
    <comment ref="A113" authorId="1">
      <text>
        <r>
          <rPr>
            <b/>
            <sz val="9"/>
            <color indexed="81"/>
            <rFont val="Tahoma"/>
            <family val="2"/>
          </rPr>
          <t>Kyle Fox:</t>
        </r>
        <r>
          <rPr>
            <sz val="9"/>
            <color indexed="81"/>
            <rFont val="Tahoma"/>
            <family val="2"/>
          </rPr>
          <t xml:space="preserve">
Added language to description</t>
        </r>
      </text>
    </comment>
  </commentList>
</comments>
</file>

<file path=xl/comments9.xml><?xml version="1.0" encoding="utf-8"?>
<comments xmlns="http://schemas.openxmlformats.org/spreadsheetml/2006/main">
  <authors>
    <author>Kyle Fox</author>
  </authors>
  <commentList>
    <comment ref="A98" authorId="0">
      <text>
        <r>
          <rPr>
            <b/>
            <sz val="9"/>
            <color indexed="81"/>
            <rFont val="Tahoma"/>
            <family val="2"/>
          </rPr>
          <t>Kyle Fox:</t>
        </r>
        <r>
          <rPr>
            <sz val="9"/>
            <color indexed="81"/>
            <rFont val="Tahoma"/>
            <family val="2"/>
          </rPr>
          <t xml:space="preserve">
Items seperated into two lines</t>
        </r>
      </text>
    </comment>
    <comment ref="A103" authorId="0">
      <text>
        <r>
          <rPr>
            <b/>
            <sz val="9"/>
            <color indexed="81"/>
            <rFont val="Tahoma"/>
            <family val="2"/>
          </rPr>
          <t>Kyle Fox:</t>
        </r>
        <r>
          <rPr>
            <sz val="9"/>
            <color indexed="81"/>
            <rFont val="Tahoma"/>
            <family val="2"/>
          </rPr>
          <t xml:space="preserve">
Fixed typo
</t>
        </r>
      </text>
    </comment>
    <comment ref="A125" authorId="0">
      <text>
        <r>
          <rPr>
            <b/>
            <sz val="9"/>
            <color indexed="81"/>
            <rFont val="Tahoma"/>
            <family val="2"/>
          </rPr>
          <t>Kyle Fox:</t>
        </r>
        <r>
          <rPr>
            <sz val="9"/>
            <color indexed="81"/>
            <rFont val="Tahoma"/>
            <family val="2"/>
          </rPr>
          <t xml:space="preserve">
Updated Description
</t>
        </r>
      </text>
    </comment>
    <comment ref="A128" authorId="0">
      <text>
        <r>
          <rPr>
            <b/>
            <sz val="9"/>
            <color indexed="81"/>
            <rFont val="Tahoma"/>
            <family val="2"/>
          </rPr>
          <t>Kyle Fox:</t>
        </r>
        <r>
          <rPr>
            <sz val="9"/>
            <color indexed="81"/>
            <rFont val="Tahoma"/>
            <family val="2"/>
          </rPr>
          <t xml:space="preserve">
Removed PD carpeting and TH Access Control System</t>
        </r>
      </text>
    </comment>
  </commentList>
</comments>
</file>

<file path=xl/sharedStrings.xml><?xml version="1.0" encoding="utf-8"?>
<sst xmlns="http://schemas.openxmlformats.org/spreadsheetml/2006/main" count="4059" uniqueCount="2279">
  <si>
    <t>Hoses for washing tanks and floors and 3 &amp; 4 " pump hoses</t>
  </si>
  <si>
    <t>Flashlights, batteries, UPS and PLC batteries</t>
  </si>
  <si>
    <t>01-07-8102-0 Wages - Clerical</t>
  </si>
  <si>
    <t>01-03-8510-0 Capital Reserve Funds</t>
  </si>
  <si>
    <t>01-13-8111-0 Overtime-Other</t>
  </si>
  <si>
    <t>01-13-8125-0 Social Security</t>
  </si>
  <si>
    <t>01-05-8334-0 Maintenance-Office Equipment</t>
  </si>
  <si>
    <t>SPOTS terminal</t>
  </si>
  <si>
    <t>Security system</t>
  </si>
  <si>
    <t>01-05-8335-0 Maintenance-Communications Equip</t>
  </si>
  <si>
    <t>01-02-8136-0 Unemployment Compensation</t>
  </si>
  <si>
    <t>01-02-8203-0 Operating Supplies</t>
  </si>
  <si>
    <t>01-02-8220-0 Printing</t>
  </si>
  <si>
    <t>01-13-8245-0 Sewer</t>
  </si>
  <si>
    <t>01-13-8250-0 Vehicle Fuel</t>
  </si>
  <si>
    <t>01-21-8359-0 Other Outside Services</t>
  </si>
  <si>
    <t>Microfilming of plans</t>
  </si>
  <si>
    <t>2007-08</t>
  </si>
  <si>
    <t>Vote tabulating equipment maintenance</t>
  </si>
  <si>
    <t>Voter cards and other expenses</t>
  </si>
  <si>
    <t>01-01-8420-0 Advertising</t>
  </si>
  <si>
    <t xml:space="preserve">  striping and landscaping</t>
  </si>
  <si>
    <t xml:space="preserve">  EMT-P</t>
  </si>
  <si>
    <t>01-04-8460-0 Other Operating Expenses</t>
  </si>
  <si>
    <t>Physicals, psychological exams, and drug tests</t>
  </si>
  <si>
    <t>01-15-8202-0 Maintenance Supplies</t>
  </si>
  <si>
    <t>01-17-8204-0 Uniforms</t>
  </si>
  <si>
    <t>01-25-8220-0 Printing</t>
  </si>
  <si>
    <t>Town-wide non-union college tuition reimbursement program</t>
  </si>
  <si>
    <t>Postage to 12 members, 12 mailings agenda &amp; minutes@$ 1.00    </t>
  </si>
  <si>
    <t>Aerial Ladder Testing for Ladder 1</t>
  </si>
  <si>
    <t>Transfer to Ambulance Capital Reserve Fund</t>
  </si>
  <si>
    <t>Rescue Specialist (RS1, RS2)</t>
  </si>
  <si>
    <t>Full-time employees - AFSCME</t>
  </si>
  <si>
    <t>Special Police Officers</t>
  </si>
  <si>
    <t>Child Advocacy Center</t>
  </si>
  <si>
    <t>Service Agreement Spillers Copier/Scanner/Printer Xerox 6204</t>
  </si>
  <si>
    <t>Pipe stock to maintain, repair, modify, or reconstruct drainage</t>
  </si>
  <si>
    <t>Refrigerators and air conditioners (Freon)</t>
  </si>
  <si>
    <t xml:space="preserve">    Society of the Protection of NH Forests</t>
  </si>
  <si>
    <t>2007 Drainage Improvements</t>
  </si>
  <si>
    <t>Federal Communications Commission Radio licenses</t>
  </si>
  <si>
    <t>Building Contract Service Costs</t>
  </si>
  <si>
    <t>HVAC Maintenance Agreement (Station 1, 2 &amp; 3)</t>
  </si>
  <si>
    <t>Plymovent vehicle exhaust service agreement Sta 1, 2 &amp; 3)</t>
  </si>
  <si>
    <t>NH Camp Directors Association</t>
  </si>
  <si>
    <t>01-13-8128-0 Retirement</t>
  </si>
  <si>
    <t>01-13-8131-0 Health Insurance</t>
  </si>
  <si>
    <t>Computer source materials</t>
  </si>
  <si>
    <t>01-21-8250-0 Vehicle Fuel</t>
  </si>
  <si>
    <t>Clothing allowance - Teamsters</t>
  </si>
  <si>
    <t>01-01-8351-0 Consultants</t>
  </si>
  <si>
    <t>01-01-8352-0 Education &amp; Training</t>
  </si>
  <si>
    <t>01-05-8280-0 General Insurance</t>
  </si>
  <si>
    <t>Transfer to Library Building Maintenance Fund</t>
  </si>
  <si>
    <t>Twardosky Field</t>
  </si>
  <si>
    <t>Copier service maintenance agreement</t>
  </si>
  <si>
    <t>Signs, reflectors delineators, barricades, flashing lights, materials for</t>
  </si>
  <si>
    <t>Weather forecasting service</t>
  </si>
  <si>
    <t>Random CDL D &amp; A testing</t>
  </si>
  <si>
    <t>Pest control services</t>
  </si>
  <si>
    <t>Computer equipment/software license agreements</t>
  </si>
  <si>
    <t>RSA 261:153 funds (offset by registration revenue)</t>
  </si>
  <si>
    <t>1- Seasonal Maintainer</t>
  </si>
  <si>
    <t>lab supplies necessary to comply with NPDES permit</t>
  </si>
  <si>
    <t>Unit $</t>
  </si>
  <si>
    <t>Annual Use</t>
  </si>
  <si>
    <t>Total Cost</t>
  </si>
  <si>
    <t>Sodium hypochlorite (permit compliance)</t>
  </si>
  <si>
    <t>Sodium bisulfite (dechlorinating chemical-permit compliance)</t>
  </si>
  <si>
    <t>Variable speed drive repairs/replacement</t>
  </si>
  <si>
    <t>Mower blades, saw blades, trimmer string, hand tools, paint, etc.</t>
  </si>
  <si>
    <t>01-04-8433-0 P.A.C.T. (Offset by Revenue)</t>
  </si>
  <si>
    <t xml:space="preserve">Department </t>
  </si>
  <si>
    <t xml:space="preserve">   Fertilizer (3 Applications)</t>
  </si>
  <si>
    <t>Salary &amp; benefits (offset by Revenues Collected)</t>
  </si>
  <si>
    <t>Education &amp; training - ACA conference, meetings, and staff orientation</t>
  </si>
  <si>
    <t>Upkeep to flag and flower beds. Addressing wash-out on town beach.</t>
  </si>
  <si>
    <t>Gator</t>
  </si>
  <si>
    <r>
      <t xml:space="preserve">Bus trips - </t>
    </r>
    <r>
      <rPr>
        <b/>
        <sz val="10"/>
        <rFont val="Times New Roman"/>
        <family val="1"/>
      </rPr>
      <t>offset by revenues</t>
    </r>
  </si>
  <si>
    <t xml:space="preserve">Merrimack Community Concert Band </t>
  </si>
  <si>
    <t>Halloween Event (DJ, Halloween Eggs, decorations, candy)</t>
  </si>
  <si>
    <t>Holiday parade &amp; Tree Lighting Ceremony (Santa's treats, tree, decorations)</t>
  </si>
  <si>
    <r>
      <t xml:space="preserve">Swimming lessons - Red Cross cards, </t>
    </r>
    <r>
      <rPr>
        <b/>
        <sz val="10"/>
        <rFont val="Times New Roman"/>
        <family val="1"/>
      </rPr>
      <t>offset by revenues</t>
    </r>
  </si>
  <si>
    <r>
      <t xml:space="preserve">Seasonal activities - supplies for Summer programs, </t>
    </r>
    <r>
      <rPr>
        <b/>
        <sz val="10"/>
        <rFont val="Times New Roman"/>
        <family val="1"/>
      </rPr>
      <t>offset by revenues</t>
    </r>
  </si>
  <si>
    <t>Computer software annual support - clerk</t>
  </si>
  <si>
    <t>Computer software annual support - tax</t>
  </si>
  <si>
    <t>Antivirus Software</t>
  </si>
  <si>
    <t>Material for temporary pavement patches (roads and bridges)</t>
  </si>
  <si>
    <t>Fair Labor Standards Act (FLSA) OT Adjustment</t>
  </si>
  <si>
    <t>2013-14</t>
  </si>
  <si>
    <t>01-06-8230-0 Postage</t>
  </si>
  <si>
    <t>Telephone allocation</t>
  </si>
  <si>
    <t>31-10-8142-0 Compensated Absences</t>
  </si>
  <si>
    <t>Community Services Officer</t>
  </si>
  <si>
    <t>Master Patrolmen</t>
  </si>
  <si>
    <t>School Resource Officer</t>
  </si>
  <si>
    <t xml:space="preserve">Greater Nashua Mental Health Center </t>
  </si>
  <si>
    <t>Lamprey Area Health Center-health care for indigents and uninsured</t>
  </si>
  <si>
    <t>The Front Door Agency - (formerly known as Nashua Pastoral Care)</t>
  </si>
  <si>
    <t>Opportunity Networks.(For Handicapped  training and jobs)</t>
  </si>
  <si>
    <t>National Registry Recertification and Registration</t>
  </si>
  <si>
    <t>Career, Call Division, Part Time</t>
  </si>
  <si>
    <t xml:space="preserve">  for the repair of Fire Vehicles, tires, brakes, oil, electrical, lights, seals etc.</t>
  </si>
  <si>
    <t>Maintenance of Emergency Breathing Air System Station 1 Cascade</t>
  </si>
  <si>
    <t>Maintenance of Emergency Air System Station HazMat Trailer</t>
  </si>
  <si>
    <t>Legal notices and bid advertising, certified mail, handouts.</t>
  </si>
  <si>
    <t>Administrative Lieutenant</t>
  </si>
  <si>
    <t>Repair Skate Park ramps - 6 sheets Skatelite, hardware &amp; shipping</t>
  </si>
  <si>
    <t xml:space="preserve"> Balance *</t>
  </si>
  <si>
    <t xml:space="preserve">Drainage Improvements </t>
  </si>
  <si>
    <t xml:space="preserve">Director  </t>
  </si>
  <si>
    <t xml:space="preserve">Head of Technical Services </t>
  </si>
  <si>
    <t xml:space="preserve">  Aide I - Circulation </t>
  </si>
  <si>
    <t xml:space="preserve">  Page/Aide - Circulation </t>
  </si>
  <si>
    <t xml:space="preserve">  Page/Aide - Children's Room </t>
  </si>
  <si>
    <t xml:space="preserve">  Librarian I - Reference </t>
  </si>
  <si>
    <t>Custodian - part-time</t>
  </si>
  <si>
    <t>01-06-8111-0 Overtime - Other</t>
  </si>
  <si>
    <t>8107 - Other &gt;$14,000</t>
  </si>
  <si>
    <t>Cellular Phone</t>
  </si>
  <si>
    <t>Brush grinding</t>
  </si>
  <si>
    <t>South Station</t>
  </si>
  <si>
    <t>Central Station</t>
  </si>
  <si>
    <t>State of NH dam registration - Stump Pond , Naticook Lake &amp; Meadowood Pond</t>
  </si>
  <si>
    <t>Irrigation maintenance - Matthew Thornton Monument, Vets &amp; Gibson Memorial</t>
  </si>
  <si>
    <t>3 portable radios and 5 radios, chargers and batteries</t>
  </si>
  <si>
    <t>Dumpster - Dumpster Town Hall (1) and Senior Center (1)</t>
  </si>
  <si>
    <t>Revaluation</t>
  </si>
  <si>
    <t>Regional: NH Chiefs, NE Chiefs, Souhegan Mutual Aid,  SMART, EMS Region II</t>
  </si>
  <si>
    <t>Shift overtime and coverage for training, court, sick, vacation, and holidays</t>
  </si>
  <si>
    <t>total</t>
  </si>
  <si>
    <t>Computer equipment- miscellaneous repair parts</t>
  </si>
  <si>
    <t>31-10-8510-0 Transfer To Other Funds</t>
  </si>
  <si>
    <t>Secretary - Community Development</t>
  </si>
  <si>
    <t xml:space="preserve">2012 Dewatering upgrade </t>
  </si>
  <si>
    <t>2012 Dewatering upgrade</t>
  </si>
  <si>
    <t>2010 Sewer Interceptor</t>
  </si>
  <si>
    <t>2014-15</t>
  </si>
  <si>
    <t>01-05-8506 Communications Equipment</t>
  </si>
  <si>
    <t>01-07-8359-0 Other Outside Services</t>
  </si>
  <si>
    <t>01-09-8230 Postage</t>
  </si>
  <si>
    <t>01-15-8334-0 Maintenance-Office Equipment</t>
  </si>
  <si>
    <t>01-16-8107-0 P/T Wages</t>
  </si>
  <si>
    <t>01-21-8458-0 Milfoil Treatment Program</t>
  </si>
  <si>
    <t>Expenditures not otherwise classified</t>
  </si>
  <si>
    <t>Building Improvements or Major Repairs</t>
  </si>
  <si>
    <t>01-07-8270-0 Dues &amp; Fees</t>
  </si>
  <si>
    <t>American Public Works Association</t>
  </si>
  <si>
    <t>AFSCME - uniform service</t>
  </si>
  <si>
    <t>Professional and safety training sessions</t>
  </si>
  <si>
    <t>01-02-8125-0 Social Security</t>
  </si>
  <si>
    <t>Electrical Service &amp; Repairs (Bise Field and Reeds Ferry Field)</t>
  </si>
  <si>
    <t xml:space="preserve">   Seeding (30% Coverage Rate)</t>
  </si>
  <si>
    <t>Secretary (Building)</t>
  </si>
  <si>
    <t>Secretary (Planning &amp; Zoning)</t>
  </si>
  <si>
    <r>
      <t xml:space="preserve">01-25-8491-0 Other </t>
    </r>
    <r>
      <rPr>
        <sz val="8"/>
        <rFont val="Times New Roman"/>
        <family val="1"/>
      </rPr>
      <t>(taxes, sewer, water, and personal maintenance)</t>
    </r>
  </si>
  <si>
    <t>01-04-8136-0 Unemployment Compensation</t>
  </si>
  <si>
    <t>Portable toilets at parks</t>
  </si>
  <si>
    <t xml:space="preserve">   Sod</t>
  </si>
  <si>
    <t>01-16-8230-0 Postage</t>
  </si>
  <si>
    <t>01-03-8136-0 Unemployment Compensation</t>
  </si>
  <si>
    <t>Nashua Regional Planning Commission</t>
  </si>
  <si>
    <t>01-13-8133-0 Life Insurance</t>
  </si>
  <si>
    <t>01-13-8134-0 Disability Insurance</t>
  </si>
  <si>
    <t>01-13-8135-0 Workers Compensation</t>
  </si>
  <si>
    <t>01-13-8300-0 Travel &amp; Meetings</t>
  </si>
  <si>
    <t>Assistant Communications Supervisor</t>
  </si>
  <si>
    <t>Employee recognition programs</t>
  </si>
  <si>
    <t>Technology Resource Coordinator - conferences</t>
  </si>
  <si>
    <t>01-05-8107-0 Wages - Part-Time</t>
  </si>
  <si>
    <t>32-32-8135-0 Workers Compensation</t>
  </si>
  <si>
    <t>32-32-8136-0 Unemployment Compensation</t>
  </si>
  <si>
    <t>32-32-8203-0 Operating Supplies</t>
  </si>
  <si>
    <t xml:space="preserve">  Company officer</t>
  </si>
  <si>
    <t xml:space="preserve">  EMT</t>
  </si>
  <si>
    <t xml:space="preserve">  Paramedic</t>
  </si>
  <si>
    <t>32-32-8359-0 Other Outside Services</t>
  </si>
  <si>
    <t>32-32-8420-0 Advertising</t>
  </si>
  <si>
    <t>32-32-8504-0 Office Equipment</t>
  </si>
  <si>
    <t>01-15-8359-0 Other Outside Services</t>
  </si>
  <si>
    <t>Background check reimbursement</t>
  </si>
  <si>
    <t>01-08-8348-0 Drainage Maintenance</t>
  </si>
  <si>
    <t>Highway garage, including Equipment Maintenance area</t>
  </si>
  <si>
    <t>01-08-8245-0 Sewer</t>
  </si>
  <si>
    <t>Public and Private School Fire Prevention Program</t>
  </si>
  <si>
    <t>Junior Fire Muster (Elementary Schools)</t>
  </si>
  <si>
    <t>Pagers - 2</t>
  </si>
  <si>
    <t>Certification renewals and exams</t>
  </si>
  <si>
    <t>ESRI Software Support (GIS)</t>
  </si>
  <si>
    <t>DMV records checks for new hires</t>
  </si>
  <si>
    <t>Septic pumping as needed</t>
  </si>
  <si>
    <t>01-21-8332-0 Maintenance-Vehicles</t>
  </si>
  <si>
    <t>Vehicle maintenance and repair including tires</t>
  </si>
  <si>
    <t>01-01-8271-0 Subscriptions</t>
  </si>
  <si>
    <t>State Health Officers Association dues</t>
  </si>
  <si>
    <t>Incentives</t>
  </si>
  <si>
    <t>Purchasing Agent/Accountant</t>
  </si>
  <si>
    <t>01-01-8125-0 Social Security</t>
  </si>
  <si>
    <t>8101</t>
  </si>
  <si>
    <t>8103 - Town Manager</t>
  </si>
  <si>
    <t>8107</t>
  </si>
  <si>
    <t>8111</t>
  </si>
  <si>
    <t>Ammunition, firearm repairs, range supplies, and taser cartridges</t>
  </si>
  <si>
    <t>Media Assistant Per diem</t>
  </si>
  <si>
    <t>Media Assistant</t>
  </si>
  <si>
    <t>NH Chief of Police conference</t>
  </si>
  <si>
    <t>Schools and seminars</t>
  </si>
  <si>
    <t>01-15-8135-0 Workers Compensation</t>
  </si>
  <si>
    <t>01-15-8136-0 Unemployment Compensation</t>
  </si>
  <si>
    <t>01-05-8132-0 Dental Insurance</t>
  </si>
  <si>
    <t>01-05-8133-0 Life Insurance</t>
  </si>
  <si>
    <t>01-05-8134-0 Disability Insurance</t>
  </si>
  <si>
    <t>01-05-8135-0 Workers Compensation</t>
  </si>
  <si>
    <t xml:space="preserve">   Chain link fence repairs</t>
  </si>
  <si>
    <t xml:space="preserve">   Herbicides and pesticides contractor</t>
  </si>
  <si>
    <t xml:space="preserve">   Field marking</t>
  </si>
  <si>
    <t xml:space="preserve">   Clay</t>
  </si>
  <si>
    <t>01-07-8125-0 Social Security</t>
  </si>
  <si>
    <t>01-07-8128-0 Retirement</t>
  </si>
  <si>
    <t>01-21-8125-0 Social Security</t>
  </si>
  <si>
    <t>01-21-8128-0 Retirement</t>
  </si>
  <si>
    <t>01-09-8212-0 Equipment Rental</t>
  </si>
  <si>
    <t>01-09-8220-0 Printing</t>
  </si>
  <si>
    <t>01-09-8241-0 Electricity</t>
  </si>
  <si>
    <t>01-09-8250-0 Vehicle Fuel</t>
  </si>
  <si>
    <t>Emergencies, and coverage for sick, vacation,</t>
  </si>
  <si>
    <t>Road paving and minor reconstruction</t>
  </si>
  <si>
    <t>01-03-8134-0 Disability Insurance</t>
  </si>
  <si>
    <t>Uniform allowance - Dispatchers</t>
  </si>
  <si>
    <t>01-21-8260-0 Telephone</t>
  </si>
  <si>
    <t>Cellular telephones</t>
  </si>
  <si>
    <t>31-10-8244-0 Water</t>
  </si>
  <si>
    <t>Bindery and audio-visual repairs</t>
  </si>
  <si>
    <t>Security monitoring</t>
  </si>
  <si>
    <t>01-03-8203-0 Operating Supplies</t>
  </si>
  <si>
    <t>Public notices</t>
  </si>
  <si>
    <t>01-16-8204-0 Uniforms</t>
  </si>
  <si>
    <t>Uniform allowance - Assistant Comm Supervisor</t>
  </si>
  <si>
    <t>01-05-8220-0 Printing</t>
  </si>
  <si>
    <t>Laboratory services</t>
  </si>
  <si>
    <t>Non-union</t>
  </si>
  <si>
    <t>Union - others</t>
  </si>
  <si>
    <t>Full-time</t>
  </si>
  <si>
    <t>01-21-8351-0 Consultants</t>
  </si>
  <si>
    <t>Employee cost sharing Non Union 10%</t>
  </si>
  <si>
    <t>Deputy Town Clerk/Tax Collector</t>
  </si>
  <si>
    <t>Human Resources Coordinator - seminars and criminal records check</t>
  </si>
  <si>
    <t>Executive Secretary - seminars and conferences</t>
  </si>
  <si>
    <t>Program and craft supplies</t>
  </si>
  <si>
    <t>01-15-8230-0 Postage</t>
  </si>
  <si>
    <t>Actual</t>
  </si>
  <si>
    <t>Budget</t>
  </si>
  <si>
    <t>Operations Manager</t>
  </si>
  <si>
    <t>Highway Foreman/Inspector</t>
  </si>
  <si>
    <t>01-16-8201-0 Office Supplies</t>
  </si>
  <si>
    <t>01-16-8203-0 Operating Supplies</t>
  </si>
  <si>
    <t>01-07-8103-0 Wages - Supervisory</t>
  </si>
  <si>
    <t>Public Works Director</t>
  </si>
  <si>
    <t>Industrial Wastewater Pretreatment Manager</t>
  </si>
  <si>
    <t>Maintenance Manager</t>
  </si>
  <si>
    <t>31-10-8504-0 Office Equipment</t>
  </si>
  <si>
    <t>Fire Alarm System Annual Test</t>
  </si>
  <si>
    <t xml:space="preserve">No. of </t>
  </si>
  <si>
    <t>non-union</t>
  </si>
  <si>
    <t>Fire Inspector</t>
  </si>
  <si>
    <t>Call personnel</t>
  </si>
  <si>
    <t>Request</t>
  </si>
  <si>
    <t>Computer equipment</t>
  </si>
  <si>
    <t>31-27-8604-0 Principal - Long-Term Debt</t>
  </si>
  <si>
    <t>Sewer Fund</t>
  </si>
  <si>
    <t>01-01-8142-0 Compensated Absences</t>
  </si>
  <si>
    <t>Proposed</t>
  </si>
  <si>
    <t xml:space="preserve">  Total</t>
  </si>
  <si>
    <t>01-01-8201-0 Office Supplies</t>
  </si>
  <si>
    <t>Large print books</t>
  </si>
  <si>
    <t>01-15-8460-0 Other Operating Expenses</t>
  </si>
  <si>
    <t>01-08-8460-0 Other Operating Expenses</t>
  </si>
  <si>
    <t>01-15-8502-0 Buildings</t>
  </si>
  <si>
    <t>01-05-8103-0 Wages - Supervisory</t>
  </si>
  <si>
    <t>Department office</t>
  </si>
  <si>
    <t>Back-up media for imaging system</t>
  </si>
  <si>
    <t>8107 - part-time</t>
  </si>
  <si>
    <t>01-15-8201-0 Office Supplies</t>
  </si>
  <si>
    <t>MYA Building</t>
  </si>
  <si>
    <t>01-13-8244-0 Water</t>
  </si>
  <si>
    <t>Nominal amount to provide an appropriation should the issuance of</t>
  </si>
  <si>
    <t>tax anticipation notes become necessary</t>
  </si>
  <si>
    <t>01-21-8504-0 Office Equipment</t>
  </si>
  <si>
    <t>01-25-8493-0 Insurance</t>
  </si>
  <si>
    <t>01-25-8494-0 Burials</t>
  </si>
  <si>
    <t>01-27-8601-0 Interest-TAN</t>
  </si>
  <si>
    <t>01-03-8332-0 Maintenance-Vehicles</t>
  </si>
  <si>
    <t>01-03-8334-0 Maintenance-Office Equipment</t>
  </si>
  <si>
    <t>01-03-8336-0 Maintenance-Other</t>
  </si>
  <si>
    <t>01-03-8352-0 Education &amp; Training</t>
  </si>
  <si>
    <t>Carpet cleaning</t>
  </si>
  <si>
    <t>Finance Director - seminars and conferences</t>
  </si>
  <si>
    <t>Purchasing Agent- conferences and seminars</t>
  </si>
  <si>
    <t>01-25-8399-0 Social &amp; Health Services</t>
  </si>
  <si>
    <t>Human Resource Coordinator</t>
  </si>
  <si>
    <t xml:space="preserve">    NH Association of Conservation Commissions</t>
  </si>
  <si>
    <t>Painting</t>
  </si>
  <si>
    <t>Plumbing repairs</t>
  </si>
  <si>
    <t>Miscellaneous repairs</t>
  </si>
  <si>
    <t>8104 - full-time</t>
  </si>
  <si>
    <t>8107 - full-time</t>
  </si>
  <si>
    <t>31-10-8135-0 Workers Compensation</t>
  </si>
  <si>
    <t>01-03-8135-0 Workers Compensation</t>
  </si>
  <si>
    <t>8105 - 67%</t>
  </si>
  <si>
    <t>01-09-8321-0 Maintenance-Buildings</t>
  </si>
  <si>
    <t xml:space="preserve">  5  years</t>
  </si>
  <si>
    <t>01-08-8321-0 Maintenance-Buildings</t>
  </si>
  <si>
    <t>Highway - fire alarm system, furnace, plumbing, electrical,</t>
  </si>
  <si>
    <t>8104 - part-time &gt;$14,000</t>
  </si>
  <si>
    <t>8104 - Others</t>
  </si>
  <si>
    <t>Severance pay re: terminating employees of all departments:</t>
  </si>
  <si>
    <t>Copier paper, computer paper, software, and other office supplies</t>
  </si>
  <si>
    <t>Martel Field</t>
  </si>
  <si>
    <t>Reeds Ferry Field</t>
  </si>
  <si>
    <t>Veterans Park</t>
  </si>
  <si>
    <t>Day Camp office</t>
  </si>
  <si>
    <t>Cellular telephone</t>
  </si>
  <si>
    <t>Telephone system maintenance</t>
  </si>
  <si>
    <t>Full-time employees - Union</t>
  </si>
  <si>
    <t>Full-time employees - Non Union</t>
  </si>
  <si>
    <t>Recording Elderly/Disabled Liens</t>
  </si>
  <si>
    <t>Mileage to NH Local Welfare Administrators Association meetings</t>
  </si>
  <si>
    <t>Assistant Planner</t>
  </si>
  <si>
    <t>01-02-8104-0 Wages - Other Full-Time</t>
  </si>
  <si>
    <t>Council</t>
  </si>
  <si>
    <t xml:space="preserve">  Nursery stock</t>
  </si>
  <si>
    <t xml:space="preserve">  Loam and mulch</t>
  </si>
  <si>
    <t>Stationery and presentation folders</t>
  </si>
  <si>
    <t>Other</t>
  </si>
  <si>
    <t>01-01-8230-0 Postage</t>
  </si>
  <si>
    <t>Postage</t>
  </si>
  <si>
    <t>Postage meter rental</t>
  </si>
  <si>
    <t>01-01-8260-0 Telephone</t>
  </si>
  <si>
    <t>Postage and shipping charges</t>
  </si>
  <si>
    <t>Mailing of public notices and general correspondence</t>
  </si>
  <si>
    <t>Administrative Assessor</t>
  </si>
  <si>
    <t>Clerk Typist II</t>
  </si>
  <si>
    <t>Computer Equipment Capital Reserve Fund</t>
  </si>
  <si>
    <t>Property Insurance Deductible Trust Fund</t>
  </si>
  <si>
    <t>Merrimack Village District (water, Hydrant Charges)</t>
  </si>
  <si>
    <t>Gasoline</t>
  </si>
  <si>
    <t>On-Call Fire Division (volunteer Group)</t>
  </si>
  <si>
    <t>8102 (Clerical)</t>
  </si>
  <si>
    <t>8103 (Supervisory)</t>
  </si>
  <si>
    <t>8104 Firefighter/EMT)</t>
  </si>
  <si>
    <t>8107 - (Per-diem EMT)</t>
  </si>
  <si>
    <t>01-02-8132-0 Dental Insurance</t>
  </si>
  <si>
    <t>01-01-8104-0 Wages - Other Full-Time</t>
  </si>
  <si>
    <t>8111 - 67%</t>
  </si>
  <si>
    <t>01-01-8136-0 Unemployment Compensation</t>
  </si>
  <si>
    <t>01-13-8136-0 Unemployment Compensation</t>
  </si>
  <si>
    <t>01-13-8201-0 Office Supplies</t>
  </si>
  <si>
    <t>Landscaping</t>
  </si>
  <si>
    <t>31-10-8202-0 Maintenance Supplies</t>
  </si>
  <si>
    <t>Hardware and plumbing supplies</t>
  </si>
  <si>
    <t>31-10-8203-0 Operating Supplies</t>
  </si>
  <si>
    <t>Water Environmental Federation</t>
  </si>
  <si>
    <t>NEBRA</t>
  </si>
  <si>
    <t>Voted</t>
  </si>
  <si>
    <t>Teamsters</t>
  </si>
  <si>
    <t>Full-time employees - Teamster</t>
  </si>
  <si>
    <t>Teamster</t>
  </si>
  <si>
    <t>Police Chief</t>
  </si>
  <si>
    <t>01-07-8136-0 Unemployment Compensation</t>
  </si>
  <si>
    <t>01-07-8201-0 Office Supplies</t>
  </si>
  <si>
    <t>Miscellaneous supplies</t>
  </si>
  <si>
    <t>31-10-8241-0 Electricity</t>
  </si>
  <si>
    <t>Main plant</t>
  </si>
  <si>
    <t>01-02-8359-0 Other Outside Services</t>
  </si>
  <si>
    <t>Mapping maintenance</t>
  </si>
  <si>
    <t>Contractual Assessor services</t>
  </si>
  <si>
    <t>31-10-8245-0 Sewer</t>
  </si>
  <si>
    <t>City of Nashua</t>
  </si>
  <si>
    <t>01-07-8220-0 Printing</t>
  </si>
  <si>
    <t>Other training and professional development</t>
  </si>
  <si>
    <t>01-04-8131-0 Health Insurance</t>
  </si>
  <si>
    <t>Polling place rental</t>
  </si>
  <si>
    <t>Overhead Door Maintenance Repair/Agreement</t>
  </si>
  <si>
    <t>Boots, Gloves, Helmets, and SCBA/SABA Masks</t>
  </si>
  <si>
    <t>Bedding and linen service (Union Contract)</t>
  </si>
  <si>
    <t>Public Notification Door Forms</t>
  </si>
  <si>
    <t>Reed's Ferry Station</t>
  </si>
  <si>
    <t>31-10-8205-0 Laboratory Supplies</t>
  </si>
  <si>
    <t>31-10-8212-0 Equipment Rental</t>
  </si>
  <si>
    <t>01-24-8201-0 Office Supplies</t>
  </si>
  <si>
    <t>Calculators</t>
  </si>
  <si>
    <t>Valuation books</t>
  </si>
  <si>
    <t>01-24-8220-0 Printing</t>
  </si>
  <si>
    <t>Stationery and billing forms</t>
  </si>
  <si>
    <t>01-24-8230-0 Postage</t>
  </si>
  <si>
    <t xml:space="preserve">  Emergency Medical Technician-Paramedic</t>
  </si>
  <si>
    <t>International Association of Arson Investigators</t>
  </si>
  <si>
    <t>CLIA waiver State of New Hampshire Medical</t>
  </si>
  <si>
    <t>01-01-8408-0 Agricultural Committee</t>
  </si>
  <si>
    <t>Farm Bureau membership                                                          </t>
  </si>
  <si>
    <t>Sprinkler System Annual test</t>
  </si>
  <si>
    <t>2010-11</t>
  </si>
  <si>
    <t>Hats and shirts for identification and safety</t>
  </si>
  <si>
    <t>01-04-8242-0 Natural Gas</t>
  </si>
  <si>
    <t>01-13-8242-0 Natural Gas</t>
  </si>
  <si>
    <t>01-17-8242-0 Natural Gas</t>
  </si>
  <si>
    <t>31-10-8242-0 Natural Gas</t>
  </si>
  <si>
    <t>01-21-8103-0 Wages - Supervisory</t>
  </si>
  <si>
    <t>Community Development Director</t>
  </si>
  <si>
    <t>Planning/Zoning Administrator</t>
  </si>
  <si>
    <t>Building/Health Official</t>
  </si>
  <si>
    <t>Special mailings</t>
  </si>
  <si>
    <t>01-15-8242-0 Natural Gas</t>
  </si>
  <si>
    <t>01-04-8430-0 Dog Pound</t>
  </si>
  <si>
    <t>Keystone - shelter and chemical dependency counseling</t>
  </si>
  <si>
    <t>31-10-8420-0 Advertising</t>
  </si>
  <si>
    <t xml:space="preserve"> </t>
  </si>
  <si>
    <t>01-01-8107-0 Wages - Part-Time</t>
  </si>
  <si>
    <t>Secretary</t>
  </si>
  <si>
    <t>Young adult programs</t>
  </si>
  <si>
    <t xml:space="preserve">  Souhegan River water quality monitoring</t>
  </si>
  <si>
    <t xml:space="preserve">  Lay lake monitoring</t>
  </si>
  <si>
    <t xml:space="preserve">  Total Conservation Commission</t>
  </si>
  <si>
    <t>Electrical repairs</t>
  </si>
  <si>
    <t>01-13-8373-0 Memorial Day</t>
  </si>
  <si>
    <t>Memorial Day parade and wreaths for graves</t>
  </si>
  <si>
    <t>01-21-8460-0 Misc.</t>
  </si>
  <si>
    <t>01-13-8504-0 Office Equipment</t>
  </si>
  <si>
    <t>01-01-8103-0 Wages - Supervisory</t>
  </si>
  <si>
    <t>Town Manager</t>
  </si>
  <si>
    <t>Transfer to Athletic Field Capital Reserve Fund</t>
  </si>
  <si>
    <t>01-15-8103-0 Wages - Supervisory</t>
  </si>
  <si>
    <t>Director</t>
  </si>
  <si>
    <t xml:space="preserve">  Associate degree + 30 credits</t>
  </si>
  <si>
    <t>01-15-8352-0 Education &amp; Training</t>
  </si>
  <si>
    <t>Copier paper and toner, computer paper and supplies, and miscellaneous</t>
  </si>
  <si>
    <t>Bus transportation to Nashua for elderly and disabled</t>
  </si>
  <si>
    <t>Full-time employees</t>
  </si>
  <si>
    <t>01-24-8125-0 Social Security</t>
  </si>
  <si>
    <t>8101 - Medicare only</t>
  </si>
  <si>
    <t>01-09-8260-0 Telephone</t>
  </si>
  <si>
    <t>01-09-8270-0 Dues &amp; Fees</t>
  </si>
  <si>
    <t>01-09-8280-0 General Insurance</t>
  </si>
  <si>
    <t>01-09-8300-0 Travel &amp; Meetings</t>
  </si>
  <si>
    <t>01-09-8334-0 Maintenance-Office Equipment</t>
  </si>
  <si>
    <t>01-15-8321-0 Maintenance-Buildings</t>
  </si>
  <si>
    <t>Elevator maintenance</t>
  </si>
  <si>
    <t>Heating system maintenance</t>
  </si>
  <si>
    <t>Brochures, flyers, stationery, and forms</t>
  </si>
  <si>
    <t>General litigation and valuation appeals</t>
  </si>
  <si>
    <t>NH Local Welfare Administrators Association</t>
  </si>
  <si>
    <t>01-08-8333-0 Maintenance-Vehicles</t>
  </si>
  <si>
    <t>01-16-8508-0 Operating Equipment</t>
  </si>
  <si>
    <t>31-10-8359-0 Other Outside Services</t>
  </si>
  <si>
    <t>Water analysis re: industrial pretreatment program</t>
  </si>
  <si>
    <t>Wastewater testing required by federal and state agencies</t>
  </si>
  <si>
    <t>31-10-8381-0 Sewer Maintenance</t>
  </si>
  <si>
    <t>Replacement frames and covers</t>
  </si>
  <si>
    <t>01-08-8386-0 Bridge Repairs</t>
  </si>
  <si>
    <t>Secretary I</t>
  </si>
  <si>
    <t>Legal fees</t>
  </si>
  <si>
    <t>Parks &amp; Recreation Director</t>
  </si>
  <si>
    <t>8103- Parks &amp; recreation Director</t>
  </si>
  <si>
    <t>01-01-8143-0 EMPLOYEE INCENTIVES/Raises</t>
  </si>
  <si>
    <t>Book binding of permanent records, mortgage search, and recording and</t>
  </si>
  <si>
    <t>01-15-8504-0 Office Equipment</t>
  </si>
  <si>
    <t>Executive Secretary</t>
  </si>
  <si>
    <t>01-03-8103-0 Wages - Supervisory</t>
  </si>
  <si>
    <t>Fire Chief</t>
  </si>
  <si>
    <t>Assistant Chief</t>
  </si>
  <si>
    <t>Captain</t>
  </si>
  <si>
    <t>Lieutenant</t>
  </si>
  <si>
    <t>Educational bonuses:</t>
  </si>
  <si>
    <t xml:space="preserve">  Associate degree</t>
  </si>
  <si>
    <t xml:space="preserve">  Bachelor degree</t>
  </si>
  <si>
    <t>Diesel fuel for repairs, pressure washer, and other equipment</t>
  </si>
  <si>
    <t>Electronics</t>
  </si>
  <si>
    <t xml:space="preserve">  Town contribution</t>
  </si>
  <si>
    <t>01-01-8410-0 Elections/Voter Registration</t>
  </si>
  <si>
    <t>Wages:</t>
  </si>
  <si>
    <t xml:space="preserve">  Total wages</t>
  </si>
  <si>
    <t>Social security - 7.65%</t>
  </si>
  <si>
    <t>31-10-8107-0 Wages - Part-Time</t>
  </si>
  <si>
    <t>Pavement markings</t>
  </si>
  <si>
    <t>31-10-8351-0 Consultants</t>
  </si>
  <si>
    <t>01-15-8134-0 Disability Insurance</t>
  </si>
  <si>
    <t>01-25-8260-0 Telephone</t>
  </si>
  <si>
    <t>01-24-8334-0 Maintenance-Office Equipment</t>
  </si>
  <si>
    <t>01-21-8203-0 Operating Supplies</t>
  </si>
  <si>
    <t>Film, minor testing equipment, and miscellaneous supplies</t>
  </si>
  <si>
    <t>01-13-8376-0 Senior Citizens</t>
  </si>
  <si>
    <t>Senior excursions</t>
  </si>
  <si>
    <t>01-13-8377-0 Adult Community Center</t>
  </si>
  <si>
    <t>01-21-8133-0 Life Insurance</t>
  </si>
  <si>
    <t>01-21-8134-0 Disability Insurance</t>
  </si>
  <si>
    <t>01-21-8135-0 Workers Compensation</t>
  </si>
  <si>
    <t>8104 - Building Inspector</t>
  </si>
  <si>
    <t>01-21-8136-0 Unemployment Compensation</t>
  </si>
  <si>
    <t>01-21-8201-0 Office Supplies</t>
  </si>
  <si>
    <t>01-16-8136-0 Unemployment Compensation</t>
  </si>
  <si>
    <t xml:space="preserve">  training, sick, vacation, court, and holidays</t>
  </si>
  <si>
    <t>Justice of the Peace</t>
  </si>
  <si>
    <t>Ballots and memory pack programming</t>
  </si>
  <si>
    <t>Grand total</t>
  </si>
  <si>
    <t>NHMA Annual Conference</t>
  </si>
  <si>
    <t>01-21-8420-0 Advertising</t>
  </si>
  <si>
    <t>Patrolman</t>
  </si>
  <si>
    <t>MYA Building and outdoor lighting</t>
  </si>
  <si>
    <t>Regional Solid Waste District</t>
  </si>
  <si>
    <t>NE Resource Recovery</t>
  </si>
  <si>
    <t>Council (7)</t>
  </si>
  <si>
    <t>Total * includes $3,500 from Library Trustees</t>
  </si>
  <si>
    <t>Seminars, meetings, and conferences</t>
  </si>
  <si>
    <t>Typewriters and printers</t>
  </si>
  <si>
    <t>Dispatchers Part-time</t>
  </si>
  <si>
    <t>01-03-8107-0 Wages - Part-Time</t>
  </si>
  <si>
    <t>Dumpsters</t>
  </si>
  <si>
    <t>01-04-8204-0 Uniforms</t>
  </si>
  <si>
    <t>Police officers - non-union</t>
  </si>
  <si>
    <t>Police officers - AFSCME 93</t>
  </si>
  <si>
    <t>01-15-8280-0 General Insurance</t>
  </si>
  <si>
    <t>8103 - Secretary/Scale Operator</t>
  </si>
  <si>
    <t>01-08-8270-0 Dues &amp; Fees</t>
  </si>
  <si>
    <t>Pickup truck and sedan - unleaded gasoline</t>
  </si>
  <si>
    <t>01-21-8104-0 Wages - Other Full-Time</t>
  </si>
  <si>
    <t>Janitorial supplies, tools, hardware, and other supplies</t>
  </si>
  <si>
    <t>St. John Neumann Food Pantry &amp; Outreach</t>
  </si>
  <si>
    <t>2006-07</t>
  </si>
  <si>
    <t>Scheduled overtime for construction projects, pavement markings,</t>
  </si>
  <si>
    <t>Unscheduled overtime during winter for snow plowing, sanding,</t>
  </si>
  <si>
    <t xml:space="preserve">  salting, drainage problems, and fallen tree limb removal</t>
  </si>
  <si>
    <t xml:space="preserve">  drainage projects, elections, and other activities</t>
  </si>
  <si>
    <t>01-25-8352-0 Education &amp; Training</t>
  </si>
  <si>
    <t>01-25-8359-0 Other Outside Services</t>
  </si>
  <si>
    <t>8111 - NHRS</t>
  </si>
  <si>
    <t>Copier - Finance</t>
  </si>
  <si>
    <t>Fax</t>
  </si>
  <si>
    <t>01-21-8131-0 Health Insurance</t>
  </si>
  <si>
    <t>01-21-8132-0 Dental Insurance</t>
  </si>
  <si>
    <t>Seminars and meetings</t>
  </si>
  <si>
    <t>Employee recruitment ads</t>
  </si>
  <si>
    <t>01-09-8103-0 Wages - Supervisory</t>
  </si>
  <si>
    <t>01-09-8104-0 Wages - Other Full-Time</t>
  </si>
  <si>
    <t>01-09-8105-0 Overtime-Supervisory</t>
  </si>
  <si>
    <t>01-03-8260-0 Telephone</t>
  </si>
  <si>
    <t>General office supplies</t>
  </si>
  <si>
    <t>Library supplies</t>
  </si>
  <si>
    <t>Longevity bonuses:</t>
  </si>
  <si>
    <t xml:space="preserve">  10 years</t>
  </si>
  <si>
    <t xml:space="preserve">  15 years</t>
  </si>
  <si>
    <t xml:space="preserve">  20 years</t>
  </si>
  <si>
    <t>01-03-8420-0 Advertising</t>
  </si>
  <si>
    <t>01-03-8459-0 Physical Exams</t>
  </si>
  <si>
    <t>01-03-8502-0 Buildings</t>
  </si>
  <si>
    <t>01-01-8334-0 Maintenance-Office Equipment</t>
  </si>
  <si>
    <t>Town Manager - conferences</t>
  </si>
  <si>
    <t>01-17-8502-0 Buildings</t>
  </si>
  <si>
    <t>01-05-8104-0 Wages - Other Full-Time</t>
  </si>
  <si>
    <t xml:space="preserve">    Merrimack River Watershed Council</t>
  </si>
  <si>
    <t>Repair of fire equipment and maintenance of</t>
  </si>
  <si>
    <t xml:space="preserve">  generators, compressors, and HVAC systems</t>
  </si>
  <si>
    <t>Ground Ladder Testing (Annual)</t>
  </si>
  <si>
    <t>Replacement parts, contractual services, and supplies</t>
  </si>
  <si>
    <t>01-09-8335-0 Maintenance-Communications Equip</t>
  </si>
  <si>
    <t xml:space="preserve">  Chain link fence repairs</t>
  </si>
  <si>
    <t xml:space="preserve">  Field marking</t>
  </si>
  <si>
    <t xml:space="preserve">  Bases</t>
  </si>
  <si>
    <t>01-08-8105-0 Overtime - Supervisory</t>
  </si>
  <si>
    <t>Tolls - unmarked vehicles</t>
  </si>
  <si>
    <t>01-04-8332-0 Maintenance-Vehicles</t>
  </si>
  <si>
    <t>Scheduled and unscheduled maintenance and tires</t>
  </si>
  <si>
    <t>01-08-8133-0 Life Insurance</t>
  </si>
  <si>
    <t>2009-10</t>
  </si>
  <si>
    <t>01-24-8103-0 Wages - Supervisory</t>
  </si>
  <si>
    <t>Transfer to Communication Equipment Capital Reserve Fund</t>
  </si>
  <si>
    <t>Transfer to Fire Equipment Capital Reserve Fund</t>
  </si>
  <si>
    <t>8107 - Maintenance I</t>
  </si>
  <si>
    <t>01-24-8135-0 Workers Compensation</t>
  </si>
  <si>
    <t>Computer equipment (repairs)</t>
  </si>
  <si>
    <t>Dumpster Contract Station 2</t>
  </si>
  <si>
    <t>Department Infrastructure Maintenance</t>
  </si>
  <si>
    <t>01-09-8111-0 Overtime - Other</t>
  </si>
  <si>
    <t>01-09-8125-0 Social Security</t>
  </si>
  <si>
    <t>01-09-8128-0 Retirement</t>
  </si>
  <si>
    <t>01-09-8131-0 Health Insurance</t>
  </si>
  <si>
    <t>01-09-8132-0 Dental Insurance</t>
  </si>
  <si>
    <t>01-09-8133-0 Life Insurance</t>
  </si>
  <si>
    <t>01-09-8134-0 Disability Insurance</t>
  </si>
  <si>
    <t>01-09-8135-0 Workers Compensation</t>
  </si>
  <si>
    <t>01-09-8136-0 Unemployment Compensation</t>
  </si>
  <si>
    <t>Heritage Fund:</t>
  </si>
  <si>
    <t>Herbicide contractor</t>
  </si>
  <si>
    <t>Street sweeping</t>
  </si>
  <si>
    <t>01-08-8361-0 Street Lights</t>
  </si>
  <si>
    <t>Current street lights:</t>
  </si>
  <si>
    <t>01-13-8204-0 Uniforms</t>
  </si>
  <si>
    <t>01-15-8450-0 Library Materials</t>
  </si>
  <si>
    <t xml:space="preserve">  Memberships:</t>
  </si>
  <si>
    <t>01-06-8334-0 Maintenance-Office Equipment</t>
  </si>
  <si>
    <t>01-06-8504-0 Office Equipment</t>
  </si>
  <si>
    <t xml:space="preserve">  Substitute coverage</t>
  </si>
  <si>
    <t>01-15-8107-0 Wages - Custodial</t>
  </si>
  <si>
    <t>01-04-8107-0 Wages - Part-Time</t>
  </si>
  <si>
    <t>01-04-8103-0 Wages - Supervisory</t>
  </si>
  <si>
    <t>20-03-8432-0 Outside Details/EMS Coverage</t>
  </si>
  <si>
    <t>20-04-8432-0 Outside Details</t>
  </si>
  <si>
    <t>01-02-8300-0 Travel &amp; Meetings</t>
  </si>
  <si>
    <t>supplies</t>
  </si>
  <si>
    <t>Education &amp; training</t>
  </si>
  <si>
    <t>Finance Dept system maintenance and support</t>
  </si>
  <si>
    <t>01-01-8359-0 Other Outside Services</t>
  </si>
  <si>
    <t>Annual audit</t>
  </si>
  <si>
    <t>8104 - part-time &lt;$14,000</t>
  </si>
  <si>
    <t>Personnel services</t>
  </si>
  <si>
    <t>01-25-8334-0 Maintenance-Office Equipment</t>
  </si>
  <si>
    <t>Totals</t>
  </si>
  <si>
    <t>Hours</t>
  </si>
  <si>
    <t>Pay Rate</t>
  </si>
  <si>
    <t>Computer Software (Adobe, GIS)</t>
  </si>
  <si>
    <t>Gallons</t>
  </si>
  <si>
    <t>$ Per Gal</t>
  </si>
  <si>
    <t>01-01-8407-0 Historic Preservation</t>
  </si>
  <si>
    <t>State of NH scale license</t>
  </si>
  <si>
    <t>Voters Guide and budget information booklets</t>
  </si>
  <si>
    <t xml:space="preserve">  Special projects</t>
  </si>
  <si>
    <t xml:space="preserve">Full-time employees </t>
  </si>
  <si>
    <t>Employee cost sharing 10%</t>
  </si>
  <si>
    <t>Officer Pay Call Division</t>
  </si>
  <si>
    <t>Seminars, meetings, conferences and CDL testing travel</t>
  </si>
  <si>
    <t>01-08-8242-0  Natural Gas</t>
  </si>
  <si>
    <t>Health Inspector</t>
  </si>
  <si>
    <t>All facilities, continuing scheduled maintenance: painting, roofs, woodrot etc</t>
  </si>
  <si>
    <t xml:space="preserve">Lake water quality tests </t>
  </si>
  <si>
    <t xml:space="preserve">Pickup truck </t>
  </si>
  <si>
    <t>Comcast for Public Internet</t>
  </si>
  <si>
    <t xml:space="preserve">  HazMat Technician</t>
  </si>
  <si>
    <t>Full time employees</t>
  </si>
  <si>
    <t>Postage machine and scale</t>
  </si>
  <si>
    <t>Northern New England Recreation Conference</t>
  </si>
  <si>
    <t>Fire Prevention Educational Material for Schools /Day Care (Private)</t>
  </si>
  <si>
    <t>Fire prevention Educational Material for Town Events (Expo etc.)</t>
  </si>
  <si>
    <t>Juvenile Fire Setter Educational Program (Legal System)</t>
  </si>
  <si>
    <t>Local Emergency Planning Committee (LEPC) (federal State Regulations)</t>
  </si>
  <si>
    <t>Janitorial supplies, lightbulbs</t>
  </si>
  <si>
    <t>Cable internet/VPN</t>
  </si>
  <si>
    <t>Advertising - Day camp promotion</t>
  </si>
  <si>
    <t>Building Inspector</t>
  </si>
  <si>
    <t>01-21-8107-0 Wages - Part-Time</t>
  </si>
  <si>
    <t>31-10-8250-0 Vehicle Fuel</t>
  </si>
  <si>
    <t xml:space="preserve">  10 holidays X 10 hours X 9 officers = 900 hours</t>
  </si>
  <si>
    <t>Meals</t>
  </si>
  <si>
    <t>01-09-8204-0 Uniforms</t>
  </si>
  <si>
    <t>Martel Field and Bise Field</t>
  </si>
  <si>
    <t>01-13-8241-0 Electricity</t>
  </si>
  <si>
    <t>01-03-8230-0 Postage</t>
  </si>
  <si>
    <t>Air conditioning maintenance</t>
  </si>
  <si>
    <t>File server and personal computer maintenance</t>
  </si>
  <si>
    <t xml:space="preserve">  Current service</t>
  </si>
  <si>
    <t>Janitorial supplies, light bulbs, tools, and miscellaneous hardware</t>
  </si>
  <si>
    <t>Social security</t>
  </si>
  <si>
    <t>Workers compensation</t>
  </si>
  <si>
    <t>Unemployment compensation</t>
  </si>
  <si>
    <t>01-01-8405-0 Nashua Transit System</t>
  </si>
  <si>
    <t>01-03-8406-0 Emergency Management</t>
  </si>
  <si>
    <t>Secretary - conferences and courses</t>
  </si>
  <si>
    <t>Internet services</t>
  </si>
  <si>
    <t>01-03-8280-0 General Insurance</t>
  </si>
  <si>
    <t>01-24-8504-0 Office Equipment</t>
  </si>
  <si>
    <t>01-25-8107-0 Wages - Part-Time</t>
  </si>
  <si>
    <t>01-04-8321-0 Maintenance-Building</t>
  </si>
  <si>
    <t>Consulting services</t>
  </si>
  <si>
    <t>01-07-8131-0 Health Insurance</t>
  </si>
  <si>
    <t>01-21-8270-0 Dues &amp; Fees</t>
  </si>
  <si>
    <t>01-21-8393-0 Conservation</t>
  </si>
  <si>
    <t>Conservation Commission:</t>
  </si>
  <si>
    <t>01-08-8502-0 Buildings</t>
  </si>
  <si>
    <t>31-10-8311-0 Chemicals</t>
  </si>
  <si>
    <t>Polymer for belt filter press</t>
  </si>
  <si>
    <t>01-03-8331-0 Maintenance-Machinery</t>
  </si>
  <si>
    <t>01-13-8374-0 Recreation Programs</t>
  </si>
  <si>
    <t>Easter egg hunt</t>
  </si>
  <si>
    <t>Boot allowance - AFSCME</t>
  </si>
  <si>
    <t>Contingency for purchase of land</t>
  </si>
  <si>
    <t>Clothing allowance and boots</t>
  </si>
  <si>
    <t>31-10-8125-0 Social Security</t>
  </si>
  <si>
    <t>01-27-8604-0 Principal - Long-Term Debt</t>
  </si>
  <si>
    <t>31-27-8602-0 Interest - Long-Term Debt</t>
  </si>
  <si>
    <t>NH Town Clerk Seminar - all staff training</t>
  </si>
  <si>
    <t>01-25-8270-0 Dues &amp; Fees</t>
  </si>
  <si>
    <t>Wasserman Park trails, fencing, and rec areas</t>
  </si>
  <si>
    <t>31-10-8131-0 Health Insurance</t>
  </si>
  <si>
    <t>31-10-8132-0 Dental Insurance</t>
  </si>
  <si>
    <t>31-10-8133-0 Life Insurance</t>
  </si>
  <si>
    <t>01-16-8359-0 Other Outside Services</t>
  </si>
  <si>
    <t>01-25-8893-0 Crisis Funds</t>
  </si>
  <si>
    <t>31-10-8331-0 Maintenance-Machinery</t>
  </si>
  <si>
    <t>Legal notices and notices of vacancies, bids, and meetings</t>
  </si>
  <si>
    <t>Propane fuel: forklift and Bobcat loader</t>
  </si>
  <si>
    <t>Fax/modem line</t>
  </si>
  <si>
    <t xml:space="preserve">  releasing tax liens and deeds</t>
  </si>
  <si>
    <t>01-24-8420-0 Advertising</t>
  </si>
  <si>
    <t>Dog tags</t>
  </si>
  <si>
    <t>31-10-8134-0 Disability Insurance</t>
  </si>
  <si>
    <t>Balance as of</t>
  </si>
  <si>
    <t>01-04-8132-0 Dental Insurance</t>
  </si>
  <si>
    <t>01-04-8133-0 Life Insurance</t>
  </si>
  <si>
    <t>01-04-8134-0 Disability Insurance</t>
  </si>
  <si>
    <t>Operating supplies:</t>
  </si>
  <si>
    <t>01-25-8125-0 Social Security</t>
  </si>
  <si>
    <t>Welfare Administrator</t>
  </si>
  <si>
    <t>01-25-8135-0 Workers Compensation</t>
  </si>
  <si>
    <t>01-25-8136-0 Unemployment Compensation</t>
  </si>
  <si>
    <t>01-25-8201-0 Office Supplies</t>
  </si>
  <si>
    <t>Saturday shift premium - 8 hr X 52 wk X 4 employees</t>
  </si>
  <si>
    <t>Holiday pay - 7 days X 8 hr X 4 employees</t>
  </si>
  <si>
    <t>Town Council Adjustment</t>
  </si>
  <si>
    <t>Revenue, excluding Town grant</t>
  </si>
  <si>
    <t>32-32-8351-0 Consultants</t>
  </si>
  <si>
    <t>Office furniture</t>
  </si>
  <si>
    <t>Movie Licensing USA</t>
  </si>
  <si>
    <t>01-09-8370-0 Landfill Monitoring</t>
  </si>
  <si>
    <t>01-07-8300-0 Travel &amp; Meetings</t>
  </si>
  <si>
    <t>NH Tax Collector Seminar</t>
  </si>
  <si>
    <t xml:space="preserve">INCLUDED IN MUNICIPAL OPERATING BUDGET </t>
  </si>
  <si>
    <t>Bud. Expend.</t>
  </si>
  <si>
    <t>Balance *</t>
  </si>
  <si>
    <t>Est. Expend</t>
  </si>
  <si>
    <t xml:space="preserve"> Balance **</t>
  </si>
  <si>
    <t>Ambulance</t>
  </si>
  <si>
    <t>Athletic Fields</t>
  </si>
  <si>
    <t>Communications Equipment</t>
  </si>
  <si>
    <t>Computer Equipment</t>
  </si>
  <si>
    <t>Daniel Webster Highway</t>
  </si>
  <si>
    <t>Fire Equipment</t>
  </si>
  <si>
    <t>Highway Equipment</t>
  </si>
  <si>
    <t>Land Bank</t>
  </si>
  <si>
    <t>Library Building Maintenance Fund</t>
  </si>
  <si>
    <t>Playground Equipment</t>
  </si>
  <si>
    <t>Property Revaluation</t>
  </si>
  <si>
    <t>Road Improvements</t>
  </si>
  <si>
    <t xml:space="preserve">Fire Station Improvements </t>
  </si>
  <si>
    <t>Traffic Signal Pre-emption</t>
  </si>
  <si>
    <t>Road Infrastructure CRF</t>
  </si>
  <si>
    <t xml:space="preserve">Sewer Infrastructure Improvements </t>
  </si>
  <si>
    <t>Operating budget</t>
  </si>
  <si>
    <t>01-03-8335-0 Maintenance-Communications Equipment</t>
  </si>
  <si>
    <t>01-04-8230-0 Postage</t>
  </si>
  <si>
    <t>01-08-8104-0 Wages - Other Full-Time</t>
  </si>
  <si>
    <t xml:space="preserve">  vacation/sick time coverage by Highway</t>
  </si>
  <si>
    <t>8103 - Foreman/Supervisor</t>
  </si>
  <si>
    <t xml:space="preserve"> Chief Operator and Maintenance Manager</t>
  </si>
  <si>
    <t>Contractual ambulance billing service</t>
  </si>
  <si>
    <t xml:space="preserve">  Water and sewer</t>
  </si>
  <si>
    <t>Dispatcher</t>
  </si>
  <si>
    <t>01-05-8105-0 Overtime-Supervisory</t>
  </si>
  <si>
    <t xml:space="preserve">  30 credits</t>
  </si>
  <si>
    <t xml:space="preserve">  NEILEM</t>
  </si>
  <si>
    <t>01-15-8374-0 Programs</t>
  </si>
  <si>
    <t>On call Pay (winter 16 weeks X 7 days X1 hr)</t>
  </si>
  <si>
    <t>01-25-8483-0 Natural Gas Heat</t>
  </si>
  <si>
    <t>01-25-8484-0 Heating Oil and Kerosene</t>
  </si>
  <si>
    <t>Office Manager</t>
  </si>
  <si>
    <t>Account Clerk III</t>
  </si>
  <si>
    <t>Certified mail and shipping</t>
  </si>
  <si>
    <t>01-02-8250-0 Vehicle Fuel</t>
  </si>
  <si>
    <t>Unleaded fuel</t>
  </si>
  <si>
    <t>01-02-8260-0 Telephone</t>
  </si>
  <si>
    <t>Auto and liability insurance cost allocation</t>
  </si>
  <si>
    <t>01-25-8492-0 Santa Fund</t>
  </si>
  <si>
    <t>31-10-8103-0 Wages - Supervisory</t>
  </si>
  <si>
    <t>Chief Operator</t>
  </si>
  <si>
    <t>Laboratory Manager</t>
  </si>
  <si>
    <t>Portable toilets</t>
  </si>
  <si>
    <t>Pennichuck Square Pumping Station</t>
  </si>
  <si>
    <t>Burt Street Pumping Station</t>
  </si>
  <si>
    <t>Compost facility</t>
  </si>
  <si>
    <t>Net expenditures/Town grant</t>
  </si>
  <si>
    <t>Sedan repair and maintenance</t>
  </si>
  <si>
    <t>2011-12</t>
  </si>
  <si>
    <t>Electrical Repair</t>
  </si>
  <si>
    <t>Media Coordinator</t>
  </si>
  <si>
    <t>Assistant Media Coordinator</t>
  </si>
  <si>
    <t>32-32-8103-0 Wages - Supervisory</t>
  </si>
  <si>
    <t>32-32-8107-0 Wages - Part-Time</t>
  </si>
  <si>
    <t>32-32-8125-0 Social Security</t>
  </si>
  <si>
    <t>01-21-8352-0 Education &amp; Training</t>
  </si>
  <si>
    <t>Children's programs</t>
  </si>
  <si>
    <t>Children's materials</t>
  </si>
  <si>
    <t>01-13-8371-0 Merrimack Youth Association</t>
  </si>
  <si>
    <t>Soccer</t>
  </si>
  <si>
    <t>01-08-8107-0 Wages - Part-Time</t>
  </si>
  <si>
    <t>01-15-8353-0 Computer Services</t>
  </si>
  <si>
    <t>Football/Cheerleading</t>
  </si>
  <si>
    <t>Basketball</t>
  </si>
  <si>
    <t>Lacrosse</t>
  </si>
  <si>
    <t>Total expenditures</t>
  </si>
  <si>
    <t>Revenues, excluding Town grant</t>
  </si>
  <si>
    <t>Net expenditures</t>
  </si>
  <si>
    <t>01-08-8111-0 Overtime - Other</t>
  </si>
  <si>
    <t>Hydrant fees - fully offset by special assessments:</t>
  </si>
  <si>
    <t>01-07-8460-0 Other Operating Expenses</t>
  </si>
  <si>
    <t>01-07-8504-0 Office Equipment</t>
  </si>
  <si>
    <t>01-08-8102-0 Wages - Clerical</t>
  </si>
  <si>
    <t>Recording of plans</t>
  </si>
  <si>
    <t>01-08-8508-0 Operating Equipment</t>
  </si>
  <si>
    <t>01-08-8510-0 Capital Reserve Fund</t>
  </si>
  <si>
    <t>Maintenance of sprinklers and smoke detectors</t>
  </si>
  <si>
    <t>01-24-8102-0 Wages - Clerical</t>
  </si>
  <si>
    <t>Mailing of brochures, flyers, and general correspondence; and third-class</t>
  </si>
  <si>
    <t>Computer paper and supplies and miscellaneous office supplies</t>
  </si>
  <si>
    <t>01-05-8203-0 Operating Supplies</t>
  </si>
  <si>
    <t>Public notices and bid advertisements</t>
  </si>
  <si>
    <t>31-10-8460-0 Other Operating Expenses</t>
  </si>
  <si>
    <t>01-07-8133-0 Life Insurance</t>
  </si>
  <si>
    <t>01-07-8134-0 Disability Insurance</t>
  </si>
  <si>
    <t>01-07-8135-0 Workers Compensation</t>
  </si>
  <si>
    <t>31-10-8102-0 Wages-Clerical</t>
  </si>
  <si>
    <t>Infrastructure Upgrades / Installations</t>
  </si>
  <si>
    <t>Building Systems</t>
  </si>
  <si>
    <t>01-04-8335-0 Maintenance-Communications Equipment</t>
  </si>
  <si>
    <t>Radar units and radios</t>
  </si>
  <si>
    <t>01-13-8372-0 Fourth of July</t>
  </si>
  <si>
    <t>NESPIN</t>
  </si>
  <si>
    <t>01-07-8107-0 Wages - Part-Time</t>
  </si>
  <si>
    <t>Net</t>
  </si>
  <si>
    <t>DW Highway Capital Reserve Fund</t>
  </si>
  <si>
    <t>01-08-8382-0 Tree Service</t>
  </si>
  <si>
    <t>01-01-8504-0 Office Equipment</t>
  </si>
  <si>
    <t>2002 Greens Pond Bonds</t>
  </si>
  <si>
    <t>01-01-8111-0 Overtime - Other</t>
  </si>
  <si>
    <t>8104</t>
  </si>
  <si>
    <t>01-04-8334-0 Maintenance-Office Equipment</t>
  </si>
  <si>
    <t>Copiers</t>
  </si>
  <si>
    <t>Identi-Kit</t>
  </si>
  <si>
    <t>32-32-8104-0 Wages - Other Full-Time</t>
  </si>
  <si>
    <t xml:space="preserve">  Building improvements</t>
  </si>
  <si>
    <t>Uniform cleaning</t>
  </si>
  <si>
    <t>Uniform patches</t>
  </si>
  <si>
    <t>01-04-8220-0 Printing</t>
  </si>
  <si>
    <t>Forms and stationery</t>
  </si>
  <si>
    <t>01-16-8103-0 Wages - Supervisory</t>
  </si>
  <si>
    <t>Foreman</t>
  </si>
  <si>
    <t>01-16-8104-0 Wages - Other Full-Time</t>
  </si>
  <si>
    <t>Merrimack Historical Society:</t>
  </si>
  <si>
    <t xml:space="preserve">  Electricity</t>
  </si>
  <si>
    <t xml:space="preserve">  Telephone</t>
  </si>
  <si>
    <t xml:space="preserve">  Heat</t>
  </si>
  <si>
    <t xml:space="preserve">  Insurance</t>
  </si>
  <si>
    <t xml:space="preserve">  Postage</t>
  </si>
  <si>
    <t>Short-term disability insurance</t>
  </si>
  <si>
    <t>2008-09</t>
  </si>
  <si>
    <t>01-05-8260-0 Telephone</t>
  </si>
  <si>
    <t>Frame relay re: mobile data terminals</t>
  </si>
  <si>
    <t>American Red Cross-disaster, blood, health &amp; safety education</t>
  </si>
  <si>
    <t>Recording Secretary – Planning/Zoning Boards</t>
  </si>
  <si>
    <t>Forms, Pamphlets, Stationery</t>
  </si>
  <si>
    <t>01-04-8104-0 Wages - Other Full-Time</t>
  </si>
  <si>
    <t>Patrol Sergeant</t>
  </si>
  <si>
    <t>Detective First</t>
  </si>
  <si>
    <t>Dues &amp; fees - state permit, ACA Annual Dues</t>
  </si>
  <si>
    <t>Janitorial &amp; Cleaning supplies</t>
  </si>
  <si>
    <t>8107- (Fire Inspector)</t>
  </si>
  <si>
    <t>01-03-8204-0 Uniforms, Personal Protective Clothing</t>
  </si>
  <si>
    <t>Fire Extinguisher Testing/Certification</t>
  </si>
  <si>
    <t xml:space="preserve">  EMT/Basic Class (EMS Volunteer Division)</t>
  </si>
  <si>
    <t xml:space="preserve">  Firefighter 1 (Call Fire Volunteer Division)</t>
  </si>
  <si>
    <t>01-04-8280-0 General Insurance</t>
  </si>
  <si>
    <t>01-04-8300-0 Travel &amp; Meetings</t>
  </si>
  <si>
    <t>Meetings</t>
  </si>
  <si>
    <t>NH Town Clerks Conference</t>
  </si>
  <si>
    <t>NH Tax Collectors Conference</t>
  </si>
  <si>
    <t>Tax collectors workshops</t>
  </si>
  <si>
    <t>Regional meetings</t>
  </si>
  <si>
    <t>Mileage for Town Clerk/Tax Collector</t>
  </si>
  <si>
    <t>Wasserman Park function hall</t>
  </si>
  <si>
    <t>01-09-8510-0 Capital Reserve Fund</t>
  </si>
  <si>
    <t>.</t>
  </si>
  <si>
    <t>ARL Fee</t>
  </si>
  <si>
    <t>Office Equipment</t>
  </si>
  <si>
    <t>01-16-8280-0 General Insurance</t>
  </si>
  <si>
    <t>01-16-8300-0 Travel &amp; Meetings</t>
  </si>
  <si>
    <t>01-02-8334-0 Maintenance-Office Equipment</t>
  </si>
  <si>
    <t>Copier</t>
  </si>
  <si>
    <t>Printers</t>
  </si>
  <si>
    <t>01-02-8352-0 Education &amp; Training</t>
  </si>
  <si>
    <t>Computer courses</t>
  </si>
  <si>
    <t>31-10-8230-0 Postage</t>
  </si>
  <si>
    <t>8102 - Full-time</t>
  </si>
  <si>
    <t>8106 - Full-time</t>
  </si>
  <si>
    <t>01-04-8201-0 Office Supplies</t>
  </si>
  <si>
    <t>Copier paper and toner</t>
  </si>
  <si>
    <t>Liability insurance cost allocation</t>
  </si>
  <si>
    <t>Septic system and installers license</t>
  </si>
  <si>
    <t>Granite State Designers &amp; Installers dues</t>
  </si>
  <si>
    <t>Subscriptions</t>
  </si>
  <si>
    <t>01-21-8280-0 General Insurance</t>
  </si>
  <si>
    <t>Liability and auto insurance</t>
  </si>
  <si>
    <t>01-21-8300-0 Travel &amp; Meetings</t>
  </si>
  <si>
    <t>Police station</t>
  </si>
  <si>
    <t>Bandstand</t>
  </si>
  <si>
    <t>01-17-8244-0 Water</t>
  </si>
  <si>
    <t>01-17-8245-0 Sewer</t>
  </si>
  <si>
    <t>01-17-8250-0 Vehicle Fuel</t>
  </si>
  <si>
    <t>01-17-8260-0 Telephone</t>
  </si>
  <si>
    <t>01-17-8280-0 General Insurance</t>
  </si>
  <si>
    <t>01-17-8321-0 Maintenance-Buildings</t>
  </si>
  <si>
    <t>Transfer to Playground Equipment Capital Reserve Fund</t>
  </si>
  <si>
    <t>01-07-8230-0 Postage</t>
  </si>
  <si>
    <t>31-10-8280-0 General Insurance</t>
  </si>
  <si>
    <t xml:space="preserve"> Cell Phone Fire Marshal</t>
  </si>
  <si>
    <t xml:space="preserve"> Cell Phone Fire Inspector</t>
  </si>
  <si>
    <t xml:space="preserve"> Cell Phone Building Official</t>
  </si>
  <si>
    <t xml:space="preserve"> Cell Phone Building Inspector</t>
  </si>
  <si>
    <t xml:space="preserve"> Cell Phone Health Officer</t>
  </si>
  <si>
    <t>State Agency permit fees (lab, air, compost, scale, hazwaste)</t>
  </si>
  <si>
    <t>NHWPCA and APWA memberships</t>
  </si>
  <si>
    <t>01-21-8220-0 Printing</t>
  </si>
  <si>
    <t>01-21-8230-0 Postage</t>
  </si>
  <si>
    <t>Hats and other identification apparel</t>
  </si>
  <si>
    <t>01-16-8250-0 Vehicle Fuel</t>
  </si>
  <si>
    <t>31-10-8352-0 Education &amp; Training</t>
  </si>
  <si>
    <t>01-03-8125-0 Social Security</t>
  </si>
  <si>
    <t>8102</t>
  </si>
  <si>
    <t>8105</t>
  </si>
  <si>
    <t>01-03-8128-0 Retirement</t>
  </si>
  <si>
    <t>8103 - NHRS</t>
  </si>
  <si>
    <t>8104 - NHRS</t>
  </si>
  <si>
    <t>8105 - NHRS</t>
  </si>
  <si>
    <t>01-16-8131-0 Health Insurance</t>
  </si>
  <si>
    <t>01-16-8132-0 Dental Insurance</t>
  </si>
  <si>
    <t>01-16-8133-0 Life Insurance</t>
  </si>
  <si>
    <t>AFSCME- boot allowance</t>
  </si>
  <si>
    <t>Collection agency - delinquent ambulance bills</t>
  </si>
  <si>
    <t>Wrestling</t>
  </si>
  <si>
    <t>Crime scene supplies</t>
  </si>
  <si>
    <t>Narcotic unit supplies</t>
  </si>
  <si>
    <t xml:space="preserve">  8104 - IAFF Contract</t>
  </si>
  <si>
    <t xml:space="preserve">  8103 - AFSCME 93 Contract</t>
  </si>
  <si>
    <t>NFPA Code subscription service - network version &amp; CD</t>
  </si>
  <si>
    <t>Fire Prevention Educational Material for Schools (Public)</t>
  </si>
  <si>
    <t>Sewer Line Extension</t>
  </si>
  <si>
    <t>01-13-8505-0  Infrastructure</t>
  </si>
  <si>
    <t>Nashua Soup Kitchen &amp; Shelter - basic needs and shelters</t>
  </si>
  <si>
    <t>St. Joseph's Community Services - elderly meals and services</t>
  </si>
  <si>
    <t>01-05-8111-0 Overtime - Other</t>
  </si>
  <si>
    <t>Shift overtime and coverage for vacations, sick leave,</t>
  </si>
  <si>
    <t>holidays, and training</t>
  </si>
  <si>
    <t>01-05-8125-0 Social Security</t>
  </si>
  <si>
    <t>01-17-8107-0 Wages - Part-Time</t>
  </si>
  <si>
    <t>01-17-8111-0 Overtime - Other</t>
  </si>
  <si>
    <t>Harbor Homes Shelter for Mental Health</t>
  </si>
  <si>
    <t>HIV/AIDS Task Force</t>
  </si>
  <si>
    <t>01-13-8322-0 Maintenance-Grounds</t>
  </si>
  <si>
    <t>01-17-8125-0 Social Security</t>
  </si>
  <si>
    <t>01-17-8128-0 Retirement</t>
  </si>
  <si>
    <t>01-17-8131-0 Health Insurance</t>
  </si>
  <si>
    <t>01-04-8102-0 Wages - Clerical</t>
  </si>
  <si>
    <t>Uniform service - AFSCME</t>
  </si>
  <si>
    <t>8103 - Planning/zoning</t>
  </si>
  <si>
    <t>Ambulance Garage</t>
  </si>
  <si>
    <t>College courses and seminars - NEPBA</t>
  </si>
  <si>
    <t>01-01-8131-0 Health Insurance</t>
  </si>
  <si>
    <t>01-01-8132-0 Dental Insurance</t>
  </si>
  <si>
    <t>01-01-8133-0 Life Insurance</t>
  </si>
  <si>
    <t>01-01-8134-0 Disability Insurance</t>
  </si>
  <si>
    <t>01-13-8260-0 Telephone</t>
  </si>
  <si>
    <t>Lieutenants - shift overtime and coverage for</t>
  </si>
  <si>
    <t>01-03-8408-0 Rescue</t>
  </si>
  <si>
    <t>Highway garage</t>
  </si>
  <si>
    <t>Coordinator - subcontract</t>
  </si>
  <si>
    <t>Parts and contractual services</t>
  </si>
  <si>
    <t>Uniform allowance:</t>
  </si>
  <si>
    <t>01-03-8220-0 Printing</t>
  </si>
  <si>
    <t>01-04-8105-0 Overtime - Supervisory</t>
  </si>
  <si>
    <t>Other operating expenses</t>
  </si>
  <si>
    <t>Capital outlay</t>
  </si>
  <si>
    <t>Telephone cost allocation</t>
  </si>
  <si>
    <t>Holiday pay - Foreman: 8 hr X 7 days</t>
  </si>
  <si>
    <t>Holiday pay - Scale Operator: 8 hr X 7 days</t>
  </si>
  <si>
    <t>Other equipment</t>
  </si>
  <si>
    <t>01-25-8481-0 Housing (rent and mortgage payments)</t>
  </si>
  <si>
    <t>01-25-8482-0 Electricity</t>
  </si>
  <si>
    <t>01-25-8485-0 Vehicle fuel</t>
  </si>
  <si>
    <t>01-25-8486-0 Telephone</t>
  </si>
  <si>
    <t>01-25-8488-0 Food</t>
  </si>
  <si>
    <t>01-25-8489-0 Medical</t>
  </si>
  <si>
    <t>Safety supplies, tools, gloves, paint, chains, lumber,</t>
  </si>
  <si>
    <t>01-03-8241-0 Electricity</t>
  </si>
  <si>
    <t>GRAND TOTAL * includes $3,500 from Library Trustees</t>
  </si>
  <si>
    <t>Sludge grinder and channel grinder repairs</t>
  </si>
  <si>
    <t xml:space="preserve">  Company Officer</t>
  </si>
  <si>
    <t xml:space="preserve">  Firefighter III</t>
  </si>
  <si>
    <t xml:space="preserve">  Vo-tech certificate</t>
  </si>
  <si>
    <t>01-03-8105-0 Overtime - Supervisory</t>
  </si>
  <si>
    <t>Excess sick leave purchase</t>
  </si>
  <si>
    <t>Chemical toilet service</t>
  </si>
  <si>
    <t>Tire removal</t>
  </si>
  <si>
    <t>Solid Waste Disposal</t>
  </si>
  <si>
    <t>01-25-8230-0 Postage</t>
  </si>
  <si>
    <t>Mailing of reports, notices, and general correspondence</t>
  </si>
  <si>
    <t>Personal services</t>
  </si>
  <si>
    <t>01-02-8270-0 Dues &amp; Fees</t>
  </si>
  <si>
    <t>Marshall &amp; Swift subscription services</t>
  </si>
  <si>
    <t>01-02-8280-0 General Insurance</t>
  </si>
  <si>
    <t>01-03-8131-0 Health Insurance</t>
  </si>
  <si>
    <t>01-03-8132-0 Dental Insurance</t>
  </si>
  <si>
    <t>01-03-8133-0 Life Insurance</t>
  </si>
  <si>
    <t>31-10-8332-0 Maintenance-Vehicles</t>
  </si>
  <si>
    <t>31-10-8334-0 Maintenance-Office Equipment</t>
  </si>
  <si>
    <t>Fire alarm</t>
  </si>
  <si>
    <t>Operator 10 Plus Premium Support</t>
  </si>
  <si>
    <t>Admin Charge</t>
  </si>
  <si>
    <t>01-04-8250-0 Vehicle Fuel</t>
  </si>
  <si>
    <t>01-04-8270-0 Dues &amp; Fees</t>
  </si>
  <si>
    <t>01-24-8260-0 Telephone</t>
  </si>
  <si>
    <t>01-24-8270-0 Dues &amp; Fees</t>
  </si>
  <si>
    <t>31-10-8111-0 Overtime - Other</t>
  </si>
  <si>
    <t>01-17-8322-0 Maintenance-Grounds</t>
  </si>
  <si>
    <t>Bark mulch</t>
  </si>
  <si>
    <t>Winter coats - Teamsters</t>
  </si>
  <si>
    <t>AFSCME - winter coats</t>
  </si>
  <si>
    <t>01-07-8132-0 Dental Insurance</t>
  </si>
  <si>
    <t>01-08-8134-0 Disability Insurance</t>
  </si>
  <si>
    <t>01-08-8135-0 Workers Compensation</t>
  </si>
  <si>
    <t>01-08-8136-0 Unemployment Compensation</t>
  </si>
  <si>
    <t>01-08-8201-0 Office Supplies</t>
  </si>
  <si>
    <t>01-08-8125-0 Social Security</t>
  </si>
  <si>
    <t>Stationary and forms</t>
  </si>
  <si>
    <t>Cellular telephone for emergency calls</t>
  </si>
  <si>
    <t>Society For Human Resource Management</t>
  </si>
  <si>
    <t>Flowers and shrubs</t>
  </si>
  <si>
    <t>1996 Organic Waste Composting Facility Bond</t>
  </si>
  <si>
    <t>31-10-8508-0 Operating Equipment</t>
  </si>
  <si>
    <t>Hillstown</t>
  </si>
  <si>
    <t>01-24-8107-0 Wages - Part-Time</t>
  </si>
  <si>
    <t>01-24-8111-0 Overtime - Other</t>
  </si>
  <si>
    <t>Custodial services</t>
  </si>
  <si>
    <t>Furnishings</t>
  </si>
  <si>
    <t>Repair and maintenance</t>
  </si>
  <si>
    <t>Snow removal</t>
  </si>
  <si>
    <t>01-08-8202-0 Maintenance Supplies</t>
  </si>
  <si>
    <t>01-08-8203-0 Operating Supplies</t>
  </si>
  <si>
    <t>Fire extinguishers, gloves, safety vests, hard hats, flags, first aid</t>
  </si>
  <si>
    <t>01-08-8204-0 Uniforms</t>
  </si>
  <si>
    <t>Foreman/Supervisor</t>
  </si>
  <si>
    <t>Secretary/Scale Operator</t>
  </si>
  <si>
    <t>Recycling Attendant</t>
  </si>
  <si>
    <t>Janitorial supplies</t>
  </si>
  <si>
    <t>01-03-8504-0 Office Equipment</t>
  </si>
  <si>
    <t>01-03-8506-0 Communications Equipment</t>
  </si>
  <si>
    <t>01-25-8495-0 Propane fuel heat</t>
  </si>
  <si>
    <t xml:space="preserve">  Supplies, seminars, and other administrative costs</t>
  </si>
  <si>
    <t>01-17-8241-0 Electricity</t>
  </si>
  <si>
    <t>Custodial Aide - part-time</t>
  </si>
  <si>
    <t>Laminator</t>
  </si>
  <si>
    <t>Audio-visual materials</t>
  </si>
  <si>
    <t>Thornton Ferry Pumping Station</t>
  </si>
  <si>
    <t>Souhegan Pumping Station</t>
  </si>
  <si>
    <t>01-15-8104-0 Wages - Hourly</t>
  </si>
  <si>
    <t>Full-time:</t>
  </si>
  <si>
    <t>Console, base stations, repeater, and radio voting system</t>
  </si>
  <si>
    <t>01-03-8242-0 Natural Gas</t>
  </si>
  <si>
    <t>Caregivers - coordinated volunteer transportation assistance</t>
  </si>
  <si>
    <t>Human Resources Coordinator - conferences and seminars</t>
  </si>
  <si>
    <t>01-07-8352-0 Education &amp; Training</t>
  </si>
  <si>
    <t>01-07-8420-0 Advertising</t>
  </si>
  <si>
    <t>01-04-8106-0 Animal Control</t>
  </si>
  <si>
    <t>01-08-8346-0 Road Materials</t>
  </si>
  <si>
    <t>01-24-8101-0 Wages - Elected Officials</t>
  </si>
  <si>
    <t>Town Clerk/Tax Collector</t>
  </si>
  <si>
    <t>Baseball - Cal Ripken</t>
  </si>
  <si>
    <t>01-04-8352-0 Education &amp; Training</t>
  </si>
  <si>
    <t>Polymer for rotary drum thickeners</t>
  </si>
  <si>
    <t>Generator maintenance</t>
  </si>
  <si>
    <t>01-05-8128-0 Retirement</t>
  </si>
  <si>
    <t xml:space="preserve">  Clay</t>
  </si>
  <si>
    <t>01-17-8133-0 Life Insurance</t>
  </si>
  <si>
    <t>Bank service charges</t>
  </si>
  <si>
    <t>31-10-8300-0 Travel &amp; Meetings</t>
  </si>
  <si>
    <t>01-13-8220-0 Printing</t>
  </si>
  <si>
    <t>Miscellaneous</t>
  </si>
  <si>
    <t>NH Employment Law Letter</t>
  </si>
  <si>
    <t>Others</t>
  </si>
  <si>
    <t>01-01-8280-0 General Insurance</t>
  </si>
  <si>
    <t>Property, liability, and auto insurance</t>
  </si>
  <si>
    <t>01-01-8293-0 Legal-Other</t>
  </si>
  <si>
    <t>01-01-8300-0 Travel &amp; Meetings</t>
  </si>
  <si>
    <t>01-24-8300-0 Travel &amp; Meetings</t>
  </si>
  <si>
    <t>Holiday pay</t>
  </si>
  <si>
    <t>Copier - Town Manager's Office</t>
  </si>
  <si>
    <t>01-04-8135-0 Workers Compensation</t>
  </si>
  <si>
    <t>Boot allowance - Teamsters</t>
  </si>
  <si>
    <t>Uniform service - Teamsters</t>
  </si>
  <si>
    <t>Non-union - clothing allowance and boot allowance</t>
  </si>
  <si>
    <t>Apparel for identification and safety purposes</t>
  </si>
  <si>
    <t>01-24-8430-0 Dog Licenses</t>
  </si>
  <si>
    <t xml:space="preserve">Mailing of tax bills, motor vehicle renewals, tax lien and mortgagee </t>
  </si>
  <si>
    <t>notices,  and general correspondence</t>
  </si>
  <si>
    <t>01-03-8270-0 Dues &amp; Fees</t>
  </si>
  <si>
    <t xml:space="preserve">  supplies, record books, and miscellaneous office supplies</t>
  </si>
  <si>
    <t>01-13-8321-0 Maintenance-Buildings &amp; Grounds</t>
  </si>
  <si>
    <t>01-08-8342-0 Cold Patch</t>
  </si>
  <si>
    <t>01-08-8359-0 Other Outside Services</t>
  </si>
  <si>
    <t>01-24-8133-0 Life Insurance</t>
  </si>
  <si>
    <t>01-24-8134-0 Disability Insurance</t>
  </si>
  <si>
    <t>424-7312 Fax</t>
  </si>
  <si>
    <t>01-08-8212-0 Equipment Rental</t>
  </si>
  <si>
    <t>Propane tanks for forklift and skid steer</t>
  </si>
  <si>
    <t>Highway Equipment Capital Reserve Fund</t>
  </si>
  <si>
    <t>Facility use decals</t>
  </si>
  <si>
    <t>Transfer station</t>
  </si>
  <si>
    <t>Perimeter fencing repairs</t>
  </si>
  <si>
    <t>Overtime during major tax collection periods</t>
  </si>
  <si>
    <t>01-17-8332-0 Maintenance-Vehicles</t>
  </si>
  <si>
    <t>Field maintenance:</t>
  </si>
  <si>
    <t>31-10-8270-0 Dues &amp; Fees</t>
  </si>
  <si>
    <t>01-13-8132-0 Dental Insurance</t>
  </si>
  <si>
    <t>Account Clerk II</t>
  </si>
  <si>
    <t>01-15-8131-0 Health Insurance</t>
  </si>
  <si>
    <t>01-15-8132-0 Dental Insurance</t>
  </si>
  <si>
    <t>01-16-8331-0 Maintenance-Machinery</t>
  </si>
  <si>
    <t>01-16-8333-0 Maintenance-Vehicles</t>
  </si>
  <si>
    <t>Prisoner food</t>
  </si>
  <si>
    <t>Narcotics Unit informants and evidence</t>
  </si>
  <si>
    <t>Chemical test materials</t>
  </si>
  <si>
    <t>01-04-8503-0 Vehicles</t>
  </si>
  <si>
    <t>01-04-8504-0 Office Equipment</t>
  </si>
  <si>
    <t>01-04-8508-0 Operating Equipment</t>
  </si>
  <si>
    <t>Total - fully offset by revenues</t>
  </si>
  <si>
    <t>8104 - Technology Services Coordinator</t>
  </si>
  <si>
    <t>01-13-8107-0 Wages - Part-Time</t>
  </si>
  <si>
    <t>01-17-8104-0 Wages - Other Full-Time</t>
  </si>
  <si>
    <t>Compost facility heating system</t>
  </si>
  <si>
    <t>31-10-8243-0 Heating Oil</t>
  </si>
  <si>
    <t>Diesel fuel for plant generators</t>
  </si>
  <si>
    <t>8107 Secretary</t>
  </si>
  <si>
    <t>Insurance</t>
  </si>
  <si>
    <t>Part time employees</t>
  </si>
  <si>
    <t>Bandstand concerts</t>
  </si>
  <si>
    <t>01-27-8602-0 Interest - Long-Term Debt</t>
  </si>
  <si>
    <t xml:space="preserve">  Office supplies </t>
  </si>
  <si>
    <t>Pearson Road Pumping Station</t>
  </si>
  <si>
    <t>01-07-8280-0 General Insurance</t>
  </si>
  <si>
    <t>Security cards, station logs, business cards, and other forms</t>
  </si>
  <si>
    <t>01-05-8131-0 Health Insurance</t>
  </si>
  <si>
    <t>01-03-8104-0 Wages - Other Full-Time</t>
  </si>
  <si>
    <t>Light bulbs</t>
  </si>
  <si>
    <t>NH Municipal Management Association</t>
  </si>
  <si>
    <t>ICMA</t>
  </si>
  <si>
    <t>01-09-8910-0 Capital Reserve Fund Purchases</t>
  </si>
  <si>
    <t>Vehicle towing</t>
  </si>
  <si>
    <t>Blueprints, topographical maps</t>
  </si>
  <si>
    <t>NH Public Works Association</t>
  </si>
  <si>
    <t>Traffic Officer</t>
  </si>
  <si>
    <t>Other CATV Equipment</t>
  </si>
  <si>
    <t>Union *Increased by 1 for additional Patrolman</t>
  </si>
  <si>
    <t>Transfer to Solid Waste Disposal Capital Reserve Fund</t>
  </si>
  <si>
    <t>01-13-8230-0 Postage</t>
  </si>
  <si>
    <t>01-01-8353-0 Computer Services</t>
  </si>
  <si>
    <t>01-09-8322-0 Maintenance-Grounds</t>
  </si>
  <si>
    <t>01-09-8333-0 Maintenance-Vehicles &amp; Equipment</t>
  </si>
  <si>
    <t>Debt Service</t>
  </si>
  <si>
    <t>Data cards, assessment update notices, and various forms</t>
  </si>
  <si>
    <t>Workstations</t>
  </si>
  <si>
    <t>Copier and computer equipment</t>
  </si>
  <si>
    <t>01-13-8352-0 Education &amp; Training</t>
  </si>
  <si>
    <t>Mechanic I</t>
  </si>
  <si>
    <t>Weekend shift differential</t>
  </si>
  <si>
    <t>31-10-8128-0 Retirement</t>
  </si>
  <si>
    <t>01-06-8102-0 Wages - Clerical</t>
  </si>
  <si>
    <t>01-06-8103-0 Wages - Supervisory</t>
  </si>
  <si>
    <t>01-06-8104-0 Wages - Other Full-Time</t>
  </si>
  <si>
    <t>01-06-8107-0 Wages - Part-Time</t>
  </si>
  <si>
    <t>01-06-8125-0 Social Security</t>
  </si>
  <si>
    <t>01-06-8128-0 Retirement</t>
  </si>
  <si>
    <t>01-06-8131-0 Health Insurance</t>
  </si>
  <si>
    <t>01-06-8132-0 Dental Insurance</t>
  </si>
  <si>
    <t>01-06-8133-0 Life Insurance</t>
  </si>
  <si>
    <t>01-06-8134-0 Disability Insurance</t>
  </si>
  <si>
    <t>01-06-8135-0 Workers Compensation</t>
  </si>
  <si>
    <t>01-06-8136-0 Unemployment Compensation</t>
  </si>
  <si>
    <t>01-06-8201-0 Office Supplies</t>
  </si>
  <si>
    <t>01-06-8220-0 Printing</t>
  </si>
  <si>
    <t>01-06-8250-0 Vehicle Fuel</t>
  </si>
  <si>
    <t>01-06-8260-0 Telephone</t>
  </si>
  <si>
    <t>01-06-8270-0 Dues &amp; Fees</t>
  </si>
  <si>
    <t>01-06-8280-0 General Insurance</t>
  </si>
  <si>
    <t>01-06-8300-0 Travel &amp; Meetings</t>
  </si>
  <si>
    <t>01-06-8332-0 Maintenance-Vehicles</t>
  </si>
  <si>
    <t>01-06-8352-0 Education &amp; Training</t>
  </si>
  <si>
    <t>01-06-8359-0 Other Outside Services</t>
  </si>
  <si>
    <t>8103 - Parks &amp; Recreation Director</t>
  </si>
  <si>
    <t>31-10-8204-0 Uniforms</t>
  </si>
  <si>
    <t>Asst Dir and Inspector - clothing allowance</t>
  </si>
  <si>
    <t>01-01-8460-0 Other Operating Expenses</t>
  </si>
  <si>
    <t>Public relations</t>
  </si>
  <si>
    <t>01-02-8420-0 Advertising</t>
  </si>
  <si>
    <t>01-02-8504-0 Office Equipment</t>
  </si>
  <si>
    <t>01-03-8102-0 Wages - Clerical</t>
  </si>
  <si>
    <t>01-03-8508-0 Operating Equipment</t>
  </si>
  <si>
    <t>Boot Allowance - Teamsters</t>
  </si>
  <si>
    <t>Boot Allowance - AFSCME</t>
  </si>
  <si>
    <t>Highway Foreman</t>
  </si>
  <si>
    <t>Annual meeting</t>
  </si>
  <si>
    <t>Special cleaning</t>
  </si>
  <si>
    <t>Elevator inspection</t>
  </si>
  <si>
    <t>Softball</t>
  </si>
  <si>
    <t>01-15-8244-0 Water</t>
  </si>
  <si>
    <t>01-15-8245-0 Sewer</t>
  </si>
  <si>
    <t>State certification requirements</t>
  </si>
  <si>
    <t>01-13-8270-0 Dues &amp; Fees</t>
  </si>
  <si>
    <t>31-10-8316-0 Bulking Agent</t>
  </si>
  <si>
    <t>31-10-8321-0 Maintenance-Buildings</t>
  </si>
  <si>
    <t>College course tuition reimbursement - AFSCME 93</t>
  </si>
  <si>
    <t>01-09-8201-0 Office Supplies</t>
  </si>
  <si>
    <t>01-09-8202-0 Maintenance Supplies</t>
  </si>
  <si>
    <t>01-09-8203-0 Operating Supplies</t>
  </si>
  <si>
    <t>Building Improvements</t>
  </si>
  <si>
    <t>NH GFOA</t>
  </si>
  <si>
    <t>bulk mailing fee</t>
  </si>
  <si>
    <t>Fire prevention literature and visual aids</t>
  </si>
  <si>
    <t>01-15-8300-0 Travel &amp; Meetings</t>
  </si>
  <si>
    <t xml:space="preserve">  Architectural/landscaping needs re: historic areas</t>
  </si>
  <si>
    <t>Landfill Maint.-weed control</t>
  </si>
  <si>
    <t>NHPA dues, APA/AICP Dues</t>
  </si>
  <si>
    <t>Other memberships (NHAAO statutory requirement RSA 31:8)</t>
  </si>
  <si>
    <t>Software support / web hosting</t>
  </si>
  <si>
    <t xml:space="preserve">01-02-8510-0 Capital Reserve Fund </t>
  </si>
  <si>
    <t>Aggregates, flake calcium, guardrail, bridge materials</t>
  </si>
  <si>
    <t>01-08-8371-0 Maintenance - Grounds (MYA)</t>
  </si>
  <si>
    <t>Minor bridge, fencing, and guardrail repairs,</t>
  </si>
  <si>
    <t>treatment of concrete abutments, linseed treatments</t>
  </si>
  <si>
    <t>Cellular telephone ( 3 )</t>
  </si>
  <si>
    <t>01-02-8201-0 Office Supplies</t>
  </si>
  <si>
    <t>Field file folders, computer paper, copier toner, and other office supplies</t>
  </si>
  <si>
    <t>Heating sludge loading garage</t>
  </si>
  <si>
    <t>Main plant (meter charge 1.5" and consumption)</t>
  </si>
  <si>
    <t>Chlorination building (meter charge 5/8")</t>
  </si>
  <si>
    <t>Hydrant charge 8"</t>
  </si>
  <si>
    <t>Pumping stations (consumption and backflow testing)</t>
  </si>
  <si>
    <t>Cellular telephones and wireless communications ( 7 )</t>
  </si>
  <si>
    <t>Est. Quantity</t>
  </si>
  <si>
    <t>Pump and motor repairs/replacement and controls</t>
  </si>
  <si>
    <t>Flow measuring equipment maintenance and calibrations</t>
  </si>
  <si>
    <t>Maintenance of ancillary &amp; support equipment to include SCADA</t>
  </si>
  <si>
    <t>Scale software annual support</t>
  </si>
  <si>
    <t xml:space="preserve">emergency call ins and on call </t>
  </si>
  <si>
    <t>Full-time employees - NEBPA 112</t>
  </si>
  <si>
    <t>NEBPA 112</t>
  </si>
  <si>
    <t xml:space="preserve"> No special duty</t>
  </si>
  <si>
    <t xml:space="preserve">1 additional Special Duty assignment </t>
  </si>
  <si>
    <t>2+ Special Duty assignments</t>
  </si>
  <si>
    <t xml:space="preserve"> K9 Officer</t>
  </si>
  <si>
    <t>Fire Marshal</t>
  </si>
  <si>
    <t>Holiday pay - Captains Lieutenants and Fire Marshal</t>
  </si>
  <si>
    <t xml:space="preserve">  Hazardous Materials Technician</t>
  </si>
  <si>
    <t>Stryker stretcher service agreement (EMSAR)</t>
  </si>
  <si>
    <t>01-06-8503-0 Vehicles</t>
  </si>
  <si>
    <t>Building Inspection/Official vehicles</t>
  </si>
  <si>
    <t>32-32-8230-0 Postage</t>
  </si>
  <si>
    <t>32-32-8260-0 Telephone</t>
  </si>
  <si>
    <t>32-32-8270-0 Dues &amp; Fees</t>
  </si>
  <si>
    <t>32-32-8280-0 General Insurance</t>
  </si>
  <si>
    <t>32-32-8300-0 Travel &amp; Meetings</t>
  </si>
  <si>
    <t>32-32-8334-0 Maintenance-Office Equipment</t>
  </si>
  <si>
    <t>32-32-8352-0 Education &amp; Training</t>
  </si>
  <si>
    <t>Longevity bonus - Master Firefighters:</t>
  </si>
  <si>
    <t xml:space="preserve">  Initial</t>
  </si>
  <si>
    <t xml:space="preserve">  5 years</t>
  </si>
  <si>
    <t>Educational incentives:</t>
  </si>
  <si>
    <t xml:space="preserve">  EMT-B</t>
  </si>
  <si>
    <t>New England Conference of Town Clerks</t>
  </si>
  <si>
    <t xml:space="preserve">  Signage and wood stock to repair picnic tables and kiosks</t>
  </si>
  <si>
    <t>Service truck and pool cars - unleaded gasoline</t>
  </si>
  <si>
    <t>01-16-8260-0 Telephone</t>
  </si>
  <si>
    <t>01-01-8101-0 Wages - Elected Officials</t>
  </si>
  <si>
    <t>Treasurer</t>
  </si>
  <si>
    <t>Trustee of Trust Funds</t>
  </si>
  <si>
    <t>Total</t>
  </si>
  <si>
    <t>8102 - Clerical</t>
  </si>
  <si>
    <t>8103 - Supervisory</t>
  </si>
  <si>
    <t>8104 - Other Full Time</t>
  </si>
  <si>
    <t>8107 - Part Time</t>
  </si>
  <si>
    <t>8103 - Director</t>
  </si>
  <si>
    <t>8103 -  Code Enforcement Officer</t>
  </si>
  <si>
    <t>8107 Part-Time</t>
  </si>
  <si>
    <t>Full-Time employees</t>
  </si>
  <si>
    <t>8101 - Elected Officials</t>
  </si>
  <si>
    <t>8103 - Other Salary employees</t>
  </si>
  <si>
    <t>8104 - Other hourly employees</t>
  </si>
  <si>
    <t>Wastewater Superintendent</t>
  </si>
  <si>
    <t>Uniform service - Teamsters/AFSCME</t>
  </si>
  <si>
    <t>01-17-8132-0 Dental Insurance</t>
  </si>
  <si>
    <t>Salt Shed</t>
  </si>
  <si>
    <t>Cellular telephones - 3</t>
  </si>
  <si>
    <t>Trash Removal</t>
  </si>
  <si>
    <t>Association memberships for Town Clerk/Tax Collector</t>
  </si>
  <si>
    <t>College courses and seminars - AFSCME 93</t>
  </si>
  <si>
    <t>NH Revised Statutes and other publications</t>
  </si>
  <si>
    <t>01-04-8420-0 Advertising</t>
  </si>
  <si>
    <t>01-15-8270-0 Dues &amp; Fees</t>
  </si>
  <si>
    <t>ALA including PLA</t>
  </si>
  <si>
    <t>NELA</t>
  </si>
  <si>
    <t>NHLA including READS, CHILIS, and UPLC</t>
  </si>
  <si>
    <t>Computers</t>
  </si>
  <si>
    <t>systems and materials for constructing storm water catch basins</t>
  </si>
  <si>
    <t>and manholes</t>
  </si>
  <si>
    <t>31-27-8609-0 Interest - Long-Term Debt</t>
  </si>
  <si>
    <t>31-27-8610-0 Principal - Long-Term Debt</t>
  </si>
  <si>
    <t>01-17-8134-0 Disability Insurance</t>
  </si>
  <si>
    <t>01-17-8135-0 Workers Compensation</t>
  </si>
  <si>
    <t>Confined Space and other required training</t>
  </si>
  <si>
    <t>01-03-8244-0 Water</t>
  </si>
  <si>
    <t>01-03-8245-0 Sewer</t>
  </si>
  <si>
    <t>01-03-8250-0 Vehicle Fuel</t>
  </si>
  <si>
    <t>Diesel fuel</t>
  </si>
  <si>
    <t>Unleaded gasoline</t>
  </si>
  <si>
    <t>01-21-8334-0 Maintenance-Office Equipment</t>
  </si>
  <si>
    <t>Paint and painting supplies</t>
  </si>
  <si>
    <t>Heating system filters</t>
  </si>
  <si>
    <t>Miscellaneous materials</t>
  </si>
  <si>
    <t>31-10-8322-0 Maintenance-Grounds</t>
  </si>
  <si>
    <t>Power equipment repair</t>
  </si>
  <si>
    <t>Fully offset by revenues</t>
  </si>
  <si>
    <t xml:space="preserve">Town Hall </t>
  </si>
  <si>
    <t>01-13-8334-0 Maintenance-Office Equipment</t>
  </si>
  <si>
    <t xml:space="preserve">  Miscellaneous</t>
  </si>
  <si>
    <t xml:space="preserve">  Total expenditures</t>
  </si>
  <si>
    <t>01-15-8125-0 Social Security</t>
  </si>
  <si>
    <t>01-15-8128-0 Retirement</t>
  </si>
  <si>
    <t>State of NH weighmaster licenses</t>
  </si>
  <si>
    <t>01-08-8335-0 Maintenance-Communications Equip</t>
  </si>
  <si>
    <t>01-08-8341-0 Sand &amp; Salt</t>
  </si>
  <si>
    <t>01-25-8490-0 Prescriptions</t>
  </si>
  <si>
    <t>Abbie Griffin Park</t>
  </si>
  <si>
    <t>Wasserman Park</t>
  </si>
  <si>
    <t>MYA Building, Bise Field, Kids Kove</t>
  </si>
  <si>
    <t>01-03-8300-0 Travel &amp; Meetings</t>
  </si>
  <si>
    <t>01-03-8321-0 Maintenance-Buildings &amp; Grounds</t>
  </si>
  <si>
    <t xml:space="preserve">  25 years</t>
  </si>
  <si>
    <t>Publications</t>
  </si>
  <si>
    <t>Addition to (use of) MYA surplus</t>
  </si>
  <si>
    <t>Town grant</t>
  </si>
  <si>
    <t>01-02-8133-0 Life Insurance</t>
  </si>
  <si>
    <t>01-02-8134-0 Disability Insurance</t>
  </si>
  <si>
    <t>01-02-8135-0 Workers Compensation</t>
  </si>
  <si>
    <t>Heating and air conditioning systems</t>
  </si>
  <si>
    <t>Fire extinguisher</t>
  </si>
  <si>
    <t>Telephone line for digitizer and fire alarm</t>
  </si>
  <si>
    <t>01-24-8280-0 General Insurance</t>
  </si>
  <si>
    <t>Liability insurance and bonds</t>
  </si>
  <si>
    <t>Dues - NFDOA</t>
  </si>
  <si>
    <t>01-08-8344-0 Hot Top</t>
  </si>
  <si>
    <t>Material for permanent pavement patches, driveway</t>
  </si>
  <si>
    <t>01-08-8910-0 Capital Reserve Fund Purchases</t>
  </si>
  <si>
    <t>01-03-8910-0 Capital Reserve Fund Purchases</t>
  </si>
  <si>
    <t>31-10-8910-0 Capital Reserve Fund Purchases</t>
  </si>
  <si>
    <t>Cellular telephones (2)</t>
  </si>
  <si>
    <t xml:space="preserve">Sand, salt, liquid calcium chloride for winter </t>
  </si>
  <si>
    <t>Firefighter Certifications and Training:</t>
  </si>
  <si>
    <t>01-16-8105-0 Overtime-Supervisory</t>
  </si>
  <si>
    <t>01-16-8111-0 Overtime - Other</t>
  </si>
  <si>
    <t>Mechanics</t>
  </si>
  <si>
    <t>01-16-8125-0 Social Security</t>
  </si>
  <si>
    <t>01-16-8128-0 Retirement</t>
  </si>
  <si>
    <t>GRAND TOTAL</t>
  </si>
  <si>
    <t>Rental of power tools and construction equipment</t>
  </si>
  <si>
    <t>01-08-8220-0 Printing</t>
  </si>
  <si>
    <t>01-08-8241-0 Electricity</t>
  </si>
  <si>
    <t>Professional services</t>
  </si>
  <si>
    <t>429-2148 Elevator</t>
  </si>
  <si>
    <t>Bridges - rape and assault support services and shelters</t>
  </si>
  <si>
    <t>Admin fee to General Govt</t>
  </si>
  <si>
    <t>32-32-8271-0 Subscriptions</t>
  </si>
  <si>
    <t>32-32-8460-0 Miscellaneous</t>
  </si>
  <si>
    <t>32-32-8111-0 Overtime - Other</t>
  </si>
  <si>
    <t>other</t>
  </si>
  <si>
    <t xml:space="preserve">  Library Assistant II - Reference</t>
  </si>
  <si>
    <t>01-21-8388-0 Economic Development</t>
  </si>
  <si>
    <t>01-08-8103-0 Wages - Supervisory</t>
  </si>
  <si>
    <t>Adult programs</t>
  </si>
  <si>
    <t>01-15-8420-0 Advertising</t>
  </si>
  <si>
    <t>Total - partially offset by revenues</t>
  </si>
  <si>
    <t>Copiers, fax, computers, and other office equipment</t>
  </si>
  <si>
    <t>01-05-8136-0 Unemployment Compensation</t>
  </si>
  <si>
    <t>01-05-8201-0 Office Supplies</t>
  </si>
  <si>
    <t>Society of Soil Scientists of NE dues</t>
  </si>
  <si>
    <t>01-08-8334-0 Maintenance-Office Equipment</t>
  </si>
  <si>
    <t>NH Public Works Mutual Aid Program</t>
  </si>
  <si>
    <t>Rental of equipment</t>
  </si>
  <si>
    <t>General Fund</t>
  </si>
  <si>
    <t>Trustee Funds</t>
  </si>
  <si>
    <t>01-27-8606-0 Interest - Long-Term Debt</t>
  </si>
  <si>
    <t>01-27-8608-0 Principal - Long-Term Debt</t>
  </si>
  <si>
    <t>01-15-8510-0 Capital Reserve Fund</t>
  </si>
  <si>
    <t>Diesel fuel - screening plant</t>
  </si>
  <si>
    <t>Custodian</t>
  </si>
  <si>
    <t>Equipment Operator III</t>
  </si>
  <si>
    <t>Equipment Operator II</t>
  </si>
  <si>
    <t>Equipment Operator I</t>
  </si>
  <si>
    <t>Electricity</t>
  </si>
  <si>
    <t>Seminars, workshops, and conferences</t>
  </si>
  <si>
    <t>01-13-8359-0 Other Outside Services</t>
  </si>
  <si>
    <t>Detective Lieutenant</t>
  </si>
  <si>
    <t>Patrol Lieutenant</t>
  </si>
  <si>
    <t xml:space="preserve">  Master degree</t>
  </si>
  <si>
    <t xml:space="preserve">  Command training institute</t>
  </si>
  <si>
    <t>Contractual tree work</t>
  </si>
  <si>
    <t>Emergency septic system repair - fully offset by revenues</t>
  </si>
  <si>
    <t>31-10-8104-0 Wages - Other Full-Time</t>
  </si>
  <si>
    <t>01-13-8203-0 Operating Supplies</t>
  </si>
  <si>
    <t>01-21-8102-0 Wages - Clerical</t>
  </si>
  <si>
    <t>National Fire Protection Association</t>
  </si>
  <si>
    <t>Souhegan Valley Mutual Aid Association</t>
  </si>
  <si>
    <t>Regional HazMat Response Team (Level A Protection)</t>
  </si>
  <si>
    <t>01-09-8355-0 Solid Waste Disposal</t>
  </si>
  <si>
    <t xml:space="preserve">8104/8111 </t>
  </si>
  <si>
    <t>01-13-8280-0 General Insurance</t>
  </si>
  <si>
    <t>Nozzles, Adapters, Base Plates, "O" Rings, Ball Valves</t>
  </si>
  <si>
    <t>On-Call Firefighter/EMT</t>
  </si>
  <si>
    <t>01-15-8241-0 Electricity</t>
  </si>
  <si>
    <t>Library building</t>
  </si>
  <si>
    <t>Batteries for portable radios</t>
  </si>
  <si>
    <t>01-05-8204-0 Uniforms</t>
  </si>
  <si>
    <t>Home Health &amp; Hospice - home health visits and clinics</t>
  </si>
  <si>
    <t xml:space="preserve">Highway - sign and fencing repairs, parking lot </t>
  </si>
  <si>
    <t>01-08-8362-0 Traffic Signals</t>
  </si>
  <si>
    <t>Maintenance (on call)</t>
  </si>
  <si>
    <t>Big Brothers/Big Sisters - mentoring youth and education</t>
  </si>
  <si>
    <t>Chemical Absorbent Material Bags (Clay)</t>
  </si>
  <si>
    <t>Backflow testing</t>
  </si>
  <si>
    <t>01-01-8270-0 Dues &amp; Fees</t>
  </si>
  <si>
    <t>NHMA</t>
  </si>
  <si>
    <t>Employee cost sharing Union 10%</t>
  </si>
  <si>
    <t xml:space="preserve">  Town Manager adjustment</t>
  </si>
  <si>
    <t>Advertising</t>
  </si>
  <si>
    <t xml:space="preserve">8103 </t>
  </si>
  <si>
    <t>8111 - Overtime</t>
  </si>
  <si>
    <t>GASB 45 actuarial services</t>
  </si>
  <si>
    <t>Police officers - NEPBA:</t>
  </si>
  <si>
    <t>K-9 Expenses</t>
  </si>
  <si>
    <t>Volunteers</t>
  </si>
  <si>
    <t>31-27-8606-0 Interest - Long-Term Debt</t>
  </si>
  <si>
    <t>31-27-8608-0 Principal - Long-Term Debt</t>
  </si>
  <si>
    <t>School Crossing Guards</t>
  </si>
  <si>
    <t>01-04-8111-0 Overtime - Other</t>
  </si>
  <si>
    <t>01-04-8125-0 Social Security</t>
  </si>
  <si>
    <t>8106</t>
  </si>
  <si>
    <t>01-04-8128-0 Retirement</t>
  </si>
  <si>
    <t>Term life insurance</t>
  </si>
  <si>
    <t>Part-time:</t>
  </si>
  <si>
    <t>Union</t>
  </si>
  <si>
    <t>01-02-8128-0 Retirement</t>
  </si>
  <si>
    <t>01-03-8359-0 Other Outside Services</t>
  </si>
  <si>
    <t>01-08-8128-0 Retirement</t>
  </si>
  <si>
    <t>01-08-8131-0 Health Insurance</t>
  </si>
  <si>
    <t>01-08-8132-0 Dental Insurance</t>
  </si>
  <si>
    <t>Computer equipment (2 printers/ 2 desk tops)</t>
  </si>
  <si>
    <t>32-32-8134-0 Disability Insurance</t>
  </si>
  <si>
    <t>NE and NH Chiefs Association, IAFC</t>
  </si>
  <si>
    <t>01-05-8510-0 Capital Reserve Fund</t>
  </si>
  <si>
    <t>31-10-8105-0 Overtime-Supervisory</t>
  </si>
  <si>
    <t>Copier paper and toner, computer paper and supplies, notebooks, fax</t>
  </si>
  <si>
    <t>01-03-8202-0 Maintenance Supplies</t>
  </si>
  <si>
    <t>01-13-8510-0 Capital Reserve Fund</t>
  </si>
  <si>
    <t>01-01-8510-0 Transfer To Other Funds</t>
  </si>
  <si>
    <t>31-10-8260-0 Telephone</t>
  </si>
  <si>
    <t>and DRA seminars</t>
  </si>
  <si>
    <t>01-08-8280-0 General Insurance</t>
  </si>
  <si>
    <t>01-08-8300-0 Travel &amp; Meetings</t>
  </si>
  <si>
    <t>Treasurer - conferences and seminars</t>
  </si>
  <si>
    <t>Hillsborough Registry transfers on-line &amp; recordings</t>
  </si>
  <si>
    <t>Temp - Part-time</t>
  </si>
  <si>
    <t>8107 Other</t>
  </si>
  <si>
    <t>Hardware, safety equipment, oxygen/acetylene, parts clnr., welding supplies</t>
  </si>
  <si>
    <t xml:space="preserve">other equipment </t>
  </si>
  <si>
    <t xml:space="preserve">01-25-8892-0 Heating/ Electric Assistance Fund </t>
  </si>
  <si>
    <t>Alarm System Monitor</t>
  </si>
  <si>
    <t>Ballistic Vests</t>
  </si>
  <si>
    <t>Small engine oil/gas mix, spark plugs, Chain Saw blades</t>
  </si>
  <si>
    <t>Metal &amp; wood cutting blades K12 &amp;  Saws-All, Tarps, Nails</t>
  </si>
  <si>
    <t>wood sheeting, Plastic Rolls, Hack Saws, Vacuum Filters</t>
  </si>
  <si>
    <t>Toxic Gas Monitoring Equipment Sensor Replacements</t>
  </si>
  <si>
    <t xml:space="preserve">General    </t>
  </si>
  <si>
    <t>State of NH operator licenses</t>
  </si>
  <si>
    <t>31-10-8136-0 Unemployment Compensation</t>
  </si>
  <si>
    <t>31-10-8201-0 Office Supplies</t>
  </si>
  <si>
    <t>Copier paper and toner, computer paper and supplies, file folders,</t>
  </si>
  <si>
    <t>01-24-8128-0 Retirement</t>
  </si>
  <si>
    <t>01-24-8131-0 Health Insurance</t>
  </si>
  <si>
    <t>01-24-8132-0 Dental Insurance</t>
  </si>
  <si>
    <t>Prosecutor</t>
  </si>
  <si>
    <t>8103 Prosecutor</t>
  </si>
  <si>
    <t>01-08-8322-0 Maintenance-Grounds</t>
  </si>
  <si>
    <t>01-24-8352-0 Education &amp; Training</t>
  </si>
  <si>
    <t>01-24-8359-0 Other Outside Services</t>
  </si>
  <si>
    <t>01-05-8352-0 Education &amp; Training</t>
  </si>
  <si>
    <t>Assistant Assessor</t>
  </si>
  <si>
    <t>Town Manager Adjustment</t>
  </si>
  <si>
    <t>Clerk - document scanning</t>
  </si>
  <si>
    <t>01-15-8133-0 Life Insurance</t>
  </si>
  <si>
    <t>Department heads</t>
  </si>
  <si>
    <t>Teamsters - boot allowance</t>
  </si>
  <si>
    <t>Teamsters - uniform service</t>
  </si>
  <si>
    <t>AFSCME - boot allowance</t>
  </si>
  <si>
    <t>8107- Per Diem</t>
  </si>
  <si>
    <t>01-02-8332-0 Maintenance - Vehicles</t>
  </si>
  <si>
    <t>01-16-8134-0 Disability Insurance</t>
  </si>
  <si>
    <t>01-16-8135-0 Workers Compensation</t>
  </si>
  <si>
    <t>01-13-8332-0 Maintenance-Vehicles</t>
  </si>
  <si>
    <t>8103</t>
  </si>
  <si>
    <t>Drinking water service</t>
  </si>
  <si>
    <t>CDL drug testing</t>
  </si>
  <si>
    <t>Septic tank pumping</t>
  </si>
  <si>
    <t>Property and liability insurance</t>
  </si>
  <si>
    <t>Legal notices and bid advertisements</t>
  </si>
  <si>
    <t>01-01-8135-0 Workers Compensation</t>
  </si>
  <si>
    <t>01-08-8351-0 Consultants</t>
  </si>
  <si>
    <t>01-08-8352-0 Education &amp; Training</t>
  </si>
  <si>
    <t>01-08-8354-0 Traffic Control Devices</t>
  </si>
  <si>
    <t>01-01-8501-0 Land</t>
  </si>
  <si>
    <t>01-13-8103-0 Wages - Supervisory</t>
  </si>
  <si>
    <t>01-01-8220-0 Printing</t>
  </si>
  <si>
    <t>Town Report</t>
  </si>
  <si>
    <t>01-17-8331-0 Maintenance-Machinery</t>
  </si>
  <si>
    <t>Computer paper and supplies</t>
  </si>
  <si>
    <t>Other office supplies</t>
  </si>
  <si>
    <t>01-04-8203-0 Operating Supplies</t>
  </si>
  <si>
    <t>Photography supplies</t>
  </si>
  <si>
    <t>01-25-8280-0 General Insurance</t>
  </si>
  <si>
    <t>01-25-8300-0 Travel &amp; Meetings</t>
  </si>
  <si>
    <t>Teaching and promotional materials</t>
  </si>
  <si>
    <t>01-02-8230-0 Postage</t>
  </si>
  <si>
    <t>01-04-8241-0 Electricity</t>
  </si>
  <si>
    <t>01-04-8244-0 Water</t>
  </si>
  <si>
    <t>01-04-8245-0 Sewer</t>
  </si>
  <si>
    <t>32-32-8128-0 Retirement</t>
  </si>
  <si>
    <t>32-32-8131-0 Health Insurance</t>
  </si>
  <si>
    <t>32-32-8132-0 Dental Insurance</t>
  </si>
  <si>
    <t>32-32-8133-0 Life Insurance</t>
  </si>
  <si>
    <t>NH Firemen's Association Membership</t>
  </si>
  <si>
    <t>01-24-8136-0 Unemployment Compensation</t>
  </si>
  <si>
    <t>8101 - exempt</t>
  </si>
  <si>
    <t>Portable radio batteries, radio parts, and contractual services</t>
  </si>
  <si>
    <t>01-08-8244-0 Water</t>
  </si>
  <si>
    <t>01-08-8250-0 Vehicle Fuel</t>
  </si>
  <si>
    <t>01-08-8260-0 Telephone</t>
  </si>
  <si>
    <t>01-03-8111-0 Overtime - Other</t>
  </si>
  <si>
    <t>Technical and professional meetings</t>
  </si>
  <si>
    <t>01-07-8334-0 Maintenance-Office Equipment</t>
  </si>
  <si>
    <t>8107 - Other</t>
  </si>
  <si>
    <t>01-03-8201-0 Office Supplies</t>
  </si>
  <si>
    <t>Firearms instructors</t>
  </si>
  <si>
    <t>01-02-8131-0 Health Insurance</t>
  </si>
  <si>
    <t>Recertification Training Paramedic (PALS), (ACLS)</t>
  </si>
  <si>
    <t>Medical supplies not replaced by Hospital</t>
  </si>
  <si>
    <t>Medical Supplies, Oxygen Cylinders</t>
  </si>
  <si>
    <t>Fire extinguisher Dry Chemical refills, maintenance and replacement</t>
  </si>
  <si>
    <t>Fire extinguisher APE/Foam maintenance and replacement</t>
  </si>
  <si>
    <t>Emergency Medical Certifications and Training:</t>
  </si>
  <si>
    <t>Personal services 8102 - 8136</t>
  </si>
  <si>
    <t>Other operating expenses 8201 - 8459</t>
  </si>
  <si>
    <t>Capital outlay 8502 - 8910</t>
  </si>
  <si>
    <t>01-01-8910-0 Capital Reserve Fund Purchases</t>
  </si>
  <si>
    <t>01-05-8910-0 Capital Reserve Fund Purchases</t>
  </si>
  <si>
    <t>01-09-8352-0 Education &amp; Training</t>
  </si>
  <si>
    <t>01-09-8359-0 Other Outside Services</t>
  </si>
  <si>
    <t>01-09-8388-0 Special Waste Disposal</t>
  </si>
  <si>
    <t>01-17-8136-0 Unemployment Compensation</t>
  </si>
  <si>
    <t>01-07-8260-0 Telephone</t>
  </si>
  <si>
    <t>FLSA overtime adjustment</t>
  </si>
  <si>
    <t>Continuing education</t>
  </si>
  <si>
    <t xml:space="preserve">Temp - Part-time Tax </t>
  </si>
  <si>
    <t xml:space="preserve">  Firefighter II</t>
  </si>
  <si>
    <t xml:space="preserve"> Cell Phone Fire Chief/Emergency Management</t>
  </si>
  <si>
    <t xml:space="preserve"> Cell Phone Assistant Fire Chief</t>
  </si>
  <si>
    <t>01-02-8103-0 Wages - Field Personnel</t>
  </si>
  <si>
    <t>Assessing Coordinator</t>
  </si>
  <si>
    <t>DRA intensive training courses</t>
  </si>
  <si>
    <t>01-08-8230-0 Postage</t>
  </si>
  <si>
    <t>Firehouse/Preplan/EMS Mobil software service agreement</t>
  </si>
  <si>
    <t>Outside technical support on computer systems</t>
  </si>
  <si>
    <t>COMCAST modem</t>
  </si>
  <si>
    <t>College Course Tuition Reimbursement:</t>
  </si>
  <si>
    <t>Deputy Finance Director</t>
  </si>
  <si>
    <t>Town Council- Minutes</t>
  </si>
  <si>
    <t>Heron Cove</t>
  </si>
  <si>
    <t>Freight charges , Certified Mail, and Mail</t>
  </si>
  <si>
    <t>8107 &gt;$14,000</t>
  </si>
  <si>
    <t>Information Network</t>
  </si>
  <si>
    <t xml:space="preserve">Software, upgrades, etc.  </t>
  </si>
  <si>
    <t>GMILCS consortium + CBC + automation</t>
  </si>
  <si>
    <t>Librarica (CASSIE)</t>
  </si>
  <si>
    <t xml:space="preserve">Total </t>
  </si>
  <si>
    <t>Deputy Public Works Director/Town Engineer</t>
  </si>
  <si>
    <t>01-07-8203-0perating Supplies</t>
  </si>
  <si>
    <t>safety supplies</t>
  </si>
  <si>
    <t>Summer Help (4 maintainers x 12 weeks)</t>
  </si>
  <si>
    <t>Fleet AVL/GPS</t>
  </si>
  <si>
    <t>MUTCD-required guide and/regulatory sign replacement</t>
  </si>
  <si>
    <t>Asphalt pile recyling</t>
  </si>
  <si>
    <t>Utility tractor / roadside mower</t>
  </si>
  <si>
    <t>Extended hours and snow removal</t>
  </si>
  <si>
    <t>Trash hauling, snow removal, extended schedule and</t>
  </si>
  <si>
    <t xml:space="preserve">Copier paper and toner, computer paper and supplies, </t>
  </si>
  <si>
    <t>baling supplies</t>
  </si>
  <si>
    <t>CMA Engineers</t>
  </si>
  <si>
    <t>Sampling and laboratory analysis water quality</t>
  </si>
  <si>
    <t>Sampling and laboratory analysis landfill soil gas</t>
  </si>
  <si>
    <t>01-16-8334-0 Maintenance-Office Equipment</t>
  </si>
  <si>
    <t>Custodian P.D.</t>
  </si>
  <si>
    <t>Fertilizer</t>
  </si>
  <si>
    <t>Sewer Inspector</t>
  </si>
  <si>
    <t>and holidays and on call</t>
  </si>
  <si>
    <t>Compost facility (meter charge 1")</t>
  </si>
  <si>
    <t>Sodium hydroxide</t>
  </si>
  <si>
    <t>-</t>
  </si>
  <si>
    <t>Fire Investigation/Events Inspection/Code Enforcement/JFS 100</t>
  </si>
  <si>
    <t>On-Call EMS (volunteer Group)</t>
  </si>
  <si>
    <t>On Call / Per-Diem EMS Attendant Protective Clothing</t>
  </si>
  <si>
    <t xml:space="preserve">  Emergency Medical Technician-Basic &amp; Intermediates Recertification's for</t>
  </si>
  <si>
    <t>National: FDIC, FDSOA, IAFC EPA Region, National Homeland Security</t>
  </si>
  <si>
    <t>Dumpster Contract Station 1 (235)</t>
  </si>
  <si>
    <t>Pump Testing Eng 1, 2, 3, 4 and Ladder 1</t>
  </si>
  <si>
    <t>NH Emergency Medical Services State Electronic Reporting Fees (HIPPA)</t>
  </si>
  <si>
    <t>Maintenance of Emergency Breathing Air System Rescue 1</t>
  </si>
  <si>
    <t>Annual EMS Certifications and Training (National Registry Requirements)</t>
  </si>
  <si>
    <t>AHA CPR/AHA EMS Training (National Registry Requirements)</t>
  </si>
  <si>
    <t>AHA ACLS/PALS EMS Training (National Registry Requirements)</t>
  </si>
  <si>
    <t>Paramedic Refresher Training (National Registry Requirements)</t>
  </si>
  <si>
    <t xml:space="preserve">  EMT/ Intermediate Class (Volunteers)</t>
  </si>
  <si>
    <t>NH Fire Academy Continuing Education Programs (FF III, ICS, Command etc.)</t>
  </si>
  <si>
    <t>Outside Conference Seminars for education &amp; Officer Development FDIC</t>
  </si>
  <si>
    <t>New England Association of Fire Chief's Conference</t>
  </si>
  <si>
    <t>Career Personnel Physical Federal Mandate Repertory Protection / Haz Mat)</t>
  </si>
  <si>
    <t>Entry Exam</t>
  </si>
  <si>
    <t xml:space="preserve">Call department </t>
  </si>
  <si>
    <t>IT System Computer / printer / monitor / upgrades</t>
  </si>
  <si>
    <t>Radio Speakers for Stations (Upgrade)</t>
  </si>
  <si>
    <t>E - Notification System Monitors (Pagers)</t>
  </si>
  <si>
    <t>Inspection and occupancy forms Building</t>
  </si>
  <si>
    <t>Inspection and occupancy forms Health</t>
  </si>
  <si>
    <t>ICC dues (International Code Council)</t>
  </si>
  <si>
    <t>New Hampshire Building Officials Association dues</t>
  </si>
  <si>
    <t>New England Health Association dues</t>
  </si>
  <si>
    <t>Health Serve Safe Certification (Food Safety)</t>
  </si>
  <si>
    <t>NH State Master Electrical License</t>
  </si>
  <si>
    <t>North American Lakes Management Society dues</t>
  </si>
  <si>
    <t>Building Continuing Education</t>
  </si>
  <si>
    <t>Welfare officials workshop ($40) &amp; meeting seminars(4 x $15)</t>
  </si>
  <si>
    <t>Healthy at Home - home health visits and clinics</t>
  </si>
  <si>
    <t>Master Plan Implementation (Zoning/Regs/Studies)</t>
  </si>
  <si>
    <t xml:space="preserve">  Education, Seminars, Presentations, and Training</t>
  </si>
  <si>
    <t xml:space="preserve">  Website Hosting Servicess</t>
  </si>
  <si>
    <t>DMV Training</t>
  </si>
  <si>
    <t xml:space="preserve">  Master's  or law degree</t>
  </si>
  <si>
    <t>ACIM (A Child Is Missing Alert)</t>
  </si>
  <si>
    <t>General Building Renovations</t>
  </si>
  <si>
    <t>01-16-8352-0 Education &amp; Training</t>
  </si>
  <si>
    <t xml:space="preserve"> Microsoft licenses</t>
  </si>
  <si>
    <t>Communications Recorder</t>
  </si>
  <si>
    <t>Milfoil</t>
  </si>
  <si>
    <t xml:space="preserve">Survey supplies, stakes, nails, marking paint and </t>
  </si>
  <si>
    <t>01-15-8910-0 Capital Reserve Fund Purchases</t>
  </si>
  <si>
    <t>Virtual Town Hall</t>
  </si>
  <si>
    <t>Heat (Gas)</t>
  </si>
  <si>
    <t>Open and Close</t>
  </si>
  <si>
    <t>Post Office (PO) Box</t>
  </si>
  <si>
    <t>Telephone &amp; Internet</t>
  </si>
  <si>
    <t xml:space="preserve">water and sewer </t>
  </si>
  <si>
    <t>OEP planning and zoning workshops</t>
  </si>
  <si>
    <t>Seminars and courses</t>
  </si>
  <si>
    <t xml:space="preserve"> Annual Conference and seminars</t>
  </si>
  <si>
    <t>Technology Coordinator/Computer tech - seminars and conferences</t>
  </si>
  <si>
    <t>Deputy Finance Director - conferences and seminars</t>
  </si>
  <si>
    <t>NHAAO and DRA meetings, NHAAO and conferences,</t>
  </si>
  <si>
    <t>Roof replacement</t>
  </si>
  <si>
    <t>01-21-8510-0 Transfer To Other Funds</t>
  </si>
  <si>
    <t>Repair of radio base station, portable radios, and mobile radios, radio system upgrades</t>
  </si>
  <si>
    <t>Mailings of overdue notices, interlibrary loan books, and general correspondence</t>
  </si>
  <si>
    <t>Seminars, conferences, and meeting registrations</t>
  </si>
  <si>
    <t>Seminars, conferences, and meetings travel and related expenses</t>
  </si>
  <si>
    <t>Copier paper and toner, computer paper and supplies, and miscellaneous supplies</t>
  </si>
  <si>
    <t>2015-16</t>
  </si>
  <si>
    <t xml:space="preserve">  EMT-A</t>
  </si>
  <si>
    <t>Master Fire Fighter</t>
  </si>
  <si>
    <t>Fire Fighter - Paramedic</t>
  </si>
  <si>
    <t>Firefighter</t>
  </si>
  <si>
    <t>Bishop field</t>
  </si>
  <si>
    <t>Fraser Square</t>
  </si>
  <si>
    <t>Turkey Hill &amp; Bishop Fields &amp; Martel</t>
  </si>
  <si>
    <t xml:space="preserve">  Town Paid internet</t>
  </si>
  <si>
    <t xml:space="preserve">   Total reimbursed to historical society</t>
  </si>
  <si>
    <t>Checks</t>
  </si>
  <si>
    <t>Economic development activities (including Website Development)</t>
  </si>
  <si>
    <t>Office Supplies</t>
  </si>
  <si>
    <t>Inspection Health Test Equipment</t>
  </si>
  <si>
    <t>Inspection Building Test Equipment</t>
  </si>
  <si>
    <t>ICC License, IRC &amp; IBC Certifications Annual</t>
  </si>
  <si>
    <t>Seminars / Meetings / Other than Certifications</t>
  </si>
  <si>
    <t>01-06-8321-0 Maintenance-Buildings &amp; Grounds</t>
  </si>
  <si>
    <t>Rust/Body Repair old Police Crusers</t>
  </si>
  <si>
    <t>Annual ICC Plan Review Course Update Certification</t>
  </si>
  <si>
    <t>Master Electrical NFPA Annual Code Update Course</t>
  </si>
  <si>
    <t>Building/Health Annual Continuing Ed (NH Associations)</t>
  </si>
  <si>
    <t>International Code Council (ICC) Code Ref Material</t>
  </si>
  <si>
    <t>Update for state of NH Compliance Cote Books</t>
  </si>
  <si>
    <t>IT System upgrades</t>
  </si>
  <si>
    <t>Assistant Chief  Support Services</t>
  </si>
  <si>
    <t>EMT Part Time Ambulance Coverage Weekday First Shift (Station 1)</t>
  </si>
  <si>
    <t>EMT Part Time Ambulance Coverage Weekday Second Shift (Station 1)</t>
  </si>
  <si>
    <t>EMT Part Time Ambulance Coverage Weekend First Shift (Station 1)</t>
  </si>
  <si>
    <t>EMT Part Time Ambulance Coverage Weekend Second Shift (Station 1)</t>
  </si>
  <si>
    <t>EMT Part Time Ambulance Coverage Weekday First Shift (Station 2)</t>
  </si>
  <si>
    <t>EMT Per-Diem Ambulance Training Program (6 x 32 hrs.)</t>
  </si>
  <si>
    <t>Fire inspector 3 x 8 hr. shifts x 52 wk = 1,248 hr.  First Shift</t>
  </si>
  <si>
    <t>Fire/EMS Training Grounds, Testing &amp; Training (6 FF x 4 Shifts) 96 hours</t>
  </si>
  <si>
    <t>Paramedic In-house Educational Shift Class Coverage</t>
  </si>
  <si>
    <t>Emergency Call Back</t>
  </si>
  <si>
    <t>Holidays - 10 holidays X 24 hr. X 2 personnel</t>
  </si>
  <si>
    <t>CPR AED Supplies</t>
  </si>
  <si>
    <t>Ambulance Decontamination Supplies (Bio-Hazard Solutions etc.)</t>
  </si>
  <si>
    <t>Cost Ea.</t>
  </si>
  <si>
    <t>Call Firefighter Protective Clothing</t>
  </si>
  <si>
    <t>Career Firefighter Protective Clothing</t>
  </si>
  <si>
    <t>Stationery, training aids, time cards, business cards, Inspection forms, etc.</t>
  </si>
  <si>
    <t xml:space="preserve"> wireless for laptops</t>
  </si>
  <si>
    <t>G4 Communications Fastreach SDSL Annual Business</t>
  </si>
  <si>
    <t xml:space="preserve"> Cell Phone Engine (1 &amp; 2) I PAD Report/Data Access</t>
  </si>
  <si>
    <t xml:space="preserve"> Cell Phone Ambulance (1 &amp; 2) I PAD Report/Data Access</t>
  </si>
  <si>
    <t xml:space="preserve"> Cell Phone Ambulance 1 (Zoll Cardiac Monitor)</t>
  </si>
  <si>
    <t xml:space="preserve"> Cell Phone Ambulance 2 (Zoll Cardiac Monitor)</t>
  </si>
  <si>
    <t xml:space="preserve"> Cell Phone Ambulance 3 (Zoll  Cardiac Monitor)</t>
  </si>
  <si>
    <t>Emergency Generator and Switch Gear Maintenance Sta 1, 2 &amp; 3)</t>
  </si>
  <si>
    <t>Repair Overloaded Circuits, light ballast, switches etc. (on-going)</t>
  </si>
  <si>
    <t>Toxic Material Monitoring Sensor</t>
  </si>
  <si>
    <t>Jaws of Life maintenance, hydraulic Units/Tool Replacement</t>
  </si>
  <si>
    <t>Paint and Body Repair for vehicles</t>
  </si>
  <si>
    <t>Software Maintenance/Support Agreement</t>
  </si>
  <si>
    <t>Maintenance of Emergency Air Packs Scott SCBA Units</t>
  </si>
  <si>
    <t>Mattresses  Replacement</t>
  </si>
  <si>
    <t>Cardiac Monitor and Defibrillator service agreements  (Zoll)</t>
  </si>
  <si>
    <t>Paramedic In-house Educational Program</t>
  </si>
  <si>
    <t>Annual Promotional/FF Testing (FF, Master Firefighter, Lieutenant, Captain)</t>
  </si>
  <si>
    <t>Security &amp; Fire Alarm Upgrade continuation to Station 1, 2 &amp; 3</t>
  </si>
  <si>
    <t>Replace upgrade tile/carpet/paint/ repair molding floor Station 1</t>
  </si>
  <si>
    <t>Replace Broken stair treads at Station 1 (Back Stairs)</t>
  </si>
  <si>
    <t>Computers For Apparatus (notebooks etc.)</t>
  </si>
  <si>
    <t xml:space="preserve">Replacement Mobile Radios </t>
  </si>
  <si>
    <t>F350 Ambulance 220</t>
  </si>
  <si>
    <t>SCBA Breathing Apparatus</t>
  </si>
  <si>
    <t>Town Hall Memorial Conference Room Equipment</t>
  </si>
  <si>
    <t>Media Staff Hardware</t>
  </si>
  <si>
    <t>Public Access Cameras and Audio Equipment</t>
  </si>
  <si>
    <t xml:space="preserve">  Supervisors of Checklist - 600 hr X $10</t>
  </si>
  <si>
    <t>Business Expo/Merrimack Rocks (offset by revenue)</t>
  </si>
  <si>
    <t>Total wages</t>
  </si>
  <si>
    <t>Director allocation (revenue transfer to General Fund)</t>
  </si>
  <si>
    <t>T-shirts</t>
  </si>
  <si>
    <t>Watson Park</t>
  </si>
  <si>
    <t>NH Rec and Park Association</t>
  </si>
  <si>
    <t>Fourth of July Celebration - Parade &amp; Fun Day</t>
  </si>
  <si>
    <t>Winter carnival (Port-a-potty, activity items)</t>
  </si>
  <si>
    <t>Repairs to Veterans Park Boat Ramp</t>
  </si>
  <si>
    <t>Lifeguards &amp; 4th of July</t>
  </si>
  <si>
    <t>Cellular airtime for mobile data terminals - 7</t>
  </si>
  <si>
    <t>Radio voting system - phone lines - 4</t>
  </si>
  <si>
    <t>Dispatching seminars &amp; Training</t>
  </si>
  <si>
    <t>IACP Model Policy upodate and subscription service</t>
  </si>
  <si>
    <t>Emergency Field First Aid supplies</t>
  </si>
  <si>
    <t>Welfare Software Maintenance Fee</t>
  </si>
  <si>
    <t>Snow Removal</t>
  </si>
  <si>
    <t xml:space="preserve">Adult fiction </t>
  </si>
  <si>
    <t>Adult non-fiction</t>
  </si>
  <si>
    <t xml:space="preserve">Reference </t>
  </si>
  <si>
    <t>Periodicals - Newspapers</t>
  </si>
  <si>
    <t>Periodicals - Professional</t>
  </si>
  <si>
    <t>Professional Non-Fiction</t>
  </si>
  <si>
    <t>On-line resources - databases</t>
  </si>
  <si>
    <t>On-line resources - Safari database</t>
  </si>
  <si>
    <t>On-line resources - Atomic Learning database</t>
  </si>
  <si>
    <t>3M eBooks</t>
  </si>
  <si>
    <t>eReader content</t>
  </si>
  <si>
    <t>CDs</t>
  </si>
  <si>
    <t>eMusic</t>
  </si>
  <si>
    <t>Video Games</t>
  </si>
  <si>
    <t xml:space="preserve">Town Hall, Annex, Ambulance Garage building, </t>
  </si>
  <si>
    <t>Property, liability and auto insurance</t>
  </si>
  <si>
    <t xml:space="preserve">Sprinkler system </t>
  </si>
  <si>
    <t>Elevator permits</t>
  </si>
  <si>
    <t>Maintenance of lawn mowers, bagger for mower, snowblowers and vacuum cleaners</t>
  </si>
  <si>
    <t>Computer paper, ink and miscellaneous office supplies</t>
  </si>
  <si>
    <t>Hand tools, maintenance of power tools, lifts, jacks  and</t>
  </si>
  <si>
    <t>log books and miscellaneous supplies</t>
  </si>
  <si>
    <t>Skid steer, loader, forklift and truck</t>
  </si>
  <si>
    <t>Heating of buildings, site lighting and other electrical services</t>
  </si>
  <si>
    <t>Diesel fuel: road tractors, loader and 1-ton truck</t>
  </si>
  <si>
    <t>Unleaded gasoline: pickup truck, mowers and other equipment</t>
  </si>
  <si>
    <t>Building repair, maintenanceand minor improvements</t>
  </si>
  <si>
    <t>Seeds, fertilizer and plants</t>
  </si>
  <si>
    <t>Printer, copier, alarm system, scale systems and computer</t>
  </si>
  <si>
    <t>Misc. wastes - light bulbs, propane tanks, etc.</t>
  </si>
  <si>
    <t>Solid Waste Attendant</t>
  </si>
  <si>
    <t>ESRI-GIS (software maintenance)</t>
  </si>
  <si>
    <t xml:space="preserve">GIS consultant support </t>
  </si>
  <si>
    <t>Total Station calibration</t>
  </si>
  <si>
    <t>Miscellaneous, National Public Works Week</t>
  </si>
  <si>
    <t xml:space="preserve">Computer equipment </t>
  </si>
  <si>
    <t xml:space="preserve">Bridge replacement - Bean Road </t>
  </si>
  <si>
    <t>DW Hwy Paving</t>
  </si>
  <si>
    <t>Summer engineering student - 2</t>
  </si>
  <si>
    <t>Farmers market assistant</t>
  </si>
  <si>
    <t>stationery, software and miscellaneous supplies</t>
  </si>
  <si>
    <t>Rubber boots, gloves and safety items</t>
  </si>
  <si>
    <t>Uniform service-Part Time</t>
  </si>
  <si>
    <t>Chemicals, filter paper, glassware, small instruments and other</t>
  </si>
  <si>
    <t>Mailing of monthly reports, correspondence and UPS shipping</t>
  </si>
  <si>
    <t>2-Compost hydrant charge 6"</t>
  </si>
  <si>
    <t>Conferences) and mileage reimbursement</t>
  </si>
  <si>
    <t>Maintenance of six pump stations</t>
  </si>
  <si>
    <t>Compost facility equipment maintenance</t>
  </si>
  <si>
    <t>Trucks, loaders and sewer cleaner</t>
  </si>
  <si>
    <t>VueWorks Software Support (Asset Management Software)</t>
  </si>
  <si>
    <t>Utility billing software support-Avitar</t>
  </si>
  <si>
    <t>Seminars, courses and state certification training</t>
  </si>
  <si>
    <t>Allocation of general fund administrative costs</t>
  </si>
  <si>
    <t>Hazardous &amp; universal waste removal</t>
  </si>
  <si>
    <t>Drug and alcohol- DOT testing</t>
  </si>
  <si>
    <t>Misc operating expenses not othewise assigned</t>
  </si>
  <si>
    <t>Computer replacements, installation and set up</t>
  </si>
  <si>
    <t>Transfer to sewer infrastructure Capital Reserve Fund</t>
  </si>
  <si>
    <t xml:space="preserve">Copier paper, ink cartridges, binders, file folders, log books, time cards </t>
  </si>
  <si>
    <t>supplies, batteries, propane and hand tools</t>
  </si>
  <si>
    <t>Uniform allowance - Teamsters</t>
  </si>
  <si>
    <t>Stationery, plans, maps, business cards and forms</t>
  </si>
  <si>
    <t>Travel to meetings, workshops, seminars, and training sessions; travel to random CDL testing</t>
  </si>
  <si>
    <t>painting and other building repairs, oil/water separator</t>
  </si>
  <si>
    <t xml:space="preserve">  Seeding (30% coverage rate)</t>
  </si>
  <si>
    <t xml:space="preserve">  Fertilizer (2 applications)</t>
  </si>
  <si>
    <t>road maintenance and brine anti icing</t>
  </si>
  <si>
    <t>berms, sluiceways and catch basins</t>
  </si>
  <si>
    <t>Materials testing and fuel tank tightness tests</t>
  </si>
  <si>
    <t>Seminars, courses, conferences and training materials</t>
  </si>
  <si>
    <t>in-house sign making and traffic marking paint</t>
  </si>
  <si>
    <t>Trash removal</t>
  </si>
  <si>
    <t>Police details</t>
  </si>
  <si>
    <t>Volunteer supplies, Public Work Week outreach and MS4 education</t>
  </si>
  <si>
    <t>Roofing, emergency egress, insulation, air quality improvements</t>
  </si>
  <si>
    <t>6 Wheel dump truck, H-31</t>
  </si>
  <si>
    <t>Front end loader, H-16</t>
  </si>
  <si>
    <t>Traffic Light Preemption</t>
  </si>
  <si>
    <t>Excess Sick Leave Purchase</t>
  </si>
  <si>
    <t>Finance Director/Assistant Town Manager</t>
  </si>
  <si>
    <t>Maintenance of vehicles, light and heavy equipment</t>
  </si>
  <si>
    <t>1-Year round, part time maintainer (16 hours/week)</t>
  </si>
  <si>
    <t>Nixel</t>
  </si>
  <si>
    <t>Building Inspections after hours (20)</t>
  </si>
  <si>
    <t>Office Administration (100)</t>
  </si>
  <si>
    <t>8111 - overtime</t>
  </si>
  <si>
    <t>8111 Overtime</t>
  </si>
  <si>
    <t>TM Adjustment</t>
  </si>
  <si>
    <t>01-08-8505-0 Infrastructure/Paving</t>
  </si>
  <si>
    <t xml:space="preserve">Road Infrastructure Capital Reserve Fund </t>
  </si>
  <si>
    <t>GIS</t>
  </si>
  <si>
    <t>Total CRF</t>
  </si>
  <si>
    <t>33-33-8363-0 Fire Protection Area</t>
  </si>
  <si>
    <t>Wasserman Park renovations</t>
  </si>
  <si>
    <t>Infrastructure improvements</t>
  </si>
  <si>
    <t xml:space="preserve"> Legal and professional advise Pipeline</t>
  </si>
  <si>
    <t>A&amp;E highway garage</t>
  </si>
  <si>
    <t xml:space="preserve">Full-time employees - </t>
  </si>
  <si>
    <t>Employee cost sharing  10%</t>
  </si>
  <si>
    <t>Short courses, technical seminars, conferences, books and APWA national conference</t>
  </si>
  <si>
    <t>2016-17</t>
  </si>
  <si>
    <t>01-25-8504-0 Office Equipment</t>
  </si>
  <si>
    <t>01-09-8504-0 Office Equipment</t>
  </si>
  <si>
    <t>01-09-8356-0 Solid Waste Disposal Constr &amp; Demolition materials</t>
  </si>
  <si>
    <t>01-08-8504-0 Office Equipment</t>
  </si>
  <si>
    <t>01-04-8814-0 Convincer Grant</t>
  </si>
  <si>
    <t xml:space="preserve"> Balance </t>
  </si>
  <si>
    <t>Unemployment compensation - .34%</t>
  </si>
  <si>
    <t>Workers compensation - 0.16%</t>
  </si>
  <si>
    <t>01-21-8910-0 Capital Reserve Fund Purchases</t>
  </si>
  <si>
    <t>Electronic Message Board Singage</t>
  </si>
  <si>
    <t xml:space="preserve">  Turnover (average $3401) - 1</t>
  </si>
  <si>
    <t>Maintenance I - 40 hr x 12 wks (June, July, August)</t>
  </si>
  <si>
    <t>Registration Software for Recreation Programs</t>
  </si>
  <si>
    <t xml:space="preserve">Credit Card Transaction Fees </t>
  </si>
  <si>
    <t>Compost</t>
  </si>
  <si>
    <t>Phase II</t>
  </si>
  <si>
    <t>Phase II and Compost</t>
  </si>
  <si>
    <t xml:space="preserve">   Less revenues</t>
  </si>
  <si>
    <t>Chairs-Replacement (Dispatch Console)</t>
  </si>
  <si>
    <t>OHRV</t>
  </si>
  <si>
    <t>Taser Replacement Program</t>
  </si>
  <si>
    <t>Camera / Recorder - Detectives</t>
  </si>
  <si>
    <t>Part Time Admin Clerk</t>
  </si>
  <si>
    <t>Repair door at Building Entry, Paint recieption area</t>
  </si>
  <si>
    <t>Paint Building Area including trim</t>
  </si>
  <si>
    <t>Install Security door at counter</t>
  </si>
  <si>
    <t>Station Shift Coverage (Vacation, Personal Time, 50% sick Time)</t>
  </si>
  <si>
    <t>Officer Community Service (Schools, Business Expo, Merr Rocks, Open House)</t>
  </si>
  <si>
    <t>Uniform Patches</t>
  </si>
  <si>
    <t>Telephone cost allocation for Station 1, 2 and 3</t>
  </si>
  <si>
    <t>Cell Phone Officers</t>
  </si>
  <si>
    <t>Boarder Area Mutual Aid Association</t>
  </si>
  <si>
    <t>Regional Swift Water Rescue Team (Flood Protection)</t>
  </si>
  <si>
    <t>Areial Preventative Mainnenace outside Contractor (NE Fire Equip)</t>
  </si>
  <si>
    <t>Fire Aparatus Preventative Maintenance outside Contractor (BullDog Fire App)</t>
  </si>
  <si>
    <t>Ambulance Electronic Service and Maintenance (AEV)</t>
  </si>
  <si>
    <t>Hazardous Materials Containment Booms and Pads</t>
  </si>
  <si>
    <t>Emergency Operations Center Upgrades / Phone Data Lines, State EOC Monitoring CRT, Individual Support Function Equip Boxes.</t>
  </si>
  <si>
    <t>Forcible Entry Tools for Ambulance</t>
  </si>
  <si>
    <t>Lighting Replacement at Station Outside, Station 2 Bay Area</t>
  </si>
  <si>
    <t>Office Chairs / Training Room Equipment</t>
  </si>
  <si>
    <t xml:space="preserve">Service truck </t>
  </si>
  <si>
    <t>Fleet maintenance courses and Emergency Vehicle Technician</t>
  </si>
  <si>
    <t>Lawn services</t>
  </si>
  <si>
    <t>Trailer</t>
  </si>
  <si>
    <t>6 Wheel dump truck, H-21</t>
  </si>
  <si>
    <t>Hand tools, safety, and misc items</t>
  </si>
  <si>
    <t>Replacement lights with high efficiency LED fixtures</t>
  </si>
  <si>
    <t>Flagger for working in railroad right-of-way</t>
  </si>
  <si>
    <t>Minor repairs to sewer manholes &amp; sewer line root control</t>
  </si>
  <si>
    <t>Head of Children and Teen Youth Services</t>
  </si>
  <si>
    <t>Summer Library Student Intern - Youth Services 10 weeks @ 20H</t>
  </si>
  <si>
    <t xml:space="preserve"> Aide I - Circulation </t>
  </si>
  <si>
    <t xml:space="preserve"> Aide I - Technical Services</t>
  </si>
  <si>
    <t xml:space="preserve">Secretary - Administration </t>
  </si>
  <si>
    <t>Seasonal snow removal/landscaping</t>
  </si>
  <si>
    <t>01-15-8143 Incentive</t>
  </si>
  <si>
    <t>Librarica (SPOT)</t>
  </si>
  <si>
    <t>Graphic/Manga books</t>
  </si>
  <si>
    <t>OverDrive (NHSL downloadable, books, audio, magazines)</t>
  </si>
  <si>
    <t>Hoopla or  Streaming Video</t>
  </si>
  <si>
    <t>Parking Lot Paving sidewalk</t>
  </si>
  <si>
    <t>State Bridge Aid/TAP Grant</t>
  </si>
  <si>
    <t>01-02-8910-0 Capital Reserve Fund Purchases</t>
  </si>
  <si>
    <t>Town Wide valuation</t>
  </si>
  <si>
    <t>Sewer Pump Maintenance agreement  -Police</t>
  </si>
  <si>
    <t>Pickup (1 ton) Forestry Truck F1</t>
  </si>
  <si>
    <t>Boat Inflatable B2</t>
  </si>
  <si>
    <t>Wasserman Park Function Hall (heat)</t>
  </si>
  <si>
    <t>2017-18</t>
  </si>
  <si>
    <t>Public Acess Cameras and vidoe switches</t>
  </si>
  <si>
    <t>Public Access editing Systems</t>
  </si>
  <si>
    <t>Holiday pay - 10 holidays X 8 hr X 7 employees</t>
  </si>
  <si>
    <t>PT - Animal Control Officer</t>
  </si>
  <si>
    <t>Last Rest Cemetary</t>
  </si>
  <si>
    <t>31-10-8143-0 EMPLOYEE INCENTIVES/Raises</t>
  </si>
  <si>
    <t xml:space="preserve">Head of Adult Services, incl Circulation and Reference/eResources </t>
  </si>
  <si>
    <t>01-15-8260-0 Telephone &amp; Services</t>
  </si>
  <si>
    <t xml:space="preserve">424-5021  - 5 lines bundled </t>
  </si>
  <si>
    <t>429-0576 Line 2</t>
  </si>
  <si>
    <t>424-8519 Burglar Alarm</t>
  </si>
  <si>
    <t>Computer and printer maintenance (server warranty)</t>
  </si>
  <si>
    <t>Employee recruitment ads and public notices; community outreach; marketing</t>
  </si>
  <si>
    <t>Welfare Administrator -28 hr X 53 wk = 1,484 hr</t>
  </si>
  <si>
    <t>01-09-8107-0 Wages - Part-Time</t>
  </si>
  <si>
    <t>31-27-8612-0 Principal - Long-Term Debt</t>
  </si>
  <si>
    <t>31-27-8614-0 Principal - Long-Term Debt</t>
  </si>
  <si>
    <t>31-27-8611-0 Interest - Long-Term Debt</t>
  </si>
  <si>
    <t>On-call Dispatchers</t>
  </si>
  <si>
    <t>College course tuition reimbursement - NEPBA112</t>
  </si>
  <si>
    <t>Master Firefighter - Paramedic</t>
  </si>
  <si>
    <t>Wing Rate</t>
  </si>
  <si>
    <t>and brochures and meals (over 14 hours of work during an emergency)</t>
  </si>
  <si>
    <t>Full-time employees - NEPBA 12</t>
  </si>
  <si>
    <t>Employee cost sharing - NEPBA 12</t>
  </si>
  <si>
    <t>Full-time employees - AFSCME 3657</t>
  </si>
  <si>
    <t>Full-time employees - NEPBA 112</t>
  </si>
  <si>
    <t>2017-18 BUDGET</t>
  </si>
  <si>
    <t>2017-18 Proposed Capital Reserve Funding</t>
  </si>
  <si>
    <t>01-05-8321-0 Maintenance-Buildings &amp; Grounds</t>
  </si>
  <si>
    <t>01-09-8503-0 Vehicles</t>
  </si>
  <si>
    <t>01-17-8359-0 Other Outside Services</t>
  </si>
  <si>
    <t>8104 - Program Manager</t>
  </si>
  <si>
    <t>Pearson Rd. / Reeds Ferry School Ball field/Bishop</t>
  </si>
  <si>
    <t>Wasserman Park facilities and outdoor lighting</t>
  </si>
  <si>
    <t>AFSCME 3657</t>
  </si>
  <si>
    <t>Operator I</t>
  </si>
  <si>
    <t>Operator II Lab Technician</t>
  </si>
  <si>
    <t>Operator II</t>
  </si>
  <si>
    <t>Maintainer I</t>
  </si>
  <si>
    <t xml:space="preserve">  Turnover (average $8,770) - 6</t>
  </si>
  <si>
    <t>89-89-8375-0 Day Camp</t>
  </si>
  <si>
    <t>Cablecast/Webcast Devices</t>
  </si>
  <si>
    <t>Lower Power FM equipment</t>
  </si>
  <si>
    <t>Wasserman Park - removal of abandoned underground oil tank</t>
  </si>
  <si>
    <t>Wasserman Park - MYA Cabin</t>
  </si>
  <si>
    <t>Camp Director - 40 hours/wk x10 weeks</t>
  </si>
  <si>
    <t>Assistant Director/Sped Coor - 40 hours/wk x 9 weeks</t>
  </si>
  <si>
    <t>Assistant Director/Program Director - 40 hours/wk x 9 weeks</t>
  </si>
  <si>
    <t>Camp Medical Staff - 40 hours/wk x 9 weeks</t>
  </si>
  <si>
    <t>Kitchen Manager/Cook - 40 hours/wk x 8 weeks</t>
  </si>
  <si>
    <t>Kitchen Help/Cooks Assistant - 40 hours/wk x 8 weeks</t>
  </si>
  <si>
    <t xml:space="preserve">Waterfront Director hours divided between town and camp - 20 hr x 8 wk </t>
  </si>
  <si>
    <t>Counselors- 12 employees - 40 hours a week x 8 weeks</t>
  </si>
  <si>
    <t>Junior Counselors - 5 employees x 40 hrs/wk x 8 weeks</t>
  </si>
  <si>
    <t>1:1 Aides - 2 employees x 40 hrs/wk x 8 weeks</t>
  </si>
  <si>
    <t>Activity Specialists -5 employees x 40 hrs/wk x8 weeks</t>
  </si>
  <si>
    <t>Parks &amp; Recreation Program Coordinator allocation</t>
  </si>
  <si>
    <t>Operating supplies - Food</t>
  </si>
  <si>
    <t>Program Supplies (Sports equipment, Arts &amp; Crafts &amp; Camper T-Shirts)</t>
  </si>
  <si>
    <t>Medical Supplies</t>
  </si>
  <si>
    <t>Camp Special Events</t>
  </si>
  <si>
    <t xml:space="preserve">Uniforms </t>
  </si>
  <si>
    <t>5% Sibling Discount (158 kids eligible in 2016) - 8 new registrations /offset</t>
  </si>
  <si>
    <t>(New)</t>
  </si>
  <si>
    <t>Naticook Jr. Adventures - 1/2 Day Pre-School Camp (8 weeks)</t>
  </si>
  <si>
    <t>Director - 25 hours/wk x 9 weeks</t>
  </si>
  <si>
    <t>1 Counselors - 20 hrs/wk x 8 weeks</t>
  </si>
  <si>
    <t>1 Jr Counselors - 20 hrs/wk x 8 weeks</t>
  </si>
  <si>
    <t>Parks &amp; Recreation Program Coordinator Allocation</t>
  </si>
  <si>
    <t>Supplies</t>
  </si>
  <si>
    <t>$100/wk x 8 wks</t>
  </si>
  <si>
    <t>Sibling Discount</t>
  </si>
  <si>
    <t>Back ground checks  (3 x $25.00 each)</t>
  </si>
  <si>
    <t>Camp Trek - Teen Trip &amp; Travel Camp (8 weeks)</t>
  </si>
  <si>
    <t>Teen Coordinator</t>
  </si>
  <si>
    <t>2 Counselors - 40 hrs/wk x 8 weeks</t>
  </si>
  <si>
    <t>Transportation (3 days wk/ 8 wks)</t>
  </si>
  <si>
    <t>Field Trip Admission Fees (3 days wk/ 8 wks)</t>
  </si>
  <si>
    <t>Operating Supplies - Food 2 days/wk</t>
  </si>
  <si>
    <t>$5.45 pp/wk</t>
  </si>
  <si>
    <t>Merrimack Summer Stage Theater Camp (2 weeks)</t>
  </si>
  <si>
    <t>Director - 40 hours/wk x 2 weeks + 10 Prep</t>
  </si>
  <si>
    <t>2 Counselors - 40 hrs/wk x 2 weeks + 5 hours ech</t>
  </si>
  <si>
    <t>Parks &amp; Recreation Program CoordinatorAllocation</t>
  </si>
  <si>
    <t>$500/wk</t>
  </si>
  <si>
    <t>Operating Supplies - Food 5 days/wk</t>
  </si>
  <si>
    <t>$13.63pp / wk</t>
  </si>
  <si>
    <t>89-89-8374-0 Recreation Programs</t>
  </si>
  <si>
    <t>Swimming Lessons (8 weeks)</t>
  </si>
  <si>
    <t>WSI's - public  swim lesson- 10 hr X 8 wk X 2 employees</t>
  </si>
  <si>
    <t>Supplies - Red Cross Certification Cards</t>
  </si>
  <si>
    <t xml:space="preserve">Operating Supplies </t>
  </si>
  <si>
    <t>Back ground checks  (2 x $25.00 each)</t>
  </si>
  <si>
    <t>Tennis Lessons (8 weeks)</t>
  </si>
  <si>
    <t>Tennis Instructor - 20 hrs/wk x 8 weeks</t>
  </si>
  <si>
    <t>Back ground checks  (1 x $25.00 each)</t>
  </si>
  <si>
    <t>School Vacation Week Programs (3 weeks)</t>
  </si>
  <si>
    <t>Director (45 hrs/wk x 3 wks)</t>
  </si>
  <si>
    <t>Counselors (40 hrs/wk x 3 wks) x 2 employees</t>
  </si>
  <si>
    <t xml:space="preserve">Cook (40 hrs/wk x 3 wks) </t>
  </si>
  <si>
    <t>Back ground checks  (4 x $25.00 each)</t>
  </si>
  <si>
    <t xml:space="preserve">Operating Expense - Food </t>
  </si>
  <si>
    <t>20-13-8375-0 Day Camp Moved to revolving fund</t>
  </si>
  <si>
    <t>TOTAL</t>
  </si>
  <si>
    <t>Program Manager (30/70 GF and Revolving Fund)</t>
  </si>
  <si>
    <t>Park Attendant (weekends) for town beach -10 weekends</t>
  </si>
  <si>
    <t>Lifeguards (weekdays) for town beach - 40 hr x 8 wk x 2 employees</t>
  </si>
  <si>
    <t xml:space="preserve">Waterfront Director hours divided between town and camp - 20 hr x 9 wk </t>
  </si>
  <si>
    <t xml:space="preserve">8107- secretary/ Maintenance </t>
  </si>
  <si>
    <t>Cellular telephones - (9 Data / 3 service)</t>
  </si>
  <si>
    <t>Access Control / Security System Maintenance (PMI) Agreement</t>
  </si>
  <si>
    <t>Radio base station Police &amp; Fire</t>
  </si>
  <si>
    <t>Hiring Incentive</t>
  </si>
  <si>
    <t>Technology Assistant</t>
  </si>
  <si>
    <t>Technology Assistant- 20-25 hrs per wk</t>
  </si>
  <si>
    <t>Criminal  &amp; Driving records checks</t>
  </si>
  <si>
    <t xml:space="preserve">  Moderators - 150 hr X 1 elections = 150 hr X $10</t>
  </si>
  <si>
    <t xml:space="preserve">  Election workers - 150 hr X 1 election = 150hr X $7.25</t>
  </si>
  <si>
    <t>Camp Secretary - 40/wk x 8 weeks</t>
  </si>
  <si>
    <t>LG/WSI's for camp swim lesson- 40 hr X 8 wk X 4 employees</t>
  </si>
  <si>
    <t xml:space="preserve">Office Manager - Administration </t>
  </si>
  <si>
    <t xml:space="preserve">  Library Assistant II - Youth Services </t>
  </si>
  <si>
    <t>Head of Circulation</t>
  </si>
  <si>
    <t xml:space="preserve">  Aide I - Youth Services  </t>
  </si>
  <si>
    <t>Educational Incentive</t>
  </si>
  <si>
    <t>Online SRP Tracking - all (Beanstack)</t>
  </si>
  <si>
    <t>Museum Passes ( Library Insight)</t>
  </si>
  <si>
    <t xml:space="preserve"> Teen materials</t>
  </si>
  <si>
    <t xml:space="preserve">On-line resources - corepack </t>
  </si>
  <si>
    <t>Safety Shoes (Building Health Inspector)</t>
  </si>
  <si>
    <t>Clothing Allowence Building &amp; Health)</t>
  </si>
  <si>
    <t>Health Inspector Protective Clothing</t>
  </si>
  <si>
    <t>Building Inspector Protective Clothing</t>
  </si>
  <si>
    <t>Replacement Large format color printer/Copy Machine</t>
  </si>
  <si>
    <t>EMS / Training / Safety Officer</t>
  </si>
  <si>
    <t>Fire Fighter</t>
  </si>
  <si>
    <t>Fire Fighter - Paramedic/AEMT</t>
  </si>
  <si>
    <t>Recertification Training Paramedic (PALS), (ACLS) (1 x 24)</t>
  </si>
  <si>
    <t>AEMT Recertification Program (4 x 24)</t>
  </si>
  <si>
    <t>EMT Recertification Practical  (3 x 24) [from 96 reduced to 72]</t>
  </si>
  <si>
    <t>Active Shooter EMS to Support Police Program</t>
  </si>
  <si>
    <t>TECC Training Program (Activer Shooter) [16 hrs x 8 Officers] 128</t>
  </si>
  <si>
    <t>ALERRT II Training (TQ's Wound Pkg Recovery position) [16 hrs x 8 Officers]64</t>
  </si>
  <si>
    <t>MPD Shift Training Weapon Clearing</t>
  </si>
  <si>
    <t>Training with Nashua Bomb Squad</t>
  </si>
  <si>
    <t>Practical Training with MPD (Movement Techniques) [16 hrs x 8 Officers] 128</t>
  </si>
  <si>
    <t>ALERRT II Training Table Top Exercise</t>
  </si>
  <si>
    <t>Full Scale Exeercise [9 hrs x 8 Officers]72</t>
  </si>
  <si>
    <t>FEMA Exercise</t>
  </si>
  <si>
    <t>National Guard Backfill</t>
  </si>
  <si>
    <t>EMS Training Requirements</t>
  </si>
  <si>
    <t>EMT Recertification Practical [384 hrs reduced to 192]</t>
  </si>
  <si>
    <t>AEMT Advanced Recertification (36 hrs. x 6) 72</t>
  </si>
  <si>
    <t>TECC Training Program (Activer Shooter 16 Hrs x 24 FF+ $300.00)</t>
  </si>
  <si>
    <t>ALERRT II Training (TQ's Wound Packaging, Recovery position) [8hrs x 24 FF]</t>
  </si>
  <si>
    <t>Practical Training with MPD (Movement Techniques) [8hrs x 24FF]</t>
  </si>
  <si>
    <t>Full Scale Exeercise [9 hrs x 18 FF]</t>
  </si>
  <si>
    <t>Training New Personnel</t>
  </si>
  <si>
    <t>Cardiac 12 Lead Pads</t>
  </si>
  <si>
    <t>Auto Pulse Bands</t>
  </si>
  <si>
    <t>EZIO Needles</t>
  </si>
  <si>
    <t xml:space="preserve">Hyfin Chest Seals </t>
  </si>
  <si>
    <t xml:space="preserve">CAT TQs  </t>
  </si>
  <si>
    <t>Emer Trauma Dress</t>
  </si>
  <si>
    <t>Celox Dressing</t>
  </si>
  <si>
    <t>Decompression Needles</t>
  </si>
  <si>
    <t>Wraith CARR " Go Bag" Pack EMS</t>
  </si>
  <si>
    <t>Olaes Modular Bandage</t>
  </si>
  <si>
    <t>Helmets</t>
  </si>
  <si>
    <t>Emergency Medical Supplies "Go Bag Plates"</t>
  </si>
  <si>
    <t>IAFF (24 to 28)</t>
  </si>
  <si>
    <t>New Hire Firefighter PPE (8)</t>
  </si>
  <si>
    <t>Plowing of Station 1, Station 2 and Station 3</t>
  </si>
  <si>
    <t>Replacement Batteries for Stryker Power Stretchers</t>
  </si>
  <si>
    <t>Stryker Stair Chair, Ferno SCOOP Stokes service agreement (EMSAR)</t>
  </si>
  <si>
    <t>Advanced Life Support Manikin Training Device</t>
  </si>
  <si>
    <t>TECC Training Program (Activer Shooter)</t>
  </si>
  <si>
    <t>ALERRT II Training (TQ's Wound Packaging, Recovery position)</t>
  </si>
  <si>
    <t>Hazardous Materials Cleanup Materials</t>
  </si>
  <si>
    <t>Replacement (EOL) Adapter 40mm CBRN for AV3000/HTAV300 Facepiece</t>
  </si>
  <si>
    <t>Replacement (EOL) Filter HEPA/P100 40mm Thread</t>
  </si>
  <si>
    <t>Replacement (EOL) Filter Cartridge CBRN Cap-1 Canister 40 mm Thread</t>
  </si>
  <si>
    <t>Chemical/Boilogical/CBRN Protective Clothing</t>
  </si>
  <si>
    <t>Hand tools, Other operating equipment (Elect Hand Drill Socket replacement set)</t>
  </si>
  <si>
    <t>PPE Hazardous Materials Extractor for Protective Equipment (Cancer Prevention)</t>
  </si>
  <si>
    <t>Large Diameter Supply Hose</t>
  </si>
  <si>
    <t>89-89-7487-0 Day Camp</t>
  </si>
  <si>
    <t>Back ground checks  (37x $25.00 each)</t>
  </si>
  <si>
    <t>Custodian Town Hall - Nights</t>
  </si>
  <si>
    <t>Pest control (Termites, Ants, Rodents, Etc.) TH &amp; PD</t>
  </si>
  <si>
    <t>Adult Community Center (General Maintenance)</t>
  </si>
  <si>
    <t>Replace panic alarm in TC/TC area</t>
  </si>
  <si>
    <t>Maintenance of B&amp;G Vehicles</t>
  </si>
  <si>
    <t>PD - HVAC Replacement (1 of 6 units)</t>
  </si>
  <si>
    <t>ACC - Repair existing and install additional Emergency Lighting</t>
  </si>
  <si>
    <t>TH - Projector for CDD Conference Room</t>
  </si>
  <si>
    <t>TH - Memorial Conference Room Heat &amp; AC (Replace PTAC Units)</t>
  </si>
  <si>
    <t>01-17-8503-0 Vehicles</t>
  </si>
  <si>
    <t xml:space="preserve">Fleet management license agreement </t>
  </si>
  <si>
    <t>Diagnostic Laptop</t>
  </si>
  <si>
    <t>NH Designer</t>
  </si>
  <si>
    <t>NH Land Surveyor</t>
  </si>
  <si>
    <t>NH Professional Engineer ( 2 @ $150.)</t>
  </si>
  <si>
    <t>Cadnet</t>
  </si>
  <si>
    <t>Internet service (Business Class)</t>
  </si>
  <si>
    <t>01-09-8502-0 Buildings</t>
  </si>
  <si>
    <t>Bird Netting on Transfer Station Building</t>
  </si>
  <si>
    <t>HVAC Unit for Office Trailer/Scale House</t>
  </si>
  <si>
    <t>Slope Mower</t>
  </si>
  <si>
    <t xml:space="preserve">and miscellaneous supplies. </t>
  </si>
  <si>
    <t>Minor repairs to Park buildings, winterizing, fuel island repairs, etc.</t>
  </si>
  <si>
    <t>Field maintenance (Martel, Twardosky, Watson):</t>
  </si>
  <si>
    <t>(MicroPaver, Iworq, ArcView, fuel software)</t>
  </si>
  <si>
    <t>Mosquito control application process to State</t>
  </si>
  <si>
    <t>Repairs to intersection at DW Hwy at East Ridge Rd (Old Shaws)</t>
  </si>
  <si>
    <t>Building repairs</t>
  </si>
  <si>
    <t>Sealcoat &amp; Re-stripe MYA Parking lot</t>
  </si>
  <si>
    <t>Projector</t>
  </si>
  <si>
    <t>Small Equipment</t>
  </si>
  <si>
    <t>Equipment Trailer</t>
  </si>
  <si>
    <t>6 Wheel dump truck, H-22</t>
  </si>
  <si>
    <t>6 Wheel dump truck, H-27</t>
  </si>
  <si>
    <t>Paint Trailer</t>
  </si>
  <si>
    <t>SUV  H-1</t>
  </si>
  <si>
    <t xml:space="preserve"> Asst. Maintenance Manager</t>
  </si>
  <si>
    <t>Mechanic II</t>
  </si>
  <si>
    <t xml:space="preserve">  Employees - NHRS Group I - age 60  - 1</t>
  </si>
  <si>
    <t>Sunset Shores Pump Stations (3)</t>
  </si>
  <si>
    <t>Plant boilers</t>
  </si>
  <si>
    <t>Heating remote buildings and generator operation</t>
  </si>
  <si>
    <t>Diesel fuel - loaders, roll off truck, sewer vac and skid steers</t>
  </si>
  <si>
    <t>Seminars, meetings, conferences (including WEF, VUEWorks,</t>
  </si>
  <si>
    <t>Sawdust bulking agent for composting</t>
  </si>
  <si>
    <t>Grinding tailings to reuse for composting</t>
  </si>
  <si>
    <t>Front entrance sign</t>
  </si>
  <si>
    <t>Replace two screw conveyors for screw press</t>
  </si>
  <si>
    <t>Replacement bucket for 1 938 Cat loader</t>
  </si>
  <si>
    <t>Rigging to remove and reinstall two screw conveyors</t>
  </si>
  <si>
    <t>2- Replacement Hach CL-17 chlorine analyzers</t>
  </si>
  <si>
    <t>Manhole/Sewer Line rehab</t>
  </si>
  <si>
    <t>Replacement CCTV sewer line camera and software</t>
  </si>
  <si>
    <t>2-Replace skid steer loaders for compost facillity</t>
  </si>
  <si>
    <t>Process Control Instrumentation replacement</t>
  </si>
  <si>
    <t>First year of five year program to evaluate the sewer system</t>
  </si>
  <si>
    <t>Phase III Preliminary Design Report (30% design level)</t>
  </si>
  <si>
    <t xml:space="preserve">Traffic Preemption </t>
  </si>
  <si>
    <t>American Public Works Association (3 members from 1)</t>
  </si>
  <si>
    <t>Replace window trim at PD, East Wing</t>
  </si>
  <si>
    <t>Rehab HVAC Ducts on PD Roof (1 of 5 Units)</t>
  </si>
  <si>
    <t>Pickup Truck, Light Duty, 4 X 2 used</t>
  </si>
  <si>
    <t>Hutchinson Tower</t>
  </si>
  <si>
    <t>Job related training and seminars</t>
  </si>
  <si>
    <t>Adjustment for new firefighters</t>
  </si>
  <si>
    <t>Living Condition improvements to Station 1</t>
  </si>
  <si>
    <t>Thermal Imaging Rescue Cameras (2)</t>
  </si>
  <si>
    <t>Program Manager (65/45 GF and Revolving Fund)</t>
  </si>
  <si>
    <t>8104 - Other Full-time</t>
  </si>
  <si>
    <t xml:space="preserve">  Employees - NHRS Group I - age 60  - 5</t>
  </si>
  <si>
    <t xml:space="preserve">  Employees - NHRS Group II - 20 years of service - 2</t>
  </si>
  <si>
    <t>Executive Park Drive Reconstruction</t>
  </si>
  <si>
    <t>Bridge Replacement - US 3 (Design)  (Town portion is $60,000)</t>
  </si>
  <si>
    <t>Irrigation maintenance - Replace Bise irrigation pump</t>
  </si>
  <si>
    <t>Copy Machine - Replce existing</t>
  </si>
  <si>
    <t>Tipping fees paid at remote disposal site (Rate increase from $68.00)</t>
  </si>
  <si>
    <t>Single stream disposal costs (Rate increase from $15.00)</t>
  </si>
  <si>
    <t xml:space="preserve">Diagnostic Equipment Software &amp; Updates (Dump trucks and </t>
  </si>
  <si>
    <t xml:space="preserve">                       police vehicles newer than 2015)                                   </t>
  </si>
  <si>
    <t>Electrical and plumbing supplies, ice melt and hand tools</t>
  </si>
  <si>
    <t>Plowing Municipal Lots (New item)</t>
  </si>
  <si>
    <t xml:space="preserve"> TM Adjustment</t>
  </si>
  <si>
    <t>TH - Window Replacements - Phase II</t>
  </si>
  <si>
    <t>Technology Coordinator</t>
  </si>
  <si>
    <t xml:space="preserve">Full-time employees - Union (IAFF) </t>
  </si>
  <si>
    <t xml:space="preserve">Full-time employees - Union (AFSCME 3657) </t>
  </si>
  <si>
    <t xml:space="preserve">Emergency Call Back </t>
  </si>
  <si>
    <t xml:space="preserve">Station Shift Coverage (Vacation, Sick Time, Personnel Time, etc.) </t>
  </si>
  <si>
    <t xml:space="preserve">AFSCME 93 </t>
  </si>
  <si>
    <t>* Anticipated Balance as of 7/1/17.  Balance could vary due to interest and purchases during the 2016-17 budget</t>
  </si>
  <si>
    <t>** Estimated balance as of 6/30/18 does not include interest and may vary due to purchases during the 2017-18 budget year</t>
  </si>
  <si>
    <t>Total GENERAL FUND less Grant</t>
  </si>
  <si>
    <t>Netting Twardosky Ball field</t>
  </si>
  <si>
    <t>Patrol &amp; Detective vehicles (3) Cars</t>
  </si>
  <si>
    <t xml:space="preserve">  WiFi Campus project </t>
  </si>
  <si>
    <t>Soughegan Trail</t>
  </si>
  <si>
    <t>WSI's for town swim lesson- 12.5 hrs wk X 8 wk X 3 employees  offset by revenues</t>
  </si>
  <si>
    <t>Tennis - Summer &amp; Fall for Youth &amp; Adults  offset by revenues</t>
  </si>
  <si>
    <t>01-13-8910-0 Capital Reserve Fund Purchases</t>
  </si>
  <si>
    <t xml:space="preserve">  Aide I -Youth Services </t>
  </si>
  <si>
    <t>(5021 Line 1; 7536 Line 3; 8456 Fire Alarm; 2519 &amp; 7537 DSL)</t>
  </si>
  <si>
    <t>Internet Service Provider/ Firstlight FIOS; staff Comcast &amp; email</t>
  </si>
  <si>
    <t>Periodicals - Magazines Revistas</t>
  </si>
  <si>
    <t>General Fund Totals</t>
  </si>
  <si>
    <t xml:space="preserve">01 - GENERAL GOVERNMENT </t>
  </si>
  <si>
    <t>08 - HIGHWAY</t>
  </si>
  <si>
    <t>02 - ASSESSING</t>
  </si>
  <si>
    <t>03- FIRE</t>
  </si>
  <si>
    <t>04 - POLICE</t>
  </si>
  <si>
    <t>05 - COMMUNICATIONS</t>
  </si>
  <si>
    <t>06 - Code Enforcement</t>
  </si>
  <si>
    <t>07 - PUBLIC WORKS ADMINISTRATION</t>
  </si>
  <si>
    <t>09 - SOLID WASTE DISPOSAL</t>
  </si>
  <si>
    <t>13 - PARKS &amp; RECREATION</t>
  </si>
  <si>
    <t>15 - LIBRARY</t>
  </si>
  <si>
    <t>16 - EQUIPMENT MAINTENANCE</t>
  </si>
  <si>
    <t>17 - BUILDINGS &amp; GROUNDS</t>
  </si>
  <si>
    <t>21 - COMMUNITY DEVELOPMENT</t>
  </si>
  <si>
    <t>24 - TOWN CLERK/TAX COLLECTOR</t>
  </si>
  <si>
    <t>25 - WELFARE</t>
  </si>
  <si>
    <t>27 -DEBT SERVICE</t>
  </si>
  <si>
    <t>31-27 WWTF DEBT SERVICE</t>
  </si>
  <si>
    <t>10 - WASTEWATER TREATMENT</t>
  </si>
  <si>
    <t>32 - MEDIA</t>
  </si>
  <si>
    <t>33 - Fire Protection Area</t>
  </si>
  <si>
    <t>20 -Self Supporting Fund</t>
  </si>
  <si>
    <t>01-13-8104-0 Wages - Other Full-Time</t>
  </si>
  <si>
    <t>Parks &amp; Recreation Revolving Fund</t>
  </si>
  <si>
    <t>Grand Total All FUNDS</t>
  </si>
  <si>
    <t>Mifoil Treatment Expendable trust</t>
  </si>
  <si>
    <t xml:space="preserve">Animal Control Officer </t>
  </si>
  <si>
    <t>Fuction Hall (propane)</t>
  </si>
  <si>
    <t>Bridge replacement - Bedford Road (Town portion is $225,808)</t>
  </si>
  <si>
    <t>DW &amp; Woodbury Sidewalk (Design) (Town portion is $21,000)</t>
  </si>
  <si>
    <t>TM adjustment</t>
  </si>
  <si>
    <t>Wage Adjustment</t>
  </si>
  <si>
    <t>Merrimack River Boat Access Mast Rd (Formally Griffin Street Boat Ramp)</t>
  </si>
  <si>
    <t>32-32-8143-0 EMPLOYEE INCENTIVES/Raises</t>
  </si>
  <si>
    <t>Holidays - 10 holidays X 24 hr. X 7personnel</t>
  </si>
  <si>
    <t>Holiday pay:10 holidays X 10 hr X 28 employees</t>
  </si>
  <si>
    <t>Misc.</t>
  </si>
  <si>
    <t>42 - Capital Project Fund</t>
  </si>
  <si>
    <t>Highway Faility project Bond</t>
  </si>
  <si>
    <t>Increase in clothing allowance per contract</t>
  </si>
  <si>
    <t>01-01-8128-0 Retirement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</si>
</sst>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0.00_);[Red]\(&quot;$&quot;#,##0.00\)"/>
    <numFmt numFmtId="41" formatCode="_(* #,##0_);_(* \(#,##0\);_(* &quot;-&quot;_);_(@_)"/>
    <numFmt numFmtId="44" formatCode="_(&quot;$&quot;* #,##0.00_);_(&quot;$&quot;* \(#,##0.00\);_(&quot;$&quot;* &quot;-&quot;??_);_(@_)"/>
    <numFmt numFmtId="43" formatCode="_(* #,##0.00_);_(* \(#,##0.00\);_(* &quot;-&quot;??_);_(@_)"/>
    <numFmt numFmtId="164" formatCode="_(* #,##0.0000_);_(* \(#,##0.0000\);_(* &quot;-&quot;????_);_(@_)"/>
    <numFmt numFmtId="165" formatCode="_(* #,##0.0000_);_(* \(#,##0.0000\);_(* &quot;-&quot;_);_(@_)"/>
    <numFmt numFmtId="166" formatCode="_(* #,##0.000_);_(* \(#,##0.000\);_(* &quot;-&quot;???_);_(@_)"/>
    <numFmt numFmtId="167" formatCode="0_);\(0\)"/>
    <numFmt numFmtId="168" formatCode="_(* #,##0.0_);_(* \(#,##0.0\);_(* &quot;-&quot;?_);_(@_)"/>
    <numFmt numFmtId="169" formatCode="0.0%"/>
    <numFmt numFmtId="170" formatCode="_(* #,##0.00_);_(* \(#,##0.00\);_(* &quot;-&quot;_);_(@_)"/>
    <numFmt numFmtId="171" formatCode="&quot;$&quot;#,##0.00"/>
  </numFmts>
  <fonts count="35" x14ac:knownFonts="1">
    <font>
      <sz val="10"/>
      <name val="Arial"/>
    </font>
    <font>
      <sz val="10"/>
      <name val="Arial"/>
      <family val="2"/>
    </font>
    <font>
      <sz val="10"/>
      <name val="Arial"/>
      <family val="2"/>
    </font>
    <font>
      <u/>
      <sz val="10"/>
      <color indexed="12"/>
      <name val="Arial"/>
      <family val="2"/>
    </font>
    <font>
      <sz val="12"/>
      <name val="Arial"/>
      <family val="2"/>
    </font>
    <font>
      <sz val="8"/>
      <name val="Arial"/>
      <family val="2"/>
    </font>
    <font>
      <b/>
      <sz val="10"/>
      <name val="Times New Roman"/>
      <family val="1"/>
    </font>
    <font>
      <sz val="10"/>
      <name val="Times New Roman"/>
      <family val="1"/>
    </font>
    <font>
      <u val="singleAccounting"/>
      <sz val="10"/>
      <name val="Times New Roman"/>
      <family val="1"/>
    </font>
    <font>
      <b/>
      <u/>
      <sz val="10"/>
      <name val="Times New Roman"/>
      <family val="1"/>
    </font>
    <font>
      <b/>
      <i/>
      <u/>
      <sz val="10"/>
      <name val="Times New Roman"/>
      <family val="1"/>
    </font>
    <font>
      <u/>
      <sz val="10"/>
      <name val="Times New Roman"/>
      <family val="1"/>
    </font>
    <font>
      <b/>
      <i/>
      <sz val="10"/>
      <name val="Times New Roman"/>
      <family val="1"/>
    </font>
    <font>
      <b/>
      <u val="singleAccounting"/>
      <sz val="10"/>
      <name val="Times New Roman"/>
      <family val="1"/>
    </font>
    <font>
      <sz val="8"/>
      <name val="Times New Roman"/>
      <family val="1"/>
    </font>
    <font>
      <sz val="12"/>
      <name val="Times New Roman"/>
      <family val="1"/>
    </font>
    <font>
      <u val="singleAccounting"/>
      <sz val="12"/>
      <name val="Times New Roman"/>
      <family val="1"/>
    </font>
    <font>
      <i/>
      <u/>
      <sz val="10"/>
      <name val="Times New Roman"/>
      <family val="1"/>
    </font>
    <font>
      <sz val="9"/>
      <name val="Times New Roman"/>
      <family val="1"/>
    </font>
    <font>
      <b/>
      <sz val="12"/>
      <name val="Times New Roman"/>
      <family val="1"/>
    </font>
    <font>
      <b/>
      <i/>
      <sz val="12"/>
      <name val="Times New Roman"/>
      <family val="1"/>
    </font>
    <font>
      <b/>
      <u/>
      <sz val="12"/>
      <name val="Times New Roman"/>
      <family val="1"/>
    </font>
    <font>
      <b/>
      <u val="singleAccounting"/>
      <sz val="12"/>
      <name val="Times New Roman"/>
      <family val="1"/>
    </font>
    <font>
      <u val="singleAccounting"/>
      <sz val="10"/>
      <name val="Arial"/>
      <family val="2"/>
    </font>
    <font>
      <b/>
      <sz val="9"/>
      <color indexed="81"/>
      <name val="Tahoma"/>
      <family val="2"/>
    </font>
    <font>
      <sz val="9"/>
      <color indexed="81"/>
      <name val="Tahoma"/>
      <family val="2"/>
    </font>
    <font>
      <strike/>
      <sz val="10"/>
      <name val="Times New Roman"/>
      <family val="1"/>
    </font>
    <font>
      <b/>
      <sz val="14"/>
      <name val="Times New Roman"/>
      <family val="1"/>
    </font>
    <font>
      <sz val="11"/>
      <color theme="1"/>
      <name val="Calibri"/>
      <family val="2"/>
      <scheme val="minor"/>
    </font>
    <font>
      <sz val="11"/>
      <name val="Calibri"/>
      <family val="2"/>
      <scheme val="minor"/>
    </font>
    <font>
      <sz val="10"/>
      <color theme="1"/>
      <name val="Times New Roman"/>
      <family val="1"/>
    </font>
    <font>
      <b/>
      <sz val="11"/>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14">
    <xf numFmtId="0" fontId="0" fillId="0" borderId="0"/>
    <xf numFmtId="43" fontId="2"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0" fontId="28" fillId="0" borderId="0"/>
    <xf numFmtId="0" fontId="2" fillId="0" borderId="0"/>
    <xf numFmtId="0" fontId="2" fillId="0" borderId="0"/>
    <xf numFmtId="0" fontId="2" fillId="0" borderId="0"/>
    <xf numFmtId="0" fontId="2" fillId="0" borderId="0"/>
    <xf numFmtId="0" fontId="1" fillId="0" borderId="0"/>
    <xf numFmtId="0" fontId="4" fillId="0" borderId="0"/>
    <xf numFmtId="0" fontId="2" fillId="0" borderId="0"/>
    <xf numFmtId="9" fontId="1" fillId="0" borderId="0" applyFont="0" applyFill="0" applyBorder="0" applyAlignment="0" applyProtection="0"/>
  </cellStyleXfs>
  <cellXfs count="224">
    <xf numFmtId="0" fontId="0" fillId="0" borderId="0" xfId="0"/>
    <xf numFmtId="41" fontId="6" fillId="0" borderId="0" xfId="0" applyNumberFormat="1" applyFont="1" applyFill="1"/>
    <xf numFmtId="41" fontId="7" fillId="0" borderId="0" xfId="0" applyNumberFormat="1" applyFont="1" applyFill="1"/>
    <xf numFmtId="41" fontId="7" fillId="0" borderId="0" xfId="0" applyNumberFormat="1" applyFont="1" applyFill="1" applyBorder="1"/>
    <xf numFmtId="41" fontId="2" fillId="0" borderId="0" xfId="0" applyNumberFormat="1" applyFont="1" applyFill="1" applyBorder="1"/>
    <xf numFmtId="41" fontId="6" fillId="0" borderId="0" xfId="0" applyNumberFormat="1" applyFont="1" applyFill="1" applyAlignment="1">
      <alignment horizontal="center"/>
    </xf>
    <xf numFmtId="0" fontId="6" fillId="0" borderId="0" xfId="0" applyFont="1" applyFill="1" applyAlignment="1">
      <alignment horizontal="center"/>
    </xf>
    <xf numFmtId="0" fontId="7" fillId="0" borderId="0" xfId="0" applyFont="1" applyFill="1" applyAlignment="1"/>
    <xf numFmtId="0" fontId="7" fillId="0" borderId="0" xfId="0" applyFont="1" applyFill="1"/>
    <xf numFmtId="41" fontId="7" fillId="0" borderId="0" xfId="0" applyNumberFormat="1" applyFont="1" applyFill="1" applyAlignment="1">
      <alignment horizontal="right"/>
    </xf>
    <xf numFmtId="41" fontId="8" fillId="0" borderId="0" xfId="0" applyNumberFormat="1" applyFont="1" applyFill="1" applyAlignment="1">
      <alignment horizontal="right"/>
    </xf>
    <xf numFmtId="0" fontId="10" fillId="0" borderId="0" xfId="0" applyFont="1" applyFill="1" applyAlignment="1">
      <alignment horizontal="center"/>
    </xf>
    <xf numFmtId="41" fontId="8" fillId="0" borderId="0" xfId="0" applyNumberFormat="1" applyFont="1" applyFill="1"/>
    <xf numFmtId="43" fontId="7" fillId="0" borderId="0" xfId="0" applyNumberFormat="1" applyFont="1" applyFill="1"/>
    <xf numFmtId="0" fontId="7" fillId="0" borderId="0" xfId="0" quotePrefix="1" applyFont="1" applyFill="1"/>
    <xf numFmtId="164" fontId="7" fillId="0" borderId="0" xfId="0" applyNumberFormat="1" applyFont="1" applyFill="1"/>
    <xf numFmtId="0" fontId="10" fillId="0" borderId="0" xfId="0" quotePrefix="1" applyFont="1" applyFill="1" applyAlignment="1">
      <alignment horizontal="center"/>
    </xf>
    <xf numFmtId="41" fontId="7" fillId="0" borderId="0" xfId="0" applyNumberFormat="1" applyFont="1" applyFill="1" applyAlignment="1">
      <alignment horizontal="center"/>
    </xf>
    <xf numFmtId="14" fontId="10" fillId="0" borderId="0" xfId="0" applyNumberFormat="1" applyFont="1" applyFill="1" applyAlignment="1">
      <alignment horizontal="center"/>
    </xf>
    <xf numFmtId="41" fontId="11" fillId="0" borderId="0" xfId="0" applyNumberFormat="1" applyFont="1" applyFill="1"/>
    <xf numFmtId="41" fontId="11" fillId="0" borderId="0" xfId="0" applyNumberFormat="1" applyFont="1" applyFill="1" applyAlignment="1">
      <alignment horizontal="right"/>
    </xf>
    <xf numFmtId="0" fontId="6" fillId="0" borderId="0" xfId="0" applyFont="1" applyFill="1"/>
    <xf numFmtId="0" fontId="7" fillId="0" borderId="0" xfId="0" applyFont="1" applyFill="1" applyAlignment="1">
      <alignment horizontal="center"/>
    </xf>
    <xf numFmtId="41" fontId="7" fillId="0" borderId="0" xfId="0" applyNumberFormat="1" applyFont="1" applyAlignment="1">
      <alignment horizontal="right"/>
    </xf>
    <xf numFmtId="43" fontId="7" fillId="0" borderId="0" xfId="0" applyNumberFormat="1" applyFont="1" applyFill="1" applyAlignment="1">
      <alignment horizontal="right"/>
    </xf>
    <xf numFmtId="0" fontId="7" fillId="0" borderId="0" xfId="0" applyFont="1" applyFill="1" applyAlignment="1">
      <alignment horizontal="left"/>
    </xf>
    <xf numFmtId="41" fontId="6" fillId="0" borderId="0" xfId="0" applyNumberFormat="1" applyFont="1" applyFill="1" applyAlignment="1">
      <alignment horizontal="right"/>
    </xf>
    <xf numFmtId="0" fontId="7" fillId="0" borderId="0" xfId="11" applyFont="1" applyFill="1"/>
    <xf numFmtId="41" fontId="7" fillId="0" borderId="0" xfId="11" applyNumberFormat="1" applyFont="1" applyFill="1"/>
    <xf numFmtId="41" fontId="16" fillId="0" borderId="0" xfId="0" applyNumberFormat="1" applyFont="1" applyFill="1"/>
    <xf numFmtId="0" fontId="11" fillId="0" borderId="0" xfId="0" applyFont="1" applyFill="1"/>
    <xf numFmtId="41" fontId="11" fillId="0" borderId="0" xfId="0" applyNumberFormat="1" applyFont="1" applyFill="1" applyAlignment="1">
      <alignment horizontal="center"/>
    </xf>
    <xf numFmtId="0" fontId="7" fillId="0" borderId="0" xfId="0" applyFont="1" applyFill="1" applyAlignment="1">
      <alignment horizontal="right"/>
    </xf>
    <xf numFmtId="41" fontId="8" fillId="0" borderId="0" xfId="0" applyNumberFormat="1" applyFont="1" applyFill="1" applyBorder="1"/>
    <xf numFmtId="164" fontId="7" fillId="0" borderId="0" xfId="11" applyNumberFormat="1" applyFont="1" applyFill="1"/>
    <xf numFmtId="0" fontId="7" fillId="0" borderId="0" xfId="0" applyFont="1" applyFill="1" applyAlignment="1">
      <alignment wrapText="1"/>
    </xf>
    <xf numFmtId="0" fontId="7" fillId="0" borderId="0" xfId="0" quotePrefix="1" applyFont="1" applyFill="1" applyAlignment="1">
      <alignment horizontal="left"/>
    </xf>
    <xf numFmtId="41" fontId="7" fillId="0" borderId="1" xfId="0" applyNumberFormat="1" applyFont="1" applyFill="1" applyBorder="1"/>
    <xf numFmtId="43" fontId="6" fillId="0" borderId="0" xfId="0" applyNumberFormat="1" applyFont="1" applyFill="1" applyAlignment="1">
      <alignment horizontal="center"/>
    </xf>
    <xf numFmtId="0" fontId="11" fillId="0" borderId="0" xfId="0" applyFont="1" applyFill="1" applyAlignment="1">
      <alignment horizontal="right"/>
    </xf>
    <xf numFmtId="43" fontId="7" fillId="0" borderId="0" xfId="0" applyNumberFormat="1" applyFont="1" applyFill="1" applyAlignment="1">
      <alignment horizontal="center"/>
    </xf>
    <xf numFmtId="43" fontId="8" fillId="0" borderId="0" xfId="0" applyNumberFormat="1" applyFont="1" applyFill="1"/>
    <xf numFmtId="41" fontId="7" fillId="0" borderId="0" xfId="0" applyNumberFormat="1" applyFont="1" applyFill="1" applyBorder="1" applyAlignment="1" applyProtection="1"/>
    <xf numFmtId="0" fontId="7" fillId="0" borderId="0" xfId="0" applyFont="1" applyFill="1" applyBorder="1" applyAlignment="1">
      <alignment horizontal="left"/>
    </xf>
    <xf numFmtId="0" fontId="7" fillId="0" borderId="0" xfId="0" applyFont="1" applyFill="1" applyBorder="1" applyAlignment="1">
      <alignment vertical="center"/>
    </xf>
    <xf numFmtId="0" fontId="7" fillId="0" borderId="0" xfId="0" applyNumberFormat="1" applyFont="1" applyFill="1" applyBorder="1" applyAlignment="1">
      <alignment horizontal="left"/>
    </xf>
    <xf numFmtId="41" fontId="7" fillId="0" borderId="0" xfId="0" applyNumberFormat="1" applyFont="1" applyFill="1" applyBorder="1" applyAlignment="1"/>
    <xf numFmtId="41" fontId="7" fillId="0" borderId="0" xfId="0" applyNumberFormat="1" applyFont="1" applyFill="1" applyBorder="1" applyAlignment="1">
      <alignment horizontal="left"/>
    </xf>
    <xf numFmtId="166" fontId="7" fillId="0" borderId="0" xfId="0" applyNumberFormat="1" applyFont="1" applyFill="1"/>
    <xf numFmtId="3" fontId="7" fillId="0" borderId="0" xfId="0" applyNumberFormat="1" applyFont="1" applyFill="1"/>
    <xf numFmtId="0" fontId="15" fillId="0" borderId="0" xfId="11" applyFont="1" applyFill="1"/>
    <xf numFmtId="0" fontId="10" fillId="0" borderId="0" xfId="11" applyFont="1" applyFill="1" applyAlignment="1">
      <alignment horizontal="center"/>
    </xf>
    <xf numFmtId="41" fontId="11" fillId="0" borderId="0" xfId="11" applyNumberFormat="1" applyFont="1" applyFill="1"/>
    <xf numFmtId="41" fontId="7" fillId="0" borderId="0" xfId="0" quotePrefix="1" applyNumberFormat="1" applyFont="1" applyFill="1"/>
    <xf numFmtId="41" fontId="7" fillId="0" borderId="0" xfId="0" applyNumberFormat="1" applyFont="1" applyFill="1" applyAlignment="1">
      <alignment horizontal="left"/>
    </xf>
    <xf numFmtId="41" fontId="10" fillId="0" borderId="0" xfId="0" applyNumberFormat="1" applyFont="1" applyFill="1" applyAlignment="1">
      <alignment horizontal="center"/>
    </xf>
    <xf numFmtId="41" fontId="10" fillId="0" borderId="0" xfId="0" applyNumberFormat="1" applyFont="1" applyFill="1"/>
    <xf numFmtId="41" fontId="8" fillId="0" borderId="0" xfId="11" applyNumberFormat="1" applyFont="1" applyFill="1"/>
    <xf numFmtId="43" fontId="7" fillId="0" borderId="0" xfId="11" applyNumberFormat="1" applyFont="1" applyFill="1"/>
    <xf numFmtId="0" fontId="7" fillId="0" borderId="0" xfId="11" applyFont="1" applyFill="1" applyAlignment="1">
      <alignment horizontal="left"/>
    </xf>
    <xf numFmtId="12" fontId="11" fillId="0" borderId="0" xfId="11" applyNumberFormat="1" applyFont="1" applyFill="1" applyAlignment="1">
      <alignment horizontal="right"/>
    </xf>
    <xf numFmtId="0" fontId="12" fillId="0" borderId="0" xfId="0" applyFont="1" applyFill="1" applyAlignment="1">
      <alignment horizontal="center"/>
    </xf>
    <xf numFmtId="49" fontId="6" fillId="0" borderId="0" xfId="10" applyNumberFormat="1" applyFont="1" applyFill="1"/>
    <xf numFmtId="0" fontId="7" fillId="0" borderId="0" xfId="0" applyFont="1" applyFill="1" applyBorder="1"/>
    <xf numFmtId="0" fontId="10" fillId="0" borderId="0" xfId="0" applyFont="1" applyFill="1" applyBorder="1" applyAlignment="1">
      <alignment horizontal="center"/>
    </xf>
    <xf numFmtId="0" fontId="7" fillId="0" borderId="0" xfId="0" applyFont="1" applyFill="1" applyBorder="1" applyAlignment="1"/>
    <xf numFmtId="43" fontId="7" fillId="0" borderId="0" xfId="0" applyNumberFormat="1" applyFont="1" applyFill="1" applyBorder="1"/>
    <xf numFmtId="41" fontId="7" fillId="0" borderId="0" xfId="2" applyNumberFormat="1" applyFont="1" applyFill="1"/>
    <xf numFmtId="0" fontId="18" fillId="0" borderId="0" xfId="0" applyFont="1" applyFill="1" applyAlignment="1"/>
    <xf numFmtId="3" fontId="11" fillId="0" borderId="0" xfId="0" applyNumberFormat="1" applyFont="1" applyFill="1"/>
    <xf numFmtId="1" fontId="7" fillId="0" borderId="0" xfId="0" applyNumberFormat="1" applyFont="1" applyFill="1"/>
    <xf numFmtId="169" fontId="7" fillId="0" borderId="0" xfId="13" applyNumberFormat="1" applyFont="1" applyFill="1" applyAlignment="1">
      <alignment horizontal="left"/>
    </xf>
    <xf numFmtId="0" fontId="17" fillId="0" borderId="0" xfId="0" applyFont="1" applyFill="1" applyBorder="1" applyAlignment="1">
      <alignment horizontal="center"/>
    </xf>
    <xf numFmtId="41" fontId="11" fillId="0" borderId="0" xfId="0" applyNumberFormat="1" applyFont="1" applyFill="1" applyBorder="1"/>
    <xf numFmtId="41" fontId="7" fillId="0" borderId="0" xfId="0" applyNumberFormat="1" applyFont="1" applyFill="1" applyBorder="1" applyAlignment="1">
      <alignment horizontal="center"/>
    </xf>
    <xf numFmtId="41" fontId="7" fillId="0" borderId="0" xfId="0" applyNumberFormat="1" applyFont="1" applyFill="1" applyBorder="1" applyAlignment="1">
      <alignment horizontal="right"/>
    </xf>
    <xf numFmtId="41" fontId="7" fillId="0" borderId="0" xfId="2" applyNumberFormat="1" applyFont="1" applyFill="1" applyBorder="1"/>
    <xf numFmtId="38" fontId="7" fillId="0" borderId="0" xfId="0" applyNumberFormat="1" applyFont="1" applyFill="1"/>
    <xf numFmtId="0" fontId="9" fillId="0" borderId="0" xfId="0" applyFont="1" applyFill="1" applyAlignment="1">
      <alignment horizontal="center"/>
    </xf>
    <xf numFmtId="164" fontId="7" fillId="0" borderId="0" xfId="0" applyNumberFormat="1" applyFont="1" applyFill="1" applyBorder="1"/>
    <xf numFmtId="37" fontId="7" fillId="0" borderId="0" xfId="0" applyNumberFormat="1" applyFont="1" applyFill="1"/>
    <xf numFmtId="3" fontId="7" fillId="0" borderId="0" xfId="0" applyNumberFormat="1" applyFont="1" applyFill="1" applyBorder="1"/>
    <xf numFmtId="41" fontId="13" fillId="0" borderId="0" xfId="0" applyNumberFormat="1" applyFont="1" applyFill="1"/>
    <xf numFmtId="41" fontId="8" fillId="0" borderId="0" xfId="0" applyNumberFormat="1" applyFont="1" applyFill="1" applyAlignment="1">
      <alignment horizontal="center"/>
    </xf>
    <xf numFmtId="0" fontId="9" fillId="0" borderId="0" xfId="0" applyFont="1" applyFill="1" applyBorder="1" applyAlignment="1">
      <alignment horizontal="center"/>
    </xf>
    <xf numFmtId="14" fontId="9" fillId="0" borderId="0" xfId="0" applyNumberFormat="1" applyFont="1" applyFill="1" applyBorder="1" applyAlignment="1">
      <alignment horizontal="center"/>
    </xf>
    <xf numFmtId="3" fontId="7" fillId="0" borderId="0" xfId="0" applyNumberFormat="1" applyFont="1" applyFill="1" applyBorder="1" applyAlignment="1" applyProtection="1">
      <alignment horizontal="left"/>
      <protection locked="0"/>
    </xf>
    <xf numFmtId="10" fontId="7" fillId="0" borderId="0" xfId="0" applyNumberFormat="1" applyFont="1" applyFill="1"/>
    <xf numFmtId="0" fontId="11" fillId="0" borderId="0" xfId="0" applyFont="1" applyFill="1" applyAlignment="1">
      <alignment horizontal="left"/>
    </xf>
    <xf numFmtId="0" fontId="10" fillId="0" borderId="0" xfId="0" quotePrefix="1" applyFont="1" applyFill="1" applyBorder="1" applyAlignment="1">
      <alignment horizontal="center"/>
    </xf>
    <xf numFmtId="0" fontId="19" fillId="0" borderId="0" xfId="0" applyFont="1" applyAlignment="1">
      <alignment horizontal="center"/>
    </xf>
    <xf numFmtId="0" fontId="19" fillId="0" borderId="0" xfId="0" applyFont="1"/>
    <xf numFmtId="0" fontId="19" fillId="0" borderId="0" xfId="0" applyFont="1" applyAlignment="1">
      <alignment horizontal="right"/>
    </xf>
    <xf numFmtId="0" fontId="21" fillId="0" borderId="0" xfId="0" applyFont="1" applyAlignment="1">
      <alignment horizontal="right"/>
    </xf>
    <xf numFmtId="0" fontId="21" fillId="0" borderId="0" xfId="0" applyFont="1" applyAlignment="1">
      <alignment horizontal="center"/>
    </xf>
    <xf numFmtId="14" fontId="21" fillId="0" borderId="0" xfId="0" applyNumberFormat="1" applyFont="1" applyAlignment="1">
      <alignment horizontal="center"/>
    </xf>
    <xf numFmtId="0" fontId="21" fillId="0" borderId="0" xfId="0" applyFont="1" applyFill="1" applyAlignment="1">
      <alignment horizontal="center"/>
    </xf>
    <xf numFmtId="41" fontId="19" fillId="0" borderId="0" xfId="0" applyNumberFormat="1" applyFont="1"/>
    <xf numFmtId="41" fontId="19" fillId="0" borderId="0" xfId="0" applyNumberFormat="1" applyFont="1" applyFill="1"/>
    <xf numFmtId="41" fontId="19" fillId="0" borderId="0" xfId="0" applyNumberFormat="1" applyFont="1" applyAlignment="1">
      <alignment vertical="justify"/>
    </xf>
    <xf numFmtId="0" fontId="19" fillId="0" borderId="0" xfId="0" applyFont="1" applyBorder="1"/>
    <xf numFmtId="41" fontId="21" fillId="0" borderId="0" xfId="0" applyNumberFormat="1" applyFont="1"/>
    <xf numFmtId="41" fontId="21" fillId="0" borderId="0" xfId="0" applyNumberFormat="1" applyFont="1" applyAlignment="1">
      <alignment vertical="justify"/>
    </xf>
    <xf numFmtId="41" fontId="21" fillId="0" borderId="0" xfId="0" applyNumberFormat="1" applyFont="1" applyFill="1"/>
    <xf numFmtId="41" fontId="22" fillId="0" borderId="0" xfId="0" applyNumberFormat="1" applyFont="1" applyFill="1"/>
    <xf numFmtId="41" fontId="22" fillId="0" borderId="0" xfId="0" applyNumberFormat="1" applyFont="1"/>
    <xf numFmtId="0" fontId="20" fillId="0" borderId="0" xfId="0" applyFont="1" applyAlignment="1"/>
    <xf numFmtId="0" fontId="20" fillId="0" borderId="0" xfId="0" applyFont="1" applyFill="1" applyAlignment="1"/>
    <xf numFmtId="41" fontId="20" fillId="0" borderId="0" xfId="0" applyNumberFormat="1" applyFont="1" applyAlignment="1"/>
    <xf numFmtId="41" fontId="20" fillId="0" borderId="0" xfId="0" applyNumberFormat="1" applyFont="1" applyFill="1" applyAlignment="1"/>
    <xf numFmtId="165" fontId="7" fillId="0" borderId="0" xfId="0" applyNumberFormat="1" applyFont="1" applyFill="1"/>
    <xf numFmtId="0" fontId="6" fillId="0" borderId="0" xfId="0" applyFont="1" applyFill="1" applyAlignment="1"/>
    <xf numFmtId="0" fontId="6" fillId="0" borderId="0" xfId="0" applyNumberFormat="1" applyFont="1" applyFill="1" applyBorder="1" applyAlignment="1">
      <alignment horizontal="left"/>
    </xf>
    <xf numFmtId="41" fontId="7" fillId="0" borderId="0" xfId="4" applyNumberFormat="1" applyFont="1" applyFill="1" applyBorder="1"/>
    <xf numFmtId="0" fontId="7" fillId="0" borderId="0" xfId="4" applyFont="1" applyFill="1" applyBorder="1"/>
    <xf numFmtId="43" fontId="7" fillId="0" borderId="0" xfId="4" applyNumberFormat="1" applyFont="1" applyFill="1" applyBorder="1"/>
    <xf numFmtId="41" fontId="8" fillId="0" borderId="0" xfId="4" applyNumberFormat="1" applyFont="1" applyFill="1" applyBorder="1"/>
    <xf numFmtId="164" fontId="7" fillId="0" borderId="0" xfId="4" applyNumberFormat="1" applyFont="1" applyFill="1" applyBorder="1"/>
    <xf numFmtId="0" fontId="10" fillId="0" borderId="0" xfId="4" applyFont="1" applyFill="1" applyBorder="1" applyAlignment="1">
      <alignment horizontal="center"/>
    </xf>
    <xf numFmtId="0" fontId="7" fillId="0" borderId="0" xfId="4" applyFont="1" applyFill="1" applyBorder="1" applyAlignment="1"/>
    <xf numFmtId="0" fontId="7" fillId="0" borderId="0" xfId="4" quotePrefix="1" applyFont="1" applyFill="1" applyBorder="1"/>
    <xf numFmtId="14" fontId="10" fillId="0" borderId="0" xfId="4" applyNumberFormat="1" applyFont="1" applyFill="1" applyBorder="1" applyAlignment="1">
      <alignment horizontal="center"/>
    </xf>
    <xf numFmtId="0" fontId="7" fillId="0" borderId="0" xfId="0" applyNumberFormat="1" applyFont="1" applyFill="1"/>
    <xf numFmtId="0" fontId="15" fillId="0" borderId="0" xfId="0" applyFont="1"/>
    <xf numFmtId="0" fontId="19" fillId="0" borderId="0" xfId="0" applyFont="1" applyFill="1"/>
    <xf numFmtId="0" fontId="15" fillId="0" borderId="0" xfId="0" applyFont="1" applyFill="1"/>
    <xf numFmtId="170" fontId="7" fillId="0" borderId="0" xfId="4" applyNumberFormat="1" applyFont="1" applyFill="1" applyBorder="1"/>
    <xf numFmtId="0" fontId="10" fillId="0" borderId="0" xfId="0" applyFont="1" applyFill="1" applyAlignment="1">
      <alignment horizontal="left"/>
    </xf>
    <xf numFmtId="41" fontId="7" fillId="0" borderId="0" xfId="4" applyNumberFormat="1" applyFont="1" applyFill="1" applyBorder="1" applyProtection="1">
      <protection locked="0"/>
    </xf>
    <xf numFmtId="0" fontId="7" fillId="0" borderId="0" xfId="4" applyFont="1" applyFill="1" applyBorder="1" applyAlignment="1">
      <alignment horizontal="left"/>
    </xf>
    <xf numFmtId="41" fontId="9" fillId="0" borderId="0" xfId="0" applyNumberFormat="1" applyFont="1" applyFill="1" applyAlignment="1">
      <alignment horizontal="center"/>
    </xf>
    <xf numFmtId="41" fontId="17" fillId="0" borderId="0" xfId="0" applyNumberFormat="1" applyFont="1" applyFill="1" applyAlignment="1">
      <alignment horizontal="center"/>
    </xf>
    <xf numFmtId="41" fontId="7" fillId="0" borderId="0" xfId="0" applyNumberFormat="1" applyFont="1" applyFill="1" applyBorder="1" applyAlignment="1" applyProtection="1">
      <protection locked="0"/>
    </xf>
    <xf numFmtId="41" fontId="11" fillId="0" borderId="0" xfId="0" applyNumberFormat="1" applyFont="1" applyFill="1" applyBorder="1" applyAlignment="1" applyProtection="1">
      <protection locked="0"/>
    </xf>
    <xf numFmtId="2" fontId="7" fillId="0" borderId="0" xfId="0" applyNumberFormat="1" applyFont="1" applyFill="1"/>
    <xf numFmtId="170" fontId="7" fillId="0" borderId="0" xfId="0" applyNumberFormat="1" applyFont="1" applyFill="1"/>
    <xf numFmtId="41" fontId="11" fillId="0" borderId="0" xfId="0" applyNumberFormat="1" applyFont="1" applyFill="1" applyBorder="1" applyAlignment="1">
      <alignment horizontal="center"/>
    </xf>
    <xf numFmtId="0" fontId="2" fillId="0" borderId="0" xfId="0" applyFont="1" applyFill="1"/>
    <xf numFmtId="8" fontId="2" fillId="0" borderId="0" xfId="7" applyNumberFormat="1" applyFont="1" applyFill="1"/>
    <xf numFmtId="0" fontId="14" fillId="0" borderId="0" xfId="0" applyFont="1" applyFill="1"/>
    <xf numFmtId="0" fontId="19" fillId="2" borderId="0" xfId="0" applyFont="1" applyFill="1"/>
    <xf numFmtId="41" fontId="19" fillId="2" borderId="0" xfId="0" applyNumberFormat="1" applyFont="1" applyFill="1"/>
    <xf numFmtId="41" fontId="19" fillId="2" borderId="0" xfId="0" applyNumberFormat="1" applyFont="1" applyFill="1" applyAlignment="1">
      <alignment vertical="justify"/>
    </xf>
    <xf numFmtId="0" fontId="19" fillId="2" borderId="0" xfId="0" applyFont="1" applyFill="1" applyAlignment="1">
      <alignment horizontal="left"/>
    </xf>
    <xf numFmtId="41" fontId="22" fillId="2" borderId="0" xfId="0" applyNumberFormat="1" applyFont="1" applyFill="1"/>
    <xf numFmtId="41" fontId="21" fillId="2" borderId="0" xfId="0" applyNumberFormat="1" applyFont="1" applyFill="1" applyAlignment="1">
      <alignment vertical="justify"/>
    </xf>
    <xf numFmtId="167" fontId="7" fillId="0" borderId="0" xfId="0" applyNumberFormat="1" applyFont="1" applyFill="1"/>
    <xf numFmtId="0" fontId="2" fillId="0" borderId="0" xfId="8" applyFont="1" applyFill="1"/>
    <xf numFmtId="43" fontId="7" fillId="0" borderId="0" xfId="1" applyFont="1" applyFill="1" applyBorder="1"/>
    <xf numFmtId="41" fontId="7" fillId="0" borderId="0" xfId="5" applyNumberFormat="1" applyFont="1" applyFill="1"/>
    <xf numFmtId="41" fontId="7" fillId="0" borderId="0" xfId="5" applyNumberFormat="1" applyFont="1" applyFill="1" applyAlignment="1">
      <alignment horizontal="center" vertical="center"/>
    </xf>
    <xf numFmtId="41" fontId="8" fillId="0" borderId="0" xfId="5" applyNumberFormat="1" applyFont="1" applyFill="1"/>
    <xf numFmtId="41" fontId="8" fillId="0" borderId="0" xfId="5" applyNumberFormat="1" applyFont="1" applyFill="1" applyAlignment="1">
      <alignment horizontal="center" vertical="center"/>
    </xf>
    <xf numFmtId="3" fontId="8" fillId="0" borderId="0" xfId="0" applyNumberFormat="1" applyFont="1" applyFill="1"/>
    <xf numFmtId="0" fontId="11" fillId="0" borderId="0" xfId="0" applyFont="1" applyFill="1" applyAlignment="1">
      <alignment horizontal="center"/>
    </xf>
    <xf numFmtId="9" fontId="7" fillId="0" borderId="0" xfId="0" applyNumberFormat="1" applyFont="1" applyFill="1"/>
    <xf numFmtId="37" fontId="7" fillId="0" borderId="0" xfId="0" applyNumberFormat="1" applyFont="1" applyFill="1" applyBorder="1"/>
    <xf numFmtId="41" fontId="7" fillId="0" borderId="0" xfId="0" applyNumberFormat="1" applyFont="1" applyFill="1" applyAlignment="1">
      <alignment wrapText="1"/>
    </xf>
    <xf numFmtId="41" fontId="8" fillId="0" borderId="0" xfId="0" applyNumberFormat="1" applyFont="1" applyFill="1" applyBorder="1" applyAlignment="1">
      <alignment horizontal="center"/>
    </xf>
    <xf numFmtId="0" fontId="29" fillId="0" borderId="0" xfId="5" applyFont="1" applyFill="1"/>
    <xf numFmtId="41" fontId="26" fillId="0" borderId="0" xfId="4" applyNumberFormat="1" applyFont="1" applyFill="1" applyBorder="1"/>
    <xf numFmtId="0" fontId="26" fillId="0" borderId="0" xfId="4" applyFont="1" applyFill="1" applyBorder="1"/>
    <xf numFmtId="41" fontId="7" fillId="0" borderId="0" xfId="0" applyNumberFormat="1" applyFont="1" applyFill="1" applyAlignment="1">
      <alignment horizontal="center" wrapText="1"/>
    </xf>
    <xf numFmtId="41" fontId="11" fillId="0" borderId="0" xfId="3" applyNumberFormat="1" applyFont="1" applyFill="1" applyAlignment="1" applyProtection="1"/>
    <xf numFmtId="168" fontId="7" fillId="0" borderId="0" xfId="0" applyNumberFormat="1" applyFont="1" applyFill="1"/>
    <xf numFmtId="41" fontId="7" fillId="3" borderId="0" xfId="0" applyNumberFormat="1" applyFont="1" applyFill="1"/>
    <xf numFmtId="43" fontId="6" fillId="0" borderId="0" xfId="0" applyNumberFormat="1" applyFont="1" applyFill="1"/>
    <xf numFmtId="171" fontId="7" fillId="0" borderId="0" xfId="0" applyNumberFormat="1" applyFont="1" applyFill="1"/>
    <xf numFmtId="0" fontId="30" fillId="0" borderId="0" xfId="0" applyFont="1"/>
    <xf numFmtId="0" fontId="31" fillId="0" borderId="0" xfId="0" applyFont="1"/>
    <xf numFmtId="0" fontId="32" fillId="0" borderId="0" xfId="0" applyFont="1"/>
    <xf numFmtId="0" fontId="33" fillId="0" borderId="0" xfId="0" applyFont="1"/>
    <xf numFmtId="44" fontId="0" fillId="0" borderId="0" xfId="0" applyNumberFormat="1"/>
    <xf numFmtId="3" fontId="7" fillId="0" borderId="0" xfId="0" applyNumberFormat="1" applyFont="1" applyFill="1" applyAlignment="1">
      <alignment horizontal="right"/>
    </xf>
    <xf numFmtId="3" fontId="8" fillId="0" borderId="0" xfId="0" applyNumberFormat="1" applyFont="1" applyFill="1" applyAlignment="1">
      <alignment horizontal="right"/>
    </xf>
    <xf numFmtId="3" fontId="34" fillId="0" borderId="0" xfId="0" applyNumberFormat="1" applyFont="1"/>
    <xf numFmtId="3" fontId="32" fillId="0" borderId="0" xfId="0" applyNumberFormat="1" applyFont="1"/>
    <xf numFmtId="41" fontId="23" fillId="0" borderId="0" xfId="0" applyNumberFormat="1" applyFont="1" applyFill="1" applyBorder="1"/>
    <xf numFmtId="41" fontId="7" fillId="0" borderId="0" xfId="4" applyNumberFormat="1" applyFont="1" applyFill="1"/>
    <xf numFmtId="0" fontId="7" fillId="0" borderId="0" xfId="9" applyFont="1" applyFill="1"/>
    <xf numFmtId="13" fontId="7" fillId="0" borderId="0" xfId="0" applyNumberFormat="1" applyFont="1" applyFill="1" applyBorder="1"/>
    <xf numFmtId="0" fontId="0" fillId="0" borderId="0" xfId="0" applyFill="1"/>
    <xf numFmtId="8" fontId="7" fillId="0" borderId="0" xfId="0" applyNumberFormat="1" applyFont="1" applyFill="1"/>
    <xf numFmtId="0" fontId="7" fillId="0" borderId="0" xfId="6" applyFont="1" applyFill="1"/>
    <xf numFmtId="0" fontId="7" fillId="0" borderId="0" xfId="12" applyFont="1" applyFill="1"/>
    <xf numFmtId="41" fontId="7" fillId="0" borderId="0" xfId="6" applyNumberFormat="1" applyFont="1" applyFill="1"/>
    <xf numFmtId="43" fontId="7" fillId="0" borderId="0" xfId="4" applyNumberFormat="1" applyFont="1" applyFill="1"/>
    <xf numFmtId="41" fontId="7" fillId="0" borderId="0" xfId="4" applyNumberFormat="1" applyFont="1" applyFill="1" applyAlignment="1">
      <alignment horizontal="left"/>
    </xf>
    <xf numFmtId="41" fontId="7" fillId="0" borderId="0" xfId="4" applyNumberFormat="1" applyFont="1" applyFill="1" applyAlignment="1">
      <alignment horizontal="right"/>
    </xf>
    <xf numFmtId="41" fontId="8" fillId="0" borderId="0" xfId="4" applyNumberFormat="1" applyFont="1" applyFill="1"/>
    <xf numFmtId="41" fontId="10" fillId="0" borderId="0" xfId="4" applyNumberFormat="1" applyFont="1" applyFill="1" applyAlignment="1">
      <alignment horizontal="center"/>
    </xf>
    <xf numFmtId="41" fontId="6" fillId="0" borderId="0" xfId="4" applyNumberFormat="1" applyFont="1" applyFill="1"/>
    <xf numFmtId="41" fontId="6" fillId="0" borderId="0" xfId="4" applyNumberFormat="1" applyFont="1" applyFill="1" applyAlignment="1">
      <alignment horizontal="right"/>
    </xf>
    <xf numFmtId="41" fontId="12" fillId="0" borderId="0" xfId="4" applyNumberFormat="1" applyFont="1" applyFill="1" applyAlignment="1">
      <alignment horizontal="center"/>
    </xf>
    <xf numFmtId="41" fontId="7" fillId="0" borderId="0" xfId="0" quotePrefix="1" applyNumberFormat="1" applyFont="1" applyFill="1" applyAlignment="1">
      <alignment horizontal="left"/>
    </xf>
    <xf numFmtId="0" fontId="7" fillId="0" borderId="0" xfId="5" applyFont="1" applyFill="1"/>
    <xf numFmtId="8" fontId="2" fillId="0" borderId="0" xfId="0" applyNumberFormat="1" applyFont="1" applyFill="1"/>
    <xf numFmtId="1" fontId="2" fillId="0" borderId="0" xfId="0" applyNumberFormat="1" applyFont="1" applyFill="1"/>
    <xf numFmtId="3" fontId="28" fillId="0" borderId="0" xfId="0" applyNumberFormat="1" applyFont="1"/>
    <xf numFmtId="3" fontId="2" fillId="0" borderId="0" xfId="0" applyNumberFormat="1" applyFont="1"/>
    <xf numFmtId="14" fontId="10" fillId="0" borderId="0" xfId="0" applyNumberFormat="1" applyFont="1" applyFill="1" applyBorder="1" applyAlignment="1">
      <alignment horizontal="center"/>
    </xf>
    <xf numFmtId="41" fontId="10" fillId="0" borderId="0" xfId="0" applyNumberFormat="1" applyFont="1" applyFill="1" applyBorder="1" applyAlignment="1">
      <alignment horizontal="center"/>
    </xf>
    <xf numFmtId="0" fontId="27" fillId="0" borderId="0" xfId="0" applyFont="1" applyFill="1" applyAlignment="1"/>
    <xf numFmtId="41" fontId="6" fillId="0" borderId="0" xfId="0" applyNumberFormat="1" applyFont="1" applyFill="1" applyAlignment="1"/>
    <xf numFmtId="41" fontId="27" fillId="0" borderId="0" xfId="0" applyNumberFormat="1" applyFont="1" applyFill="1" applyAlignment="1"/>
    <xf numFmtId="0" fontId="27" fillId="0" borderId="0" xfId="0" applyFont="1" applyFill="1" applyBorder="1" applyAlignment="1"/>
    <xf numFmtId="41" fontId="12" fillId="0" borderId="0" xfId="0" applyNumberFormat="1" applyFont="1" applyFill="1"/>
    <xf numFmtId="41" fontId="27" fillId="0" borderId="0" xfId="0" applyNumberFormat="1" applyFont="1" applyFill="1"/>
    <xf numFmtId="0" fontId="7" fillId="0" borderId="0" xfId="0" applyFont="1" applyFill="1"/>
    <xf numFmtId="0" fontId="7" fillId="0" borderId="0" xfId="0" applyFont="1" applyFill="1"/>
    <xf numFmtId="41" fontId="8" fillId="0" borderId="0" xfId="0" applyNumberFormat="1" applyFont="1" applyFill="1" applyAlignment="1">
      <alignment horizontal="center"/>
    </xf>
    <xf numFmtId="43" fontId="7" fillId="0" borderId="1" xfId="0" applyNumberFormat="1" applyFont="1" applyFill="1" applyBorder="1"/>
    <xf numFmtId="41" fontId="1" fillId="0" borderId="0" xfId="0" applyNumberFormat="1" applyFont="1" applyFill="1" applyBorder="1"/>
    <xf numFmtId="0" fontId="7" fillId="0" borderId="0" xfId="0" applyFont="1" applyFill="1"/>
    <xf numFmtId="41" fontId="8" fillId="0" borderId="0" xfId="0" applyNumberFormat="1" applyFont="1" applyFill="1" applyAlignment="1">
      <alignment horizontal="center"/>
    </xf>
    <xf numFmtId="0" fontId="10" fillId="0" borderId="0" xfId="0" applyFont="1" applyFill="1" applyAlignment="1">
      <alignment horizontal="center"/>
    </xf>
    <xf numFmtId="0" fontId="7" fillId="0" borderId="0" xfId="0" applyFont="1" applyFill="1"/>
    <xf numFmtId="0" fontId="6" fillId="0" borderId="0" xfId="0" applyFont="1" applyFill="1" applyAlignment="1">
      <alignment horizontal="center"/>
    </xf>
    <xf numFmtId="0" fontId="7" fillId="0" borderId="0" xfId="0" applyFont="1" applyFill="1"/>
    <xf numFmtId="41" fontId="8" fillId="0" borderId="0" xfId="0" applyNumberFormat="1" applyFont="1" applyFill="1" applyAlignment="1">
      <alignment horizontal="center"/>
    </xf>
    <xf numFmtId="0" fontId="19" fillId="0" borderId="0" xfId="0" applyFont="1" applyAlignment="1">
      <alignment horizontal="center"/>
    </xf>
    <xf numFmtId="0" fontId="20" fillId="0" borderId="0" xfId="0" applyFont="1" applyAlignment="1">
      <alignment horizontal="center"/>
    </xf>
    <xf numFmtId="0" fontId="8" fillId="0" borderId="0" xfId="0" applyFont="1" applyFill="1" applyAlignment="1">
      <alignment horizontal="center"/>
    </xf>
    <xf numFmtId="0" fontId="10" fillId="0" borderId="0" xfId="0" applyFont="1" applyFill="1" applyAlignment="1">
      <alignment horizontal="center"/>
    </xf>
  </cellXfs>
  <cellStyles count="14">
    <cellStyle name="Comma 2" xfId="1"/>
    <cellStyle name="Currency" xfId="2" builtinId="4"/>
    <cellStyle name="Hyperlink" xfId="3" builtinId="8"/>
    <cellStyle name="Normal" xfId="0" builtinId="0"/>
    <cellStyle name="Normal 2" xfId="4"/>
    <cellStyle name="Normal 3" xfId="5"/>
    <cellStyle name="Normal_03-fire" xfId="6"/>
    <cellStyle name="Normal_04-police" xfId="7"/>
    <cellStyle name="Normal_08-highway" xfId="8"/>
    <cellStyle name="Normal_10-wastewater" xfId="9"/>
    <cellStyle name="Normal_budget detail 2006-07" xfId="10"/>
    <cellStyle name="Normal_Highway Parks Solid Waste EquipMaint Budgets" xfId="11"/>
    <cellStyle name="Normal_iaff" xfId="12"/>
    <cellStyle name="Percent"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micali\My%20Documents\budget%202010-11\voted\budget%20detail%20201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budget%20detail%202005-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1\bob\LOCALS~1\Temp\Administrator\Local%20Settings\Temporary%20Internet%20Files\Content.IE5\YNCLY5G7\budget%20detail%202005-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aul.MERRNET\My%20Documents\budget%202009-10\voted\Approved%20budget%20detail%202009-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6-code enforcement"/>
      <sheetName val="07-pub works"/>
      <sheetName val="08-highway"/>
      <sheetName val="09-solid waste"/>
      <sheetName val="11-park mntc"/>
      <sheetName val="13-parks &amp; rec"/>
      <sheetName val="15-library"/>
      <sheetName val="16-equip mntc"/>
      <sheetName val="17-bldg &amp; grounds"/>
      <sheetName val="21-comm dev"/>
      <sheetName val="24-tax coll"/>
      <sheetName val="25-welfare"/>
      <sheetName val="27-debt svc"/>
      <sheetName val="10-wastewater"/>
      <sheetName val="32-Media"/>
      <sheetName val="33-Fire Protection -other"/>
      <sheetName val="-other SPECIAL REVENUE FUNDING"/>
      <sheetName val="SUMMARY BY FUND"/>
      <sheetName val="FUND"/>
      <sheetName val="OBJECT"/>
      <sheetName val="TAX RATE"/>
      <sheetName val="CRF"/>
      <sheetName val="revenue "/>
      <sheetName val="revenue summary(2)"/>
      <sheetName val="Revenue Summary by Fu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gr adj"/>
      <sheetName val="bos adj"/>
      <sheetName val="mun tax rate"/>
      <sheetName val="summary-fund"/>
      <sheetName val="default"/>
      <sheetName val="crf"/>
      <sheetName val="union summary"/>
      <sheetName val="afscme2986"/>
      <sheetName val="ibpo"/>
      <sheetName val="ibpo (2)"/>
      <sheetName val="iaff"/>
      <sheetName val="teamsters"/>
      <sheetName val="afscme 93"/>
      <sheetName val="Sheet1"/>
      <sheetName val="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un tax rate"/>
      <sheetName val="voted"/>
      <sheetName val="summary-fund"/>
      <sheetName val="default"/>
      <sheetName val="crf"/>
      <sheetName val="ms7-appr"/>
      <sheetName val="ms7-rev"/>
      <sheetName val="afscme2986"/>
      <sheetName val="work1"/>
      <sheetName val="work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1-park mntc"/>
      <sheetName val="13-parks &amp; rec"/>
      <sheetName val="15-library"/>
      <sheetName val="16-equip mntc"/>
      <sheetName val="17-bldg &amp; grounds"/>
      <sheetName val="21-comm dev"/>
      <sheetName val="24-tax coll"/>
      <sheetName val="25-welfare"/>
      <sheetName val="27-debt svc"/>
      <sheetName val="10-wastewater"/>
      <sheetName val="32-Media"/>
      <sheetName val="33-Fire Protection -other"/>
      <sheetName val="-other SPECIAL REVENUE FUNDING"/>
      <sheetName val="FUND"/>
      <sheetName val="OBJECT"/>
      <sheetName val="ms-6 approp"/>
      <sheetName val="LINE ITEM"/>
      <sheetName val="summary-dept"/>
      <sheetName val="SUMMARY BY FUND"/>
      <sheetName val="TAX RATE"/>
      <sheetName val="CRF"/>
      <sheetName val="council adjustments"/>
      <sheetName val="MS -6 Rev"/>
      <sheetName val="revenu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Y46"/>
  <sheetViews>
    <sheetView tabSelected="1" view="pageBreakPreview" zoomScaleNormal="100" zoomScaleSheetLayoutView="100" workbookViewId="0">
      <selection sqref="A1:Y1"/>
    </sheetView>
  </sheetViews>
  <sheetFormatPr defaultRowHeight="15.6" x14ac:dyDescent="0.3"/>
  <cols>
    <col min="1" max="1" width="41.5546875" style="123" customWidth="1"/>
    <col min="2" max="2" width="9.77734375" style="123" hidden="1" customWidth="1"/>
    <col min="3" max="5" width="11.44140625" style="123" hidden="1" customWidth="1"/>
    <col min="6" max="6" width="9.77734375" style="123" hidden="1" customWidth="1"/>
    <col min="7" max="7" width="13.5546875" style="123" hidden="1" customWidth="1"/>
    <col min="8" max="8" width="9.77734375" style="123" hidden="1" customWidth="1"/>
    <col min="9" max="9" width="13.44140625" style="124" hidden="1" customWidth="1"/>
    <col min="10" max="10" width="11.44140625" style="125" hidden="1" customWidth="1"/>
    <col min="11" max="11" width="9.77734375" style="125" hidden="1" customWidth="1"/>
    <col min="12" max="12" width="12.21875" style="125" hidden="1" customWidth="1"/>
    <col min="13" max="13" width="11.44140625" style="125" hidden="1" customWidth="1"/>
    <col min="14" max="14" width="11.44140625" style="123" bestFit="1" customWidth="1"/>
    <col min="15" max="15" width="12.21875" style="123" hidden="1" customWidth="1"/>
    <col min="16" max="16" width="11.44140625" style="123" hidden="1" customWidth="1"/>
    <col min="17" max="17" width="11.44140625" style="123" bestFit="1" customWidth="1"/>
    <col min="18" max="18" width="12.21875" style="123" hidden="1" customWidth="1"/>
    <col min="19" max="19" width="11.77734375" style="123" hidden="1" customWidth="1"/>
    <col min="20" max="20" width="11.5546875" style="123" bestFit="1" customWidth="1"/>
    <col min="21" max="21" width="12.44140625" style="123" bestFit="1" customWidth="1"/>
    <col min="22" max="22" width="12.109375" style="123" bestFit="1" customWidth="1"/>
    <col min="23" max="23" width="11.5546875" style="123" bestFit="1" customWidth="1"/>
    <col min="24" max="24" width="12.44140625" style="123" bestFit="1" customWidth="1"/>
    <col min="25" max="25" width="12.33203125" style="123" bestFit="1" customWidth="1"/>
    <col min="26" max="16384" width="8.88671875" style="123"/>
  </cols>
  <sheetData>
    <row r="1" spans="1:25" x14ac:dyDescent="0.3">
      <c r="A1" s="220" t="s">
        <v>1973</v>
      </c>
      <c r="B1" s="220"/>
      <c r="C1" s="220"/>
      <c r="D1" s="220"/>
      <c r="E1" s="220"/>
      <c r="F1" s="220"/>
      <c r="G1" s="220"/>
      <c r="H1" s="220"/>
      <c r="I1" s="220"/>
      <c r="J1" s="220"/>
      <c r="K1" s="220"/>
      <c r="L1" s="220"/>
      <c r="M1" s="220"/>
      <c r="N1" s="220"/>
      <c r="O1" s="220"/>
      <c r="P1" s="220"/>
      <c r="Q1" s="220"/>
      <c r="R1" s="220"/>
      <c r="S1" s="220"/>
      <c r="T1" s="220"/>
      <c r="U1" s="220"/>
      <c r="V1" s="220"/>
      <c r="W1" s="220"/>
      <c r="X1" s="220"/>
      <c r="Y1" s="220"/>
    </row>
    <row r="2" spans="1:25" ht="16.2" x14ac:dyDescent="0.35">
      <c r="A2" s="221" t="s">
        <v>724</v>
      </c>
      <c r="B2" s="221"/>
      <c r="C2" s="221"/>
      <c r="D2" s="221"/>
      <c r="E2" s="221"/>
      <c r="F2" s="221"/>
      <c r="G2" s="221"/>
      <c r="H2" s="221"/>
      <c r="I2" s="221"/>
      <c r="J2" s="221"/>
      <c r="K2" s="221"/>
      <c r="L2" s="221"/>
      <c r="M2" s="221"/>
      <c r="N2" s="221"/>
      <c r="O2" s="221"/>
      <c r="P2" s="221"/>
      <c r="Q2" s="221"/>
      <c r="R2" s="221"/>
      <c r="S2" s="221"/>
      <c r="T2" s="221"/>
      <c r="U2" s="221"/>
      <c r="V2" s="221"/>
      <c r="W2" s="221"/>
      <c r="X2" s="221"/>
      <c r="Y2" s="221"/>
    </row>
    <row r="3" spans="1:25" x14ac:dyDescent="0.3">
      <c r="A3" s="220" t="s">
        <v>417</v>
      </c>
      <c r="B3" s="220"/>
      <c r="C3" s="220"/>
      <c r="D3" s="220"/>
      <c r="E3" s="220"/>
      <c r="F3" s="220"/>
      <c r="G3" s="220"/>
      <c r="H3" s="220"/>
      <c r="I3" s="220"/>
      <c r="J3" s="220"/>
      <c r="K3" s="220"/>
      <c r="L3" s="220"/>
      <c r="M3" s="220"/>
    </row>
    <row r="4" spans="1:25" x14ac:dyDescent="0.3">
      <c r="A4" s="91"/>
      <c r="B4" s="92" t="s">
        <v>251</v>
      </c>
      <c r="C4" s="90" t="s">
        <v>251</v>
      </c>
      <c r="D4" s="90" t="s">
        <v>251</v>
      </c>
      <c r="E4" s="90" t="s">
        <v>251</v>
      </c>
      <c r="F4" s="90" t="s">
        <v>251</v>
      </c>
      <c r="G4" s="90" t="s">
        <v>704</v>
      </c>
      <c r="H4" s="90" t="s">
        <v>251</v>
      </c>
      <c r="I4" s="90" t="s">
        <v>725</v>
      </c>
      <c r="J4" s="90" t="s">
        <v>726</v>
      </c>
      <c r="K4" s="90" t="s">
        <v>251</v>
      </c>
      <c r="L4" s="90" t="s">
        <v>727</v>
      </c>
      <c r="M4" s="90" t="s">
        <v>109</v>
      </c>
      <c r="N4" s="90" t="s">
        <v>251</v>
      </c>
      <c r="O4" s="90" t="s">
        <v>727</v>
      </c>
      <c r="P4" s="90" t="s">
        <v>1880</v>
      </c>
      <c r="Q4" s="90" t="s">
        <v>252</v>
      </c>
      <c r="R4" s="90" t="s">
        <v>727</v>
      </c>
      <c r="S4" s="90" t="s">
        <v>728</v>
      </c>
      <c r="T4" s="90" t="s">
        <v>252</v>
      </c>
      <c r="U4" s="90" t="s">
        <v>727</v>
      </c>
      <c r="V4" s="90" t="s">
        <v>109</v>
      </c>
      <c r="W4" s="90" t="s">
        <v>252</v>
      </c>
      <c r="X4" s="90" t="s">
        <v>727</v>
      </c>
      <c r="Y4" s="90" t="s">
        <v>728</v>
      </c>
    </row>
    <row r="5" spans="1:25" x14ac:dyDescent="0.3">
      <c r="A5" s="91"/>
      <c r="B5" s="93" t="s">
        <v>528</v>
      </c>
      <c r="C5" s="94" t="s">
        <v>17</v>
      </c>
      <c r="D5" s="94" t="s">
        <v>851</v>
      </c>
      <c r="E5" s="94" t="s">
        <v>573</v>
      </c>
      <c r="F5" s="94" t="s">
        <v>402</v>
      </c>
      <c r="G5" s="95">
        <v>40724</v>
      </c>
      <c r="H5" s="96" t="s">
        <v>779</v>
      </c>
      <c r="I5" s="96" t="s">
        <v>779</v>
      </c>
      <c r="J5" s="95">
        <v>41456</v>
      </c>
      <c r="K5" s="96" t="s">
        <v>90</v>
      </c>
      <c r="L5" s="96" t="s">
        <v>90</v>
      </c>
      <c r="M5" s="95">
        <v>41821</v>
      </c>
      <c r="N5" s="96" t="s">
        <v>138</v>
      </c>
      <c r="O5" s="96" t="s">
        <v>138</v>
      </c>
      <c r="P5" s="95">
        <v>42185</v>
      </c>
      <c r="Q5" s="96" t="s">
        <v>1684</v>
      </c>
      <c r="R5" s="96" t="s">
        <v>1684</v>
      </c>
      <c r="S5" s="95">
        <v>42551</v>
      </c>
      <c r="T5" s="96" t="s">
        <v>1874</v>
      </c>
      <c r="U5" s="96" t="s">
        <v>1874</v>
      </c>
      <c r="V5" s="95">
        <v>42916</v>
      </c>
      <c r="W5" s="96" t="s">
        <v>1944</v>
      </c>
      <c r="X5" s="96" t="s">
        <v>1944</v>
      </c>
      <c r="Y5" s="95">
        <v>43281</v>
      </c>
    </row>
    <row r="6" spans="1:25" x14ac:dyDescent="0.3">
      <c r="A6" s="91" t="s">
        <v>729</v>
      </c>
      <c r="B6" s="97">
        <v>50000</v>
      </c>
      <c r="C6" s="98">
        <v>50000</v>
      </c>
      <c r="D6" s="98">
        <v>50000</v>
      </c>
      <c r="E6" s="99">
        <v>50000</v>
      </c>
      <c r="F6" s="99">
        <v>50000</v>
      </c>
      <c r="G6" s="99">
        <v>203284</v>
      </c>
      <c r="H6" s="98">
        <v>50000</v>
      </c>
      <c r="I6" s="98">
        <v>0</v>
      </c>
      <c r="J6" s="99">
        <v>303789</v>
      </c>
      <c r="K6" s="98">
        <v>12000</v>
      </c>
      <c r="L6" s="98">
        <v>-200000</v>
      </c>
      <c r="M6" s="98" t="e">
        <f>#N/A</f>
        <v>#N/A</v>
      </c>
      <c r="N6" s="98">
        <v>50000</v>
      </c>
      <c r="O6" s="98">
        <v>0</v>
      </c>
      <c r="P6" s="98">
        <v>169931.28</v>
      </c>
      <c r="Q6" s="98">
        <v>60000</v>
      </c>
      <c r="R6" s="98">
        <v>-200000</v>
      </c>
      <c r="S6" s="98">
        <f>-189896.49+230812.89</f>
        <v>40916.400000000023</v>
      </c>
      <c r="T6" s="98">
        <v>85000</v>
      </c>
      <c r="U6" s="98">
        <v>0</v>
      </c>
      <c r="V6" s="98">
        <f t="shared" ref="V6:V24" si="0">SUM(S6:U6)</f>
        <v>125916.40000000002</v>
      </c>
      <c r="W6" s="98">
        <v>115000</v>
      </c>
      <c r="X6" s="98">
        <v>-235000</v>
      </c>
      <c r="Y6" s="98">
        <f t="shared" ref="Y6:Y24" si="1">+V6+W6+X6</f>
        <v>5916.4000000000233</v>
      </c>
    </row>
    <row r="7" spans="1:25" x14ac:dyDescent="0.3">
      <c r="A7" s="140" t="s">
        <v>730</v>
      </c>
      <c r="B7" s="141">
        <v>0</v>
      </c>
      <c r="C7" s="141">
        <v>0</v>
      </c>
      <c r="D7" s="141">
        <v>75000</v>
      </c>
      <c r="E7" s="142">
        <v>0</v>
      </c>
      <c r="F7" s="142">
        <v>0</v>
      </c>
      <c r="G7" s="142">
        <v>173356</v>
      </c>
      <c r="H7" s="141">
        <v>0</v>
      </c>
      <c r="I7" s="141">
        <v>0</v>
      </c>
      <c r="J7" s="142">
        <v>173856</v>
      </c>
      <c r="K7" s="141">
        <v>0</v>
      </c>
      <c r="L7" s="141">
        <v>0</v>
      </c>
      <c r="M7" s="141" t="e">
        <f>#N/A</f>
        <v>#N/A</v>
      </c>
      <c r="N7" s="141">
        <v>0</v>
      </c>
      <c r="O7" s="141">
        <v>0</v>
      </c>
      <c r="P7" s="141">
        <v>174213.31</v>
      </c>
      <c r="Q7" s="141">
        <v>0</v>
      </c>
      <c r="R7" s="141">
        <v>0</v>
      </c>
      <c r="S7" s="141">
        <v>174970.3</v>
      </c>
      <c r="T7" s="141">
        <v>0</v>
      </c>
      <c r="U7" s="141">
        <v>0</v>
      </c>
      <c r="V7" s="141">
        <f t="shared" si="0"/>
        <v>174970.3</v>
      </c>
      <c r="W7" s="141">
        <v>0</v>
      </c>
      <c r="X7" s="141">
        <v>-50000</v>
      </c>
      <c r="Y7" s="141">
        <f t="shared" si="1"/>
        <v>124970.29999999999</v>
      </c>
    </row>
    <row r="8" spans="1:25" x14ac:dyDescent="0.3">
      <c r="A8" s="91" t="s">
        <v>731</v>
      </c>
      <c r="B8" s="97">
        <v>10000</v>
      </c>
      <c r="C8" s="98">
        <v>10000</v>
      </c>
      <c r="D8" s="98">
        <v>35000</v>
      </c>
      <c r="E8" s="99">
        <v>0</v>
      </c>
      <c r="F8" s="99">
        <v>0</v>
      </c>
      <c r="G8" s="99">
        <v>57170</v>
      </c>
      <c r="H8" s="98">
        <v>0</v>
      </c>
      <c r="I8" s="98">
        <v>-15000</v>
      </c>
      <c r="J8" s="99">
        <v>47259</v>
      </c>
      <c r="K8" s="98">
        <v>10000</v>
      </c>
      <c r="L8" s="98">
        <v>-25000</v>
      </c>
      <c r="M8" s="98" t="e">
        <f>#N/A</f>
        <v>#N/A</v>
      </c>
      <c r="N8" s="98">
        <v>25000</v>
      </c>
      <c r="O8" s="98">
        <v>-20000</v>
      </c>
      <c r="P8" s="98">
        <v>58744.65</v>
      </c>
      <c r="Q8" s="98">
        <v>146000</v>
      </c>
      <c r="R8" s="98"/>
      <c r="S8" s="98">
        <v>192074.96</v>
      </c>
      <c r="T8" s="98">
        <v>182000</v>
      </c>
      <c r="U8" s="98"/>
      <c r="V8" s="98">
        <f t="shared" si="0"/>
        <v>374074.95999999996</v>
      </c>
      <c r="W8" s="98">
        <v>185000</v>
      </c>
      <c r="X8" s="98">
        <v>-559000</v>
      </c>
      <c r="Y8" s="98">
        <f t="shared" si="1"/>
        <v>74.959999999962747</v>
      </c>
    </row>
    <row r="9" spans="1:25" x14ac:dyDescent="0.3">
      <c r="A9" s="140" t="s">
        <v>732</v>
      </c>
      <c r="B9" s="141">
        <v>26000</v>
      </c>
      <c r="C9" s="141">
        <v>50000</v>
      </c>
      <c r="D9" s="141">
        <v>10000</v>
      </c>
      <c r="E9" s="142">
        <v>10000</v>
      </c>
      <c r="F9" s="142">
        <v>5000</v>
      </c>
      <c r="G9" s="142">
        <v>30851</v>
      </c>
      <c r="H9" s="141">
        <v>0</v>
      </c>
      <c r="I9" s="141">
        <v>-6950</v>
      </c>
      <c r="J9" s="142">
        <v>45954</v>
      </c>
      <c r="K9" s="141">
        <v>35000</v>
      </c>
      <c r="L9" s="141">
        <f>-55000-16000+15000</f>
        <v>-56000</v>
      </c>
      <c r="M9" s="141" t="e">
        <f>#N/A</f>
        <v>#N/A</v>
      </c>
      <c r="N9" s="141">
        <v>35000</v>
      </c>
      <c r="O9" s="141">
        <v>-50000</v>
      </c>
      <c r="P9" s="141">
        <v>24974.97</v>
      </c>
      <c r="Q9" s="141">
        <v>35000</v>
      </c>
      <c r="R9" s="141">
        <v>-35000</v>
      </c>
      <c r="S9" s="141">
        <f>-6428.24+38975.88</f>
        <v>32547.64</v>
      </c>
      <c r="T9" s="141">
        <v>35000</v>
      </c>
      <c r="U9" s="141">
        <v>-30000</v>
      </c>
      <c r="V9" s="141">
        <f t="shared" si="0"/>
        <v>37547.64</v>
      </c>
      <c r="W9" s="141">
        <v>35000</v>
      </c>
      <c r="X9" s="141">
        <v>-45000</v>
      </c>
      <c r="Y9" s="141">
        <f t="shared" si="1"/>
        <v>27547.64</v>
      </c>
    </row>
    <row r="10" spans="1:25" x14ac:dyDescent="0.3">
      <c r="A10" s="91" t="s">
        <v>733</v>
      </c>
      <c r="B10" s="97">
        <f>-28525+103525</f>
        <v>75000</v>
      </c>
      <c r="C10" s="98">
        <v>155000</v>
      </c>
      <c r="D10" s="98">
        <v>100000</v>
      </c>
      <c r="E10" s="99">
        <v>50000</v>
      </c>
      <c r="F10" s="99">
        <v>0</v>
      </c>
      <c r="G10" s="99">
        <v>639438</v>
      </c>
      <c r="H10" s="98">
        <v>25000</v>
      </c>
      <c r="I10" s="98">
        <v>-362168</v>
      </c>
      <c r="J10" s="99">
        <v>282404</v>
      </c>
      <c r="K10" s="98">
        <v>25000</v>
      </c>
      <c r="L10" s="98">
        <v>0</v>
      </c>
      <c r="M10" s="98" t="e">
        <f>#N/A</f>
        <v>#N/A</v>
      </c>
      <c r="N10" s="98">
        <v>50000</v>
      </c>
      <c r="O10" s="98">
        <v>0</v>
      </c>
      <c r="P10" s="98">
        <v>358036.2</v>
      </c>
      <c r="Q10" s="98">
        <v>50000</v>
      </c>
      <c r="R10" s="98">
        <v>-400000</v>
      </c>
      <c r="S10" s="98">
        <v>60066.41</v>
      </c>
      <c r="T10" s="98">
        <v>50000</v>
      </c>
      <c r="U10" s="98">
        <v>0</v>
      </c>
      <c r="V10" s="98">
        <f t="shared" si="0"/>
        <v>110066.41</v>
      </c>
      <c r="W10" s="98">
        <v>50000</v>
      </c>
      <c r="X10" s="98">
        <v>0</v>
      </c>
      <c r="Y10" s="98">
        <f t="shared" si="1"/>
        <v>160066.41</v>
      </c>
    </row>
    <row r="11" spans="1:25" x14ac:dyDescent="0.3">
      <c r="A11" s="143" t="s">
        <v>734</v>
      </c>
      <c r="B11" s="141">
        <v>100000</v>
      </c>
      <c r="C11" s="141">
        <v>100000</v>
      </c>
      <c r="D11" s="141">
        <v>100000</v>
      </c>
      <c r="E11" s="142">
        <v>100000</v>
      </c>
      <c r="F11" s="142">
        <v>100000</v>
      </c>
      <c r="G11" s="142">
        <v>424541</v>
      </c>
      <c r="H11" s="141">
        <v>100000</v>
      </c>
      <c r="I11" s="141">
        <v>0</v>
      </c>
      <c r="J11" s="142">
        <v>499024</v>
      </c>
      <c r="K11" s="141">
        <v>100000</v>
      </c>
      <c r="L11" s="141">
        <v>-331301</v>
      </c>
      <c r="M11" s="141" t="e">
        <f>#N/A</f>
        <v>#N/A</v>
      </c>
      <c r="N11" s="141">
        <v>75000</v>
      </c>
      <c r="O11" s="141">
        <v>-70000</v>
      </c>
      <c r="P11" s="141">
        <v>287421.56</v>
      </c>
      <c r="Q11" s="141">
        <v>95000</v>
      </c>
      <c r="R11" s="141">
        <v>-82334</v>
      </c>
      <c r="S11" s="141">
        <v>379582.58</v>
      </c>
      <c r="T11" s="141">
        <v>160000</v>
      </c>
      <c r="U11" s="141">
        <v>-140000</v>
      </c>
      <c r="V11" s="141">
        <f t="shared" si="0"/>
        <v>399582.58000000007</v>
      </c>
      <c r="W11" s="141">
        <v>192000</v>
      </c>
      <c r="X11" s="141">
        <v>-53000</v>
      </c>
      <c r="Y11" s="141">
        <f t="shared" si="1"/>
        <v>538582.58000000007</v>
      </c>
    </row>
    <row r="12" spans="1:25" x14ac:dyDescent="0.3">
      <c r="A12" s="91" t="s">
        <v>735</v>
      </c>
      <c r="B12" s="97">
        <v>145000</v>
      </c>
      <c r="C12" s="98">
        <v>75000</v>
      </c>
      <c r="D12" s="98">
        <v>150000</v>
      </c>
      <c r="E12" s="99">
        <v>75000</v>
      </c>
      <c r="F12" s="99">
        <v>168000</v>
      </c>
      <c r="G12" s="99">
        <v>366972</v>
      </c>
      <c r="H12" s="98">
        <v>176960</v>
      </c>
      <c r="I12" s="98">
        <v>-301784</v>
      </c>
      <c r="J12" s="99">
        <v>432686</v>
      </c>
      <c r="K12" s="98">
        <v>300000</v>
      </c>
      <c r="L12" s="98">
        <f>-235000-258057</f>
        <v>-493057</v>
      </c>
      <c r="M12" s="98" t="e">
        <f>#N/A</f>
        <v>#N/A</v>
      </c>
      <c r="N12" s="98">
        <v>300000</v>
      </c>
      <c r="O12" s="98">
        <v>-390000</v>
      </c>
      <c r="P12" s="98">
        <v>88273.7</v>
      </c>
      <c r="Q12" s="98">
        <v>300000</v>
      </c>
      <c r="R12" s="98">
        <v>-305000</v>
      </c>
      <c r="S12" s="98">
        <v>89495.47</v>
      </c>
      <c r="T12" s="98">
        <v>300000</v>
      </c>
      <c r="U12" s="98">
        <v>-295000</v>
      </c>
      <c r="V12" s="98">
        <f t="shared" si="0"/>
        <v>94495.469999999972</v>
      </c>
      <c r="W12" s="98">
        <v>325000</v>
      </c>
      <c r="X12" s="98">
        <v>-383000</v>
      </c>
      <c r="Y12" s="98">
        <f t="shared" si="1"/>
        <v>36495.469999999972</v>
      </c>
    </row>
    <row r="13" spans="1:25" x14ac:dyDescent="0.3">
      <c r="A13" s="140" t="s">
        <v>736</v>
      </c>
      <c r="B13" s="141">
        <v>0</v>
      </c>
      <c r="C13" s="141">
        <v>0</v>
      </c>
      <c r="D13" s="141">
        <v>129000</v>
      </c>
      <c r="E13" s="142">
        <v>0</v>
      </c>
      <c r="F13" s="142">
        <v>0</v>
      </c>
      <c r="G13" s="142">
        <v>412216.46</v>
      </c>
      <c r="H13" s="141">
        <v>0</v>
      </c>
      <c r="I13" s="141">
        <v>0</v>
      </c>
      <c r="J13" s="142">
        <v>412657</v>
      </c>
      <c r="K13" s="141">
        <v>0</v>
      </c>
      <c r="L13" s="141">
        <v>0</v>
      </c>
      <c r="M13" s="141" t="e">
        <f>#N/A</f>
        <v>#N/A</v>
      </c>
      <c r="N13" s="141">
        <v>0</v>
      </c>
      <c r="O13" s="141">
        <v>0</v>
      </c>
      <c r="P13" s="141">
        <v>413511.92</v>
      </c>
      <c r="Q13" s="141">
        <v>0</v>
      </c>
      <c r="R13" s="141">
        <v>0</v>
      </c>
      <c r="S13" s="141">
        <v>415324.22</v>
      </c>
      <c r="T13" s="141">
        <v>0</v>
      </c>
      <c r="U13" s="141">
        <v>0</v>
      </c>
      <c r="V13" s="141">
        <f t="shared" si="0"/>
        <v>415324.22</v>
      </c>
      <c r="W13" s="141">
        <v>0</v>
      </c>
      <c r="X13" s="141">
        <v>0</v>
      </c>
      <c r="Y13" s="141">
        <f t="shared" si="1"/>
        <v>415324.22</v>
      </c>
    </row>
    <row r="14" spans="1:25" x14ac:dyDescent="0.3">
      <c r="A14" s="100" t="s">
        <v>737</v>
      </c>
      <c r="B14" s="97">
        <v>1000</v>
      </c>
      <c r="C14" s="98">
        <v>1000</v>
      </c>
      <c r="D14" s="98">
        <v>2000</v>
      </c>
      <c r="E14" s="99">
        <v>2000</v>
      </c>
      <c r="F14" s="99">
        <v>2000</v>
      </c>
      <c r="G14" s="99">
        <v>32687.360000000001</v>
      </c>
      <c r="H14" s="98">
        <v>2000</v>
      </c>
      <c r="I14" s="98">
        <v>0</v>
      </c>
      <c r="J14" s="99">
        <v>36796</v>
      </c>
      <c r="K14" s="98">
        <v>2000</v>
      </c>
      <c r="L14" s="98">
        <v>0</v>
      </c>
      <c r="M14" s="98" t="e">
        <f>#N/A</f>
        <v>#N/A</v>
      </c>
      <c r="N14" s="98">
        <v>17000</v>
      </c>
      <c r="O14" s="98">
        <v>-53000</v>
      </c>
      <c r="P14" s="98">
        <v>2890.53</v>
      </c>
      <c r="Q14" s="98">
        <v>10000</v>
      </c>
      <c r="R14" s="98">
        <v>0</v>
      </c>
      <c r="S14" s="98">
        <v>12919.69</v>
      </c>
      <c r="T14" s="98">
        <v>35000</v>
      </c>
      <c r="U14" s="98">
        <v>-45000</v>
      </c>
      <c r="V14" s="98">
        <f t="shared" si="0"/>
        <v>2919.6900000000023</v>
      </c>
      <c r="W14" s="98">
        <v>35000</v>
      </c>
      <c r="X14" s="98">
        <v>0</v>
      </c>
      <c r="Y14" s="98">
        <f t="shared" si="1"/>
        <v>37919.69</v>
      </c>
    </row>
    <row r="15" spans="1:25" x14ac:dyDescent="0.3">
      <c r="A15" s="140" t="s">
        <v>738</v>
      </c>
      <c r="B15" s="141">
        <v>0</v>
      </c>
      <c r="C15" s="141">
        <v>0</v>
      </c>
      <c r="D15" s="141">
        <v>10000</v>
      </c>
      <c r="E15" s="142">
        <v>0</v>
      </c>
      <c r="F15" s="142">
        <v>0</v>
      </c>
      <c r="G15" s="142">
        <v>45082</v>
      </c>
      <c r="H15" s="141">
        <v>0</v>
      </c>
      <c r="I15" s="141">
        <v>0</v>
      </c>
      <c r="J15" s="142">
        <v>45137</v>
      </c>
      <c r="K15" s="141">
        <v>0</v>
      </c>
      <c r="L15" s="141">
        <v>0</v>
      </c>
      <c r="M15" s="141" t="e">
        <f>#N/A</f>
        <v>#N/A</v>
      </c>
      <c r="N15" s="141">
        <v>0</v>
      </c>
      <c r="O15" s="141">
        <v>0</v>
      </c>
      <c r="P15" s="141">
        <v>45228.35</v>
      </c>
      <c r="Q15" s="141">
        <v>0</v>
      </c>
      <c r="R15" s="141">
        <v>0</v>
      </c>
      <c r="S15" s="141">
        <v>45422.2</v>
      </c>
      <c r="T15" s="141">
        <v>0</v>
      </c>
      <c r="U15" s="141">
        <v>0</v>
      </c>
      <c r="V15" s="141">
        <f t="shared" si="0"/>
        <v>45422.2</v>
      </c>
      <c r="W15" s="141">
        <v>0</v>
      </c>
      <c r="X15" s="141">
        <v>0</v>
      </c>
      <c r="Y15" s="141">
        <f t="shared" si="1"/>
        <v>45422.2</v>
      </c>
    </row>
    <row r="16" spans="1:25" x14ac:dyDescent="0.3">
      <c r="A16" s="91" t="s">
        <v>739</v>
      </c>
      <c r="B16" s="97">
        <v>0</v>
      </c>
      <c r="C16" s="98">
        <v>0</v>
      </c>
      <c r="D16" s="98">
        <v>0</v>
      </c>
      <c r="E16" s="99">
        <v>0</v>
      </c>
      <c r="F16" s="99">
        <v>0</v>
      </c>
      <c r="G16" s="99">
        <v>6738</v>
      </c>
      <c r="H16" s="98">
        <v>0</v>
      </c>
      <c r="I16" s="98">
        <v>0</v>
      </c>
      <c r="J16" s="99">
        <v>21773</v>
      </c>
      <c r="K16" s="98">
        <v>15000</v>
      </c>
      <c r="L16" s="98">
        <v>0</v>
      </c>
      <c r="M16" s="98" t="e">
        <f>#N/A</f>
        <v>#N/A</v>
      </c>
      <c r="N16" s="98">
        <v>15000</v>
      </c>
      <c r="O16" s="98">
        <v>0</v>
      </c>
      <c r="P16" s="98">
        <v>51866.82</v>
      </c>
      <c r="Q16" s="98">
        <v>15000</v>
      </c>
      <c r="R16" s="98">
        <v>-75000</v>
      </c>
      <c r="S16" s="98">
        <f>-37500+29218.76</f>
        <v>-8281.2400000000016</v>
      </c>
      <c r="T16" s="98">
        <v>15000</v>
      </c>
      <c r="U16" s="98">
        <v>0</v>
      </c>
      <c r="V16" s="98">
        <f t="shared" si="0"/>
        <v>6718.7599999999984</v>
      </c>
      <c r="W16" s="98">
        <v>15000</v>
      </c>
      <c r="X16" s="98">
        <v>0</v>
      </c>
      <c r="Y16" s="98">
        <f t="shared" si="1"/>
        <v>21718.76</v>
      </c>
    </row>
    <row r="17" spans="1:25" x14ac:dyDescent="0.3">
      <c r="A17" s="140" t="s">
        <v>740</v>
      </c>
      <c r="B17" s="141">
        <v>190647</v>
      </c>
      <c r="C17" s="141">
        <v>190000</v>
      </c>
      <c r="D17" s="141">
        <v>200000</v>
      </c>
      <c r="E17" s="142">
        <v>0</v>
      </c>
      <c r="F17" s="142">
        <v>0</v>
      </c>
      <c r="G17" s="142">
        <v>347781</v>
      </c>
      <c r="H17" s="141">
        <v>0</v>
      </c>
      <c r="I17" s="141">
        <v>-72151</v>
      </c>
      <c r="J17" s="142">
        <v>269.19</v>
      </c>
      <c r="K17" s="141">
        <v>0</v>
      </c>
      <c r="L17" s="141">
        <v>0</v>
      </c>
      <c r="M17" s="141" t="e">
        <f>#N/A</f>
        <v>#N/A</v>
      </c>
      <c r="N17" s="141">
        <v>0</v>
      </c>
      <c r="O17" s="141">
        <v>0</v>
      </c>
      <c r="P17" s="141">
        <v>245.53</v>
      </c>
      <c r="Q17" s="141">
        <v>0</v>
      </c>
      <c r="R17" s="141">
        <v>0</v>
      </c>
      <c r="S17" s="141" t="e">
        <f>#N/A</f>
        <v>#N/A</v>
      </c>
      <c r="T17" s="141">
        <v>0</v>
      </c>
      <c r="U17" s="141">
        <v>0</v>
      </c>
      <c r="V17" s="141">
        <v>246</v>
      </c>
      <c r="W17" s="141">
        <v>0</v>
      </c>
      <c r="X17" s="141">
        <v>0</v>
      </c>
      <c r="Y17" s="141">
        <f t="shared" si="1"/>
        <v>246</v>
      </c>
    </row>
    <row r="18" spans="1:25" x14ac:dyDescent="0.3">
      <c r="A18" s="91" t="s">
        <v>1294</v>
      </c>
      <c r="B18" s="97">
        <v>0</v>
      </c>
      <c r="C18" s="98">
        <v>5000</v>
      </c>
      <c r="D18" s="98">
        <v>5000</v>
      </c>
      <c r="E18" s="99">
        <v>0</v>
      </c>
      <c r="F18" s="99">
        <v>0</v>
      </c>
      <c r="G18" s="99">
        <v>20440</v>
      </c>
      <c r="H18" s="98">
        <v>0</v>
      </c>
      <c r="I18" s="98">
        <v>0</v>
      </c>
      <c r="J18" s="99">
        <v>20523</v>
      </c>
      <c r="K18" s="98">
        <v>0</v>
      </c>
      <c r="L18" s="98">
        <v>0</v>
      </c>
      <c r="M18" s="98" t="e">
        <f>#N/A</f>
        <v>#N/A</v>
      </c>
      <c r="N18" s="98">
        <v>0</v>
      </c>
      <c r="O18" s="98">
        <v>0</v>
      </c>
      <c r="P18" s="98">
        <v>20566.23</v>
      </c>
      <c r="Q18" s="98">
        <v>0</v>
      </c>
      <c r="R18" s="98">
        <v>0</v>
      </c>
      <c r="S18" s="98">
        <v>20656.98</v>
      </c>
      <c r="T18" s="98">
        <v>0</v>
      </c>
      <c r="U18" s="98">
        <v>0</v>
      </c>
      <c r="V18" s="98">
        <f t="shared" si="0"/>
        <v>20656.98</v>
      </c>
      <c r="W18" s="98">
        <v>0</v>
      </c>
      <c r="X18" s="98">
        <v>0</v>
      </c>
      <c r="Y18" s="98">
        <f t="shared" si="1"/>
        <v>20656.98</v>
      </c>
    </row>
    <row r="19" spans="1:25" x14ac:dyDescent="0.3">
      <c r="A19" s="140" t="s">
        <v>941</v>
      </c>
      <c r="B19" s="141">
        <v>115000</v>
      </c>
      <c r="C19" s="141">
        <v>115000</v>
      </c>
      <c r="D19" s="141">
        <v>0</v>
      </c>
      <c r="E19" s="142">
        <v>0</v>
      </c>
      <c r="F19" s="142">
        <v>0</v>
      </c>
      <c r="G19" s="142">
        <v>941393</v>
      </c>
      <c r="H19" s="141">
        <v>0</v>
      </c>
      <c r="I19" s="141">
        <v>-75000</v>
      </c>
      <c r="J19" s="142">
        <v>868161</v>
      </c>
      <c r="K19" s="141">
        <v>0</v>
      </c>
      <c r="L19" s="141">
        <v>0</v>
      </c>
      <c r="M19" s="141" t="e">
        <f>#N/A</f>
        <v>#N/A</v>
      </c>
      <c r="N19" s="141">
        <v>0</v>
      </c>
      <c r="O19" s="141">
        <v>-868000</v>
      </c>
      <c r="P19" s="141">
        <v>475107.72</v>
      </c>
      <c r="Q19" s="141">
        <v>0</v>
      </c>
      <c r="R19" s="141">
        <v>0</v>
      </c>
      <c r="S19" s="141">
        <v>48344.67</v>
      </c>
      <c r="T19" s="141">
        <v>0</v>
      </c>
      <c r="U19" s="141">
        <v>0</v>
      </c>
      <c r="V19" s="141">
        <f t="shared" si="0"/>
        <v>48344.67</v>
      </c>
      <c r="W19" s="141">
        <v>0</v>
      </c>
      <c r="X19" s="141">
        <v>0</v>
      </c>
      <c r="Y19" s="141">
        <f t="shared" si="1"/>
        <v>48344.67</v>
      </c>
    </row>
    <row r="20" spans="1:25" x14ac:dyDescent="0.3">
      <c r="A20" s="91" t="s">
        <v>998</v>
      </c>
      <c r="B20" s="97">
        <v>10000</v>
      </c>
      <c r="C20" s="98">
        <v>10000</v>
      </c>
      <c r="D20" s="98">
        <v>90000</v>
      </c>
      <c r="E20" s="99">
        <v>75000</v>
      </c>
      <c r="F20" s="99">
        <v>40000</v>
      </c>
      <c r="G20" s="99">
        <v>133781</v>
      </c>
      <c r="H20" s="98">
        <v>0</v>
      </c>
      <c r="I20" s="98">
        <v>0</v>
      </c>
      <c r="J20" s="99">
        <v>156324</v>
      </c>
      <c r="K20" s="98">
        <v>75000</v>
      </c>
      <c r="L20" s="98">
        <v>-220000</v>
      </c>
      <c r="M20" s="98" t="e">
        <f>#N/A</f>
        <v>#N/A</v>
      </c>
      <c r="N20" s="98">
        <v>75000</v>
      </c>
      <c r="O20" s="98">
        <v>0</v>
      </c>
      <c r="P20" s="98">
        <v>86554.35</v>
      </c>
      <c r="Q20" s="98">
        <v>45000</v>
      </c>
      <c r="R20" s="98"/>
      <c r="S20" s="98">
        <v>132029.9</v>
      </c>
      <c r="T20" s="98">
        <v>65000</v>
      </c>
      <c r="U20" s="98">
        <v>0</v>
      </c>
      <c r="V20" s="98">
        <f t="shared" si="0"/>
        <v>197029.9</v>
      </c>
      <c r="W20" s="98">
        <v>100000</v>
      </c>
      <c r="X20" s="98">
        <v>-70000</v>
      </c>
      <c r="Y20" s="98">
        <f t="shared" si="1"/>
        <v>227029.90000000002</v>
      </c>
    </row>
    <row r="21" spans="1:25" x14ac:dyDescent="0.3">
      <c r="A21" s="140" t="s">
        <v>741</v>
      </c>
      <c r="B21" s="141">
        <v>0</v>
      </c>
      <c r="C21" s="141">
        <v>0</v>
      </c>
      <c r="D21" s="141">
        <v>0</v>
      </c>
      <c r="E21" s="142">
        <v>0</v>
      </c>
      <c r="F21" s="142">
        <v>0</v>
      </c>
      <c r="G21" s="142">
        <v>280004</v>
      </c>
      <c r="H21" s="141">
        <v>0</v>
      </c>
      <c r="I21" s="141">
        <v>-144652</v>
      </c>
      <c r="J21" s="142">
        <v>279697</v>
      </c>
      <c r="K21" s="141">
        <v>0</v>
      </c>
      <c r="L21" s="141">
        <v>0</v>
      </c>
      <c r="M21" s="141" t="e">
        <f>#N/A</f>
        <v>#N/A</v>
      </c>
      <c r="N21" s="141">
        <v>0</v>
      </c>
      <c r="O21" s="141">
        <v>-60000</v>
      </c>
      <c r="P21" s="141">
        <v>280271.71000000002</v>
      </c>
      <c r="Q21" s="141">
        <v>0</v>
      </c>
      <c r="R21" s="141">
        <v>0</v>
      </c>
      <c r="S21" s="141">
        <v>281491.01</v>
      </c>
      <c r="T21" s="141">
        <v>0</v>
      </c>
      <c r="U21" s="141">
        <v>0</v>
      </c>
      <c r="V21" s="141">
        <f t="shared" si="0"/>
        <v>281491.01</v>
      </c>
      <c r="W21" s="141">
        <v>0</v>
      </c>
      <c r="X21" s="141">
        <v>0</v>
      </c>
      <c r="Y21" s="141">
        <f t="shared" si="1"/>
        <v>281491.01</v>
      </c>
    </row>
    <row r="22" spans="1:25" x14ac:dyDescent="0.3">
      <c r="A22" s="91" t="s">
        <v>742</v>
      </c>
      <c r="B22" s="97">
        <v>0</v>
      </c>
      <c r="C22" s="97">
        <v>0</v>
      </c>
      <c r="D22" s="97">
        <v>5000</v>
      </c>
      <c r="E22" s="99">
        <v>0</v>
      </c>
      <c r="F22" s="99">
        <v>0</v>
      </c>
      <c r="G22" s="99">
        <v>25451</v>
      </c>
      <c r="H22" s="98">
        <v>0</v>
      </c>
      <c r="I22" s="98">
        <v>0</v>
      </c>
      <c r="J22" s="99">
        <v>23772</v>
      </c>
      <c r="K22" s="98">
        <v>0</v>
      </c>
      <c r="L22" s="98">
        <v>-23772</v>
      </c>
      <c r="M22" s="98">
        <f>+K22+J22+L22</f>
        <v>0</v>
      </c>
      <c r="N22" s="98">
        <v>0</v>
      </c>
      <c r="O22" s="98">
        <v>0</v>
      </c>
      <c r="P22" s="98">
        <v>976</v>
      </c>
      <c r="Q22" s="98">
        <v>10000</v>
      </c>
      <c r="R22" s="98">
        <v>0</v>
      </c>
      <c r="S22" s="98">
        <v>11000.47</v>
      </c>
      <c r="T22" s="98">
        <v>10000</v>
      </c>
      <c r="U22" s="98">
        <v>0</v>
      </c>
      <c r="V22" s="98">
        <f t="shared" si="0"/>
        <v>21000.47</v>
      </c>
      <c r="W22" s="98">
        <v>15000</v>
      </c>
      <c r="X22" s="98">
        <v>-25000</v>
      </c>
      <c r="Y22" s="98">
        <f t="shared" si="1"/>
        <v>11000.470000000001</v>
      </c>
    </row>
    <row r="23" spans="1:25" x14ac:dyDescent="0.3">
      <c r="A23" s="140" t="s">
        <v>1864</v>
      </c>
      <c r="B23" s="141">
        <v>0</v>
      </c>
      <c r="C23" s="141">
        <v>0</v>
      </c>
      <c r="D23" s="141">
        <v>0</v>
      </c>
      <c r="E23" s="141">
        <v>0</v>
      </c>
      <c r="F23" s="141">
        <v>0</v>
      </c>
      <c r="G23" s="141">
        <v>0</v>
      </c>
      <c r="H23" s="141">
        <v>0</v>
      </c>
      <c r="I23" s="141">
        <v>0</v>
      </c>
      <c r="J23" s="141">
        <v>0</v>
      </c>
      <c r="K23" s="141">
        <v>0</v>
      </c>
      <c r="L23" s="141">
        <v>0</v>
      </c>
      <c r="M23" s="141">
        <f>+K23+J23+L23</f>
        <v>0</v>
      </c>
      <c r="N23" s="141">
        <v>10000</v>
      </c>
      <c r="O23" s="141">
        <v>0</v>
      </c>
      <c r="P23" s="141">
        <v>10016.35</v>
      </c>
      <c r="Q23" s="141">
        <v>65000</v>
      </c>
      <c r="R23" s="141"/>
      <c r="S23" s="141">
        <v>75214</v>
      </c>
      <c r="T23" s="141">
        <v>65000</v>
      </c>
      <c r="U23" s="141">
        <v>-135000</v>
      </c>
      <c r="V23" s="141">
        <f t="shared" si="0"/>
        <v>5214</v>
      </c>
      <c r="W23" s="141">
        <v>20000</v>
      </c>
      <c r="X23" s="141">
        <v>0</v>
      </c>
      <c r="Y23" s="141">
        <f t="shared" si="1"/>
        <v>25214</v>
      </c>
    </row>
    <row r="24" spans="1:25" ht="19.2" x14ac:dyDescent="0.6">
      <c r="A24" s="91" t="s">
        <v>743</v>
      </c>
      <c r="B24" s="97">
        <v>135000</v>
      </c>
      <c r="C24" s="101">
        <v>120000</v>
      </c>
      <c r="D24" s="101">
        <v>150000</v>
      </c>
      <c r="E24" s="102">
        <v>525000</v>
      </c>
      <c r="F24" s="102">
        <v>0</v>
      </c>
      <c r="G24" s="102">
        <v>985580</v>
      </c>
      <c r="H24" s="103">
        <v>185000</v>
      </c>
      <c r="I24" s="103">
        <v>-956237</v>
      </c>
      <c r="J24" s="102">
        <v>611343</v>
      </c>
      <c r="K24" s="103">
        <v>400000</v>
      </c>
      <c r="L24" s="103">
        <f>-300049-55428-38000</f>
        <v>-393477</v>
      </c>
      <c r="M24" s="104">
        <f>+J24+K24+L24</f>
        <v>617866</v>
      </c>
      <c r="N24" s="103">
        <v>400000</v>
      </c>
      <c r="O24" s="103">
        <v>-785000</v>
      </c>
      <c r="P24" s="104">
        <v>1121332.76</v>
      </c>
      <c r="Q24" s="103">
        <v>600000</v>
      </c>
      <c r="R24" s="103">
        <v>-420000</v>
      </c>
      <c r="S24" s="104">
        <f>-164296.08+1180189.88</f>
        <v>1015893.7999999999</v>
      </c>
      <c r="T24" s="103">
        <v>600000</v>
      </c>
      <c r="U24" s="103">
        <v>-795500</v>
      </c>
      <c r="V24" s="104">
        <f t="shared" si="0"/>
        <v>820393.79999999981</v>
      </c>
      <c r="W24" s="103">
        <v>600000</v>
      </c>
      <c r="X24" s="104">
        <f>-1109309+545500</f>
        <v>-563809</v>
      </c>
      <c r="Y24" s="104">
        <f t="shared" si="1"/>
        <v>856584.79999999981</v>
      </c>
    </row>
    <row r="25" spans="1:25" x14ac:dyDescent="0.3">
      <c r="A25" s="140" t="s">
        <v>1865</v>
      </c>
      <c r="B25" s="141"/>
      <c r="C25" s="141" t="e">
        <f>#N/A</f>
        <v>#N/A</v>
      </c>
      <c r="D25" s="141" t="e">
        <f>#N/A</f>
        <v>#N/A</v>
      </c>
      <c r="E25" s="141" t="e">
        <f>#N/A</f>
        <v>#N/A</v>
      </c>
      <c r="F25" s="141" t="e">
        <f>#N/A</f>
        <v>#N/A</v>
      </c>
      <c r="G25" s="141" t="e">
        <f>#N/A</f>
        <v>#N/A</v>
      </c>
      <c r="H25" s="141" t="e">
        <f>#N/A</f>
        <v>#N/A</v>
      </c>
      <c r="I25" s="141" t="e">
        <f>#N/A</f>
        <v>#N/A</v>
      </c>
      <c r="J25" s="141" t="e">
        <f>#N/A</f>
        <v>#N/A</v>
      </c>
      <c r="K25" s="141" t="e">
        <f>#N/A</f>
        <v>#N/A</v>
      </c>
      <c r="L25" s="141" t="e">
        <f>#N/A</f>
        <v>#N/A</v>
      </c>
      <c r="M25" s="141" t="e">
        <f>#N/A</f>
        <v>#N/A</v>
      </c>
      <c r="N25" s="141">
        <f t="shared" ref="N25:Y25" si="2">SUM(N6:N24)</f>
        <v>1052000</v>
      </c>
      <c r="O25" s="141">
        <f t="shared" si="2"/>
        <v>-2296000</v>
      </c>
      <c r="P25" s="141">
        <f t="shared" si="2"/>
        <v>3670163.9400000004</v>
      </c>
      <c r="Q25" s="141">
        <f t="shared" si="2"/>
        <v>1431000</v>
      </c>
      <c r="R25" s="141">
        <f t="shared" si="2"/>
        <v>-1517334</v>
      </c>
      <c r="S25" s="141" t="e">
        <f t="shared" si="2"/>
        <v>#N/A</v>
      </c>
      <c r="T25" s="141">
        <f t="shared" si="2"/>
        <v>1602000</v>
      </c>
      <c r="U25" s="141">
        <f t="shared" si="2"/>
        <v>-1440500</v>
      </c>
      <c r="V25" s="141">
        <f t="shared" si="2"/>
        <v>3181415.4599999995</v>
      </c>
      <c r="W25" s="141">
        <f t="shared" si="2"/>
        <v>1687000</v>
      </c>
      <c r="X25" s="141">
        <f t="shared" si="2"/>
        <v>-1983809</v>
      </c>
      <c r="Y25" s="141">
        <f t="shared" si="2"/>
        <v>2884606.4599999995</v>
      </c>
    </row>
    <row r="26" spans="1:25" x14ac:dyDescent="0.3">
      <c r="A26" s="91"/>
      <c r="B26" s="97"/>
      <c r="C26" s="97"/>
      <c r="D26" s="97"/>
      <c r="E26" s="99"/>
      <c r="F26" s="99"/>
      <c r="G26" s="99"/>
      <c r="H26" s="98"/>
      <c r="I26" s="98"/>
      <c r="J26" s="99"/>
      <c r="K26" s="98"/>
      <c r="L26" s="98"/>
      <c r="M26" s="98"/>
      <c r="N26" s="98"/>
      <c r="O26" s="98"/>
      <c r="P26" s="98"/>
      <c r="Q26" s="98"/>
      <c r="R26" s="98"/>
      <c r="S26" s="98"/>
      <c r="T26" s="98"/>
      <c r="U26" s="98"/>
      <c r="V26" s="98"/>
      <c r="W26" s="98"/>
      <c r="X26" s="98"/>
      <c r="Y26" s="98"/>
    </row>
    <row r="27" spans="1:25" ht="19.2" x14ac:dyDescent="0.6">
      <c r="A27" s="140" t="s">
        <v>1662</v>
      </c>
      <c r="B27" s="141"/>
      <c r="C27" s="141"/>
      <c r="D27" s="141"/>
      <c r="E27" s="142"/>
      <c r="F27" s="142"/>
      <c r="G27" s="142"/>
      <c r="H27" s="141"/>
      <c r="I27" s="141"/>
      <c r="J27" s="142">
        <v>289</v>
      </c>
      <c r="K27" s="141">
        <v>0</v>
      </c>
      <c r="L27" s="141">
        <v>0</v>
      </c>
      <c r="M27" s="141">
        <f>+K27+J27+L27</f>
        <v>289</v>
      </c>
      <c r="N27" s="144">
        <v>25000</v>
      </c>
      <c r="O27" s="144">
        <v>0</v>
      </c>
      <c r="P27" s="144">
        <v>13445.82</v>
      </c>
      <c r="Q27" s="144">
        <v>15000</v>
      </c>
      <c r="R27" s="144">
        <v>0</v>
      </c>
      <c r="S27" s="144">
        <v>22037.85</v>
      </c>
      <c r="T27" s="144">
        <v>10000</v>
      </c>
      <c r="U27" s="144">
        <v>0</v>
      </c>
      <c r="V27" s="144">
        <f>SUM(S27:U27)</f>
        <v>32037.85</v>
      </c>
      <c r="W27" s="144">
        <v>10000</v>
      </c>
      <c r="X27" s="144">
        <v>0</v>
      </c>
      <c r="Y27" s="144">
        <f>+V27+W27+X27</f>
        <v>42037.85</v>
      </c>
    </row>
    <row r="29" spans="1:25" x14ac:dyDescent="0.3">
      <c r="A29" s="91" t="s">
        <v>2225</v>
      </c>
      <c r="B29" s="97"/>
      <c r="C29" s="97"/>
      <c r="D29" s="97"/>
      <c r="E29" s="99"/>
      <c r="F29" s="99" t="e">
        <f>+F25+F38+F27</f>
        <v>#N/A</v>
      </c>
      <c r="G29" s="99" t="e">
        <f>#N/A</f>
        <v>#N/A</v>
      </c>
      <c r="H29" s="99" t="e">
        <f>#N/A</f>
        <v>#N/A</v>
      </c>
      <c r="I29" s="99" t="e">
        <f>#N/A</f>
        <v>#N/A</v>
      </c>
      <c r="J29" s="99" t="e">
        <f>#N/A</f>
        <v>#N/A</v>
      </c>
      <c r="K29" s="99" t="e">
        <f>#N/A</f>
        <v>#N/A</v>
      </c>
      <c r="L29" s="99" t="e">
        <f>#N/A</f>
        <v>#N/A</v>
      </c>
      <c r="M29" s="99" t="e">
        <f>#N/A</f>
        <v>#N/A</v>
      </c>
      <c r="N29" s="99">
        <f t="shared" ref="N29:S29" si="3">+N25+N27</f>
        <v>1077000</v>
      </c>
      <c r="O29" s="99">
        <f t="shared" si="3"/>
        <v>-2296000</v>
      </c>
      <c r="P29" s="99">
        <f t="shared" si="3"/>
        <v>3683609.7600000002</v>
      </c>
      <c r="Q29" s="99">
        <f t="shared" si="3"/>
        <v>1446000</v>
      </c>
      <c r="R29" s="99">
        <f t="shared" si="3"/>
        <v>-1517334</v>
      </c>
      <c r="S29" s="99" t="e">
        <f t="shared" si="3"/>
        <v>#N/A</v>
      </c>
      <c r="T29" s="99">
        <f t="shared" ref="T29:Y29" si="4">+T25+T27</f>
        <v>1612000</v>
      </c>
      <c r="U29" s="99">
        <f t="shared" si="4"/>
        <v>-1440500</v>
      </c>
      <c r="V29" s="99">
        <f t="shared" si="4"/>
        <v>3213453.3099999996</v>
      </c>
      <c r="W29" s="99">
        <f t="shared" si="4"/>
        <v>1697000</v>
      </c>
      <c r="X29" s="99">
        <f t="shared" si="4"/>
        <v>-1983809</v>
      </c>
      <c r="Y29" s="99">
        <f t="shared" si="4"/>
        <v>2926644.3099999996</v>
      </c>
    </row>
    <row r="30" spans="1:25" x14ac:dyDescent="0.3">
      <c r="A30" s="91"/>
      <c r="B30" s="97"/>
      <c r="C30" s="97"/>
      <c r="D30" s="97"/>
      <c r="E30" s="99"/>
      <c r="F30" s="99"/>
      <c r="G30" s="99"/>
      <c r="H30" s="98"/>
      <c r="I30" s="98"/>
      <c r="J30" s="99"/>
      <c r="K30" s="98"/>
      <c r="L30" s="98"/>
      <c r="M30" s="98"/>
      <c r="N30" s="98"/>
      <c r="O30" s="98"/>
      <c r="P30" s="98"/>
      <c r="Q30" s="98"/>
      <c r="R30" s="98"/>
      <c r="S30" s="98"/>
      <c r="T30" s="98"/>
      <c r="U30" s="98"/>
      <c r="V30" s="98"/>
      <c r="W30" s="98"/>
      <c r="X30" s="98"/>
      <c r="Y30" s="98"/>
    </row>
    <row r="31" spans="1:25" ht="19.2" x14ac:dyDescent="0.6">
      <c r="A31" s="140" t="s">
        <v>744</v>
      </c>
      <c r="B31" s="144">
        <v>0</v>
      </c>
      <c r="C31" s="144">
        <v>450000</v>
      </c>
      <c r="D31" s="144">
        <v>0</v>
      </c>
      <c r="E31" s="145">
        <v>500000</v>
      </c>
      <c r="F31" s="145">
        <v>350000</v>
      </c>
      <c r="G31" s="145">
        <v>633301</v>
      </c>
      <c r="H31" s="144">
        <v>225000</v>
      </c>
      <c r="I31" s="144">
        <f>-119000-66434</f>
        <v>-185434</v>
      </c>
      <c r="J31" s="145">
        <v>769090</v>
      </c>
      <c r="K31" s="144">
        <v>25000</v>
      </c>
      <c r="L31" s="144">
        <f>-101000-76247</f>
        <v>-177247</v>
      </c>
      <c r="M31" s="144">
        <f>+J31+K31+L31</f>
        <v>616843</v>
      </c>
      <c r="N31" s="144">
        <v>25000</v>
      </c>
      <c r="O31" s="144">
        <v>-75000</v>
      </c>
      <c r="P31" s="144">
        <v>630476.09</v>
      </c>
      <c r="Q31" s="144">
        <v>75000</v>
      </c>
      <c r="R31" s="144">
        <v>-185000</v>
      </c>
      <c r="S31" s="144">
        <v>495519.01</v>
      </c>
      <c r="T31" s="144">
        <v>75000</v>
      </c>
      <c r="U31" s="144">
        <v>-248000</v>
      </c>
      <c r="V31" s="144">
        <f>SUM(S31:U31)</f>
        <v>322519.01</v>
      </c>
      <c r="W31" s="144">
        <v>300000</v>
      </c>
      <c r="X31" s="144">
        <v>-550000</v>
      </c>
      <c r="Y31" s="144">
        <f>+V31+W31+X31</f>
        <v>72519.010000000009</v>
      </c>
    </row>
    <row r="32" spans="1:25" ht="19.2" x14ac:dyDescent="0.6">
      <c r="A32" s="91"/>
      <c r="B32" s="105"/>
      <c r="C32" s="105"/>
      <c r="D32" s="105"/>
      <c r="E32" s="102"/>
      <c r="F32" s="102"/>
      <c r="G32" s="102"/>
      <c r="H32" s="104"/>
      <c r="I32" s="104"/>
      <c r="J32" s="102"/>
      <c r="K32" s="104"/>
      <c r="L32" s="104"/>
      <c r="M32" s="104"/>
      <c r="N32" s="104"/>
      <c r="O32" s="104"/>
      <c r="P32" s="104"/>
      <c r="Q32" s="104"/>
      <c r="R32" s="104"/>
      <c r="S32" s="104"/>
      <c r="T32" s="104"/>
      <c r="U32" s="104"/>
      <c r="V32" s="104"/>
      <c r="W32" s="104"/>
      <c r="X32" s="104"/>
      <c r="Y32" s="104"/>
    </row>
    <row r="33" spans="1:25" x14ac:dyDescent="0.3">
      <c r="A33" s="91" t="s">
        <v>745</v>
      </c>
      <c r="B33" s="97">
        <f>SUM(B6:B31)</f>
        <v>857647</v>
      </c>
      <c r="C33" s="97" t="e">
        <f>+C25+C31</f>
        <v>#N/A</v>
      </c>
      <c r="D33" s="97" t="e">
        <f>+D25+D31</f>
        <v>#N/A</v>
      </c>
      <c r="E33" s="97" t="e">
        <f>+E25+E31</f>
        <v>#N/A</v>
      </c>
      <c r="F33" s="97" t="e">
        <f>+F31+F29</f>
        <v>#N/A</v>
      </c>
      <c r="G33" s="97" t="e">
        <f>#N/A</f>
        <v>#N/A</v>
      </c>
      <c r="H33" s="97" t="e">
        <f>#N/A</f>
        <v>#N/A</v>
      </c>
      <c r="I33" s="97" t="e">
        <f>#N/A</f>
        <v>#N/A</v>
      </c>
      <c r="J33" s="97" t="e">
        <f>#N/A</f>
        <v>#N/A</v>
      </c>
      <c r="K33" s="97" t="e">
        <f>#N/A</f>
        <v>#N/A</v>
      </c>
      <c r="L33" s="97" t="e">
        <f>#N/A</f>
        <v>#N/A</v>
      </c>
      <c r="M33" s="97" t="e">
        <f>#N/A</f>
        <v>#N/A</v>
      </c>
      <c r="N33" s="97">
        <f t="shared" ref="N33:Y33" si="5">+N29+N31</f>
        <v>1102000</v>
      </c>
      <c r="O33" s="97">
        <f t="shared" si="5"/>
        <v>-2371000</v>
      </c>
      <c r="P33" s="97">
        <f t="shared" si="5"/>
        <v>4314085.8500000006</v>
      </c>
      <c r="Q33" s="97">
        <f t="shared" si="5"/>
        <v>1521000</v>
      </c>
      <c r="R33" s="97">
        <f t="shared" si="5"/>
        <v>-1702334</v>
      </c>
      <c r="S33" s="97" t="e">
        <f t="shared" si="5"/>
        <v>#N/A</v>
      </c>
      <c r="T33" s="97">
        <f>+T29+T31</f>
        <v>1687000</v>
      </c>
      <c r="U33" s="97">
        <f t="shared" si="5"/>
        <v>-1688500</v>
      </c>
      <c r="V33" s="97">
        <f t="shared" si="5"/>
        <v>3535972.3199999994</v>
      </c>
      <c r="W33" s="97">
        <f t="shared" si="5"/>
        <v>1997000</v>
      </c>
      <c r="X33" s="97">
        <f t="shared" si="5"/>
        <v>-2533809</v>
      </c>
      <c r="Y33" s="97">
        <f t="shared" si="5"/>
        <v>2999163.3199999994</v>
      </c>
    </row>
    <row r="34" spans="1:25" ht="16.2" x14ac:dyDescent="0.35">
      <c r="A34" s="106"/>
      <c r="B34" s="106"/>
      <c r="C34" s="106"/>
      <c r="D34" s="106"/>
      <c r="E34" s="106"/>
      <c r="F34" s="106"/>
      <c r="G34" s="106"/>
      <c r="H34" s="106"/>
      <c r="I34" s="107"/>
      <c r="J34" s="107"/>
      <c r="K34" s="107"/>
      <c r="L34" s="107"/>
      <c r="M34" s="107"/>
    </row>
    <row r="35" spans="1:25" ht="16.2" x14ac:dyDescent="0.35">
      <c r="A35" s="106" t="s">
        <v>2223</v>
      </c>
      <c r="B35" s="108"/>
      <c r="C35" s="108"/>
      <c r="D35" s="108"/>
      <c r="E35" s="108"/>
      <c r="F35" s="108"/>
      <c r="G35" s="108"/>
      <c r="H35" s="108"/>
      <c r="I35" s="109"/>
      <c r="J35" s="109"/>
      <c r="K35" s="109"/>
      <c r="L35" s="109"/>
      <c r="M35" s="109"/>
    </row>
    <row r="36" spans="1:25" ht="16.2" x14ac:dyDescent="0.35">
      <c r="A36" s="106" t="s">
        <v>2224</v>
      </c>
      <c r="B36" s="106"/>
      <c r="C36" s="106"/>
      <c r="D36" s="106"/>
      <c r="E36" s="106"/>
      <c r="F36" s="106"/>
      <c r="G36" s="106"/>
      <c r="H36" s="106"/>
      <c r="I36" s="107"/>
      <c r="J36" s="107"/>
      <c r="K36" s="107"/>
      <c r="L36" s="107"/>
      <c r="M36" s="107"/>
    </row>
    <row r="37" spans="1:25" ht="16.2" x14ac:dyDescent="0.35">
      <c r="A37" s="106"/>
      <c r="B37" s="106"/>
      <c r="C37" s="106"/>
      <c r="D37" s="106"/>
      <c r="E37" s="106"/>
      <c r="F37" s="106"/>
      <c r="G37" s="106"/>
      <c r="H37" s="106"/>
      <c r="I37" s="107"/>
      <c r="J37" s="107"/>
      <c r="K37" s="107"/>
      <c r="L37" s="107"/>
      <c r="M37" s="107"/>
    </row>
    <row r="38" spans="1:25" x14ac:dyDescent="0.3">
      <c r="A38" s="91" t="s">
        <v>1937</v>
      </c>
      <c r="B38" s="97"/>
      <c r="C38" s="97"/>
      <c r="D38" s="97"/>
      <c r="E38" s="99"/>
      <c r="F38" s="99"/>
      <c r="G38" s="99"/>
      <c r="H38" s="98"/>
      <c r="I38" s="98"/>
      <c r="J38" s="99"/>
      <c r="K38" s="98"/>
      <c r="L38" s="98"/>
      <c r="M38" s="98"/>
      <c r="N38" s="98"/>
      <c r="O38" s="98">
        <v>-1340000</v>
      </c>
      <c r="P38" s="98"/>
      <c r="Q38" s="98"/>
      <c r="R38" s="98">
        <v>-1280000</v>
      </c>
      <c r="S38" s="98"/>
      <c r="T38" s="98"/>
      <c r="U38" s="98">
        <f>-2182000-436000</f>
        <v>-2618000</v>
      </c>
      <c r="V38" s="98"/>
      <c r="W38" s="98"/>
      <c r="X38" s="98">
        <v>-1387231</v>
      </c>
      <c r="Y38" s="98"/>
    </row>
    <row r="39" spans="1:25" ht="16.2" x14ac:dyDescent="0.35">
      <c r="A39" s="106"/>
      <c r="B39" s="106"/>
      <c r="C39" s="106"/>
      <c r="D39" s="106"/>
      <c r="E39" s="106"/>
      <c r="F39" s="106"/>
      <c r="G39" s="106"/>
      <c r="H39" s="106"/>
      <c r="I39" s="107"/>
      <c r="J39" s="107"/>
      <c r="K39" s="107"/>
      <c r="L39" s="107"/>
      <c r="M39" s="107"/>
    </row>
    <row r="40" spans="1:25" ht="16.2" x14ac:dyDescent="0.35">
      <c r="A40" s="106"/>
      <c r="B40" s="106"/>
      <c r="C40" s="106"/>
      <c r="D40" s="106"/>
      <c r="E40" s="106"/>
      <c r="F40" s="106"/>
      <c r="G40" s="106"/>
      <c r="H40" s="106"/>
      <c r="I40" s="107"/>
      <c r="J40" s="107"/>
      <c r="K40" s="107"/>
      <c r="L40" s="107"/>
      <c r="M40" s="107"/>
    </row>
    <row r="41" spans="1:25" ht="16.2" x14ac:dyDescent="0.35">
      <c r="A41" s="106"/>
      <c r="B41" s="106"/>
      <c r="C41" s="106"/>
      <c r="D41" s="106"/>
      <c r="E41" s="106"/>
      <c r="F41" s="106"/>
      <c r="G41" s="106"/>
      <c r="H41" s="106"/>
      <c r="I41" s="107"/>
      <c r="J41" s="107"/>
      <c r="K41" s="107"/>
      <c r="L41" s="107"/>
      <c r="M41" s="107"/>
    </row>
    <row r="42" spans="1:25" ht="16.2" x14ac:dyDescent="0.35">
      <c r="A42" s="106"/>
      <c r="B42" s="106"/>
      <c r="C42" s="106"/>
      <c r="D42" s="106"/>
      <c r="E42" s="106"/>
      <c r="F42" s="106"/>
      <c r="G42" s="106"/>
      <c r="H42" s="106"/>
      <c r="I42" s="107"/>
      <c r="J42" s="107"/>
      <c r="K42" s="107"/>
      <c r="L42" s="107"/>
      <c r="M42" s="107"/>
    </row>
    <row r="43" spans="1:25" ht="16.2" x14ac:dyDescent="0.35">
      <c r="A43" s="106"/>
      <c r="B43" s="106"/>
      <c r="C43" s="106"/>
      <c r="D43" s="106"/>
      <c r="E43" s="106"/>
      <c r="F43" s="106"/>
      <c r="G43" s="106"/>
      <c r="H43" s="106"/>
      <c r="I43" s="107"/>
      <c r="J43" s="107"/>
      <c r="K43" s="107"/>
      <c r="L43" s="107"/>
      <c r="M43" s="107"/>
    </row>
    <row r="44" spans="1:25" ht="16.2" x14ac:dyDescent="0.35">
      <c r="A44" s="106"/>
      <c r="B44" s="106"/>
      <c r="C44" s="106"/>
      <c r="D44" s="106"/>
      <c r="E44" s="106"/>
      <c r="F44" s="106"/>
      <c r="G44" s="106"/>
      <c r="H44" s="106"/>
      <c r="I44" s="107"/>
      <c r="J44" s="107"/>
      <c r="K44" s="107"/>
      <c r="L44" s="107"/>
      <c r="M44" s="107"/>
    </row>
    <row r="45" spans="1:25" ht="16.2" x14ac:dyDescent="0.35">
      <c r="A45" s="106"/>
      <c r="B45" s="106"/>
      <c r="C45" s="106"/>
      <c r="D45" s="106"/>
      <c r="E45" s="106"/>
      <c r="F45" s="106"/>
      <c r="G45" s="106"/>
      <c r="H45" s="106"/>
      <c r="I45" s="107"/>
      <c r="J45" s="107"/>
      <c r="K45" s="107"/>
      <c r="L45" s="107"/>
      <c r="M45" s="107"/>
    </row>
    <row r="46" spans="1:25" ht="16.2" x14ac:dyDescent="0.35">
      <c r="A46" s="106"/>
      <c r="B46" s="106"/>
      <c r="C46" s="106"/>
      <c r="D46" s="106"/>
      <c r="E46" s="106"/>
      <c r="F46" s="106"/>
      <c r="G46" s="106"/>
      <c r="H46" s="106"/>
      <c r="I46" s="107"/>
      <c r="J46" s="107"/>
      <c r="K46" s="107"/>
      <c r="L46" s="107"/>
      <c r="M46" s="107"/>
    </row>
  </sheetData>
  <mergeCells count="3">
    <mergeCell ref="A3:M3"/>
    <mergeCell ref="A1:Y1"/>
    <mergeCell ref="A2:Y2"/>
  </mergeCells>
  <phoneticPr fontId="5" type="noConversion"/>
  <printOptions gridLines="1"/>
  <pageMargins left="0.75" right="0.16" top="0.51" bottom="0.22" header="0.5" footer="0.5"/>
  <pageSetup scale="95"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J252"/>
  <sheetViews>
    <sheetView view="pageBreakPreview" topLeftCell="A180" zoomScaleNormal="100" zoomScaleSheetLayoutView="100" workbookViewId="0">
      <selection activeCell="A181" sqref="A181"/>
    </sheetView>
  </sheetViews>
  <sheetFormatPr defaultRowHeight="13.2" x14ac:dyDescent="0.25"/>
  <cols>
    <col min="1" max="1" width="50" style="8" bestFit="1" customWidth="1"/>
    <col min="2" max="2" width="8.88671875" style="8" customWidth="1"/>
    <col min="3" max="3" width="9" style="8" bestFit="1" customWidth="1"/>
    <col min="4" max="4" width="11.44140625" style="2" bestFit="1" customWidth="1"/>
    <col min="5" max="5" width="10.44140625" style="8" bestFit="1" customWidth="1"/>
    <col min="6" max="6" width="10.33203125" style="8" bestFit="1" customWidth="1"/>
    <col min="7" max="7" width="10.88671875" style="8" bestFit="1" customWidth="1"/>
    <col min="8" max="8" width="14" style="8" bestFit="1" customWidth="1"/>
    <col min="9" max="9" width="10.21875" style="8" bestFit="1" customWidth="1"/>
    <col min="10" max="10" width="10.88671875" style="8" customWidth="1"/>
    <col min="11" max="16384" width="8.88671875" style="8"/>
  </cols>
  <sheetData>
    <row r="1" spans="1:10" x14ac:dyDescent="0.25">
      <c r="A1" s="217" t="s">
        <v>1972</v>
      </c>
      <c r="B1" s="218"/>
      <c r="C1" s="218"/>
      <c r="D1" s="218"/>
      <c r="E1" s="218"/>
      <c r="F1" s="218"/>
      <c r="G1" s="218"/>
      <c r="H1" s="218"/>
      <c r="I1" s="218"/>
      <c r="J1" s="218"/>
    </row>
    <row r="2" spans="1:10" ht="17.399999999999999" x14ac:dyDescent="0.3">
      <c r="A2" s="202" t="s">
        <v>2246</v>
      </c>
      <c r="B2" s="202"/>
      <c r="C2" s="202"/>
      <c r="D2" s="202"/>
      <c r="E2" s="202"/>
      <c r="F2" s="202"/>
    </row>
    <row r="3" spans="1:10" x14ac:dyDescent="0.25">
      <c r="B3" s="2"/>
      <c r="C3" s="2"/>
      <c r="E3" s="2"/>
      <c r="F3" s="2"/>
    </row>
    <row r="4" spans="1:10" x14ac:dyDescent="0.25">
      <c r="B4" s="2"/>
      <c r="C4" s="2"/>
      <c r="E4" s="9" t="s">
        <v>251</v>
      </c>
      <c r="F4" s="9" t="s">
        <v>252</v>
      </c>
      <c r="G4" s="9" t="s">
        <v>73</v>
      </c>
      <c r="H4" s="9" t="s">
        <v>430</v>
      </c>
      <c r="I4" s="2" t="s">
        <v>330</v>
      </c>
      <c r="J4" s="2" t="s">
        <v>364</v>
      </c>
    </row>
    <row r="5" spans="1:10" ht="15" x14ac:dyDescent="0.4">
      <c r="B5" s="2"/>
      <c r="C5" s="2"/>
      <c r="E5" s="10" t="s">
        <v>1684</v>
      </c>
      <c r="F5" s="10" t="s">
        <v>1874</v>
      </c>
      <c r="G5" s="10" t="s">
        <v>1944</v>
      </c>
      <c r="H5" s="10" t="s">
        <v>1944</v>
      </c>
      <c r="I5" s="10" t="s">
        <v>1944</v>
      </c>
      <c r="J5" s="10" t="s">
        <v>1944</v>
      </c>
    </row>
    <row r="6" spans="1:10" ht="13.8" x14ac:dyDescent="0.3">
      <c r="A6" s="11" t="s">
        <v>542</v>
      </c>
      <c r="B6" s="2"/>
      <c r="C6" s="2"/>
      <c r="E6" s="2">
        <v>95897</v>
      </c>
      <c r="F6" s="2">
        <v>107095</v>
      </c>
      <c r="G6" s="2">
        <v>107176</v>
      </c>
      <c r="H6" s="2">
        <v>107176</v>
      </c>
      <c r="I6" s="2">
        <v>107176</v>
      </c>
      <c r="J6" s="2">
        <v>107176</v>
      </c>
    </row>
    <row r="7" spans="1:10" x14ac:dyDescent="0.25">
      <c r="A7" s="8" t="s">
        <v>1045</v>
      </c>
      <c r="B7" s="2">
        <v>52</v>
      </c>
      <c r="C7" s="2">
        <v>1208</v>
      </c>
      <c r="D7" s="2">
        <f>ROUND(B7*C7,0)</f>
        <v>62816</v>
      </c>
      <c r="E7" s="2"/>
      <c r="F7" s="2"/>
      <c r="G7" s="2"/>
      <c r="H7" s="2"/>
      <c r="I7" s="2"/>
      <c r="J7" s="2"/>
    </row>
    <row r="8" spans="1:10" x14ac:dyDescent="0.25">
      <c r="A8" s="8" t="s">
        <v>1046</v>
      </c>
      <c r="B8" s="2">
        <v>52</v>
      </c>
      <c r="C8" s="2">
        <v>785</v>
      </c>
      <c r="D8" s="2">
        <f>ROUND(B8*C8,0)</f>
        <v>40820</v>
      </c>
      <c r="E8" s="2"/>
      <c r="F8" s="2"/>
      <c r="G8" s="2"/>
      <c r="H8" s="2"/>
      <c r="I8" s="2"/>
      <c r="J8" s="2"/>
    </row>
    <row r="9" spans="1:10" x14ac:dyDescent="0.25">
      <c r="A9" s="8" t="s">
        <v>978</v>
      </c>
      <c r="B9" s="2">
        <v>56</v>
      </c>
      <c r="C9" s="13">
        <v>30.2</v>
      </c>
      <c r="D9" s="2">
        <f>ROUND(B9*C9,0)</f>
        <v>1691</v>
      </c>
      <c r="E9" s="2"/>
      <c r="F9" s="2"/>
      <c r="G9" s="2"/>
      <c r="H9" s="2"/>
      <c r="I9" s="2"/>
      <c r="J9" s="2"/>
    </row>
    <row r="10" spans="1:10" x14ac:dyDescent="0.25">
      <c r="A10" s="8" t="s">
        <v>979</v>
      </c>
      <c r="B10" s="2">
        <v>56</v>
      </c>
      <c r="C10" s="13">
        <v>19.63</v>
      </c>
      <c r="D10" s="2">
        <f>ROUND(B10*C10,0)</f>
        <v>1099</v>
      </c>
      <c r="E10" s="2"/>
      <c r="F10" s="2"/>
      <c r="G10" s="2"/>
      <c r="H10" s="2"/>
      <c r="I10" s="2"/>
      <c r="J10" s="2"/>
    </row>
    <row r="11" spans="1:10" ht="15" x14ac:dyDescent="0.4">
      <c r="A11" s="8" t="s">
        <v>995</v>
      </c>
      <c r="B11" s="2"/>
      <c r="C11" s="2"/>
      <c r="D11" s="12">
        <v>750</v>
      </c>
      <c r="E11" s="2"/>
      <c r="F11" s="2"/>
      <c r="G11" s="2"/>
      <c r="H11" s="2"/>
      <c r="I11" s="2"/>
      <c r="J11" s="2"/>
    </row>
    <row r="12" spans="1:10" x14ac:dyDescent="0.25">
      <c r="A12" s="8" t="s">
        <v>1279</v>
      </c>
      <c r="B12" s="2"/>
      <c r="C12" s="2"/>
      <c r="D12" s="2">
        <f>SUM(D7:D11)</f>
        <v>107176</v>
      </c>
      <c r="E12" s="2"/>
      <c r="F12" s="2"/>
      <c r="G12" s="2"/>
      <c r="H12" s="2"/>
      <c r="I12" s="2"/>
      <c r="J12" s="2"/>
    </row>
    <row r="13" spans="1:10" x14ac:dyDescent="0.25">
      <c r="B13" s="2"/>
      <c r="C13" s="2"/>
      <c r="E13" s="2"/>
      <c r="F13" s="2"/>
      <c r="G13" s="2"/>
      <c r="H13" s="2"/>
      <c r="I13" s="2"/>
      <c r="J13" s="2"/>
    </row>
    <row r="14" spans="1:10" ht="13.8" x14ac:dyDescent="0.3">
      <c r="A14" s="11" t="s">
        <v>543</v>
      </c>
      <c r="B14" s="2"/>
      <c r="C14" s="2"/>
      <c r="D14" s="2">
        <f t="shared" ref="D14:D20" si="0">ROUND(B14*C14,0)</f>
        <v>0</v>
      </c>
      <c r="E14" s="2">
        <v>156482</v>
      </c>
      <c r="F14" s="2">
        <v>178763</v>
      </c>
      <c r="G14" s="2">
        <v>182516</v>
      </c>
      <c r="H14" s="2">
        <v>182741</v>
      </c>
      <c r="I14" s="2">
        <v>180071</v>
      </c>
      <c r="J14" s="2">
        <v>180071</v>
      </c>
    </row>
    <row r="15" spans="1:10" x14ac:dyDescent="0.25">
      <c r="A15" s="196" t="s">
        <v>1398</v>
      </c>
      <c r="B15" s="197">
        <v>52</v>
      </c>
      <c r="C15" s="137">
        <v>886</v>
      </c>
      <c r="D15" s="2">
        <f t="shared" si="0"/>
        <v>46072</v>
      </c>
      <c r="E15" s="2"/>
      <c r="F15" s="2"/>
      <c r="G15" s="2"/>
      <c r="H15" s="2"/>
      <c r="I15" s="2"/>
      <c r="J15" s="2"/>
    </row>
    <row r="16" spans="1:10" x14ac:dyDescent="0.25">
      <c r="A16" s="196" t="s">
        <v>1047</v>
      </c>
      <c r="B16" s="197">
        <v>52</v>
      </c>
      <c r="C16" s="137">
        <v>771</v>
      </c>
      <c r="D16" s="2">
        <f t="shared" si="0"/>
        <v>40092</v>
      </c>
      <c r="E16" s="2"/>
      <c r="F16" s="2"/>
      <c r="G16" s="2"/>
      <c r="H16" s="2"/>
      <c r="I16" s="2"/>
      <c r="J16" s="2"/>
    </row>
    <row r="17" spans="1:10" x14ac:dyDescent="0.25">
      <c r="A17" s="196" t="s">
        <v>1398</v>
      </c>
      <c r="B17" s="197">
        <v>52</v>
      </c>
      <c r="C17" s="137">
        <v>902</v>
      </c>
      <c r="D17" s="2">
        <f t="shared" si="0"/>
        <v>46904</v>
      </c>
      <c r="E17" s="2"/>
      <c r="F17" s="2"/>
      <c r="G17" s="2"/>
      <c r="H17" s="2"/>
      <c r="I17" s="2"/>
      <c r="J17" s="2"/>
    </row>
    <row r="18" spans="1:10" x14ac:dyDescent="0.25">
      <c r="A18" s="196" t="s">
        <v>1047</v>
      </c>
      <c r="B18" s="197">
        <v>52</v>
      </c>
      <c r="C18" s="137">
        <v>771</v>
      </c>
      <c r="D18" s="2">
        <f t="shared" si="0"/>
        <v>40092</v>
      </c>
      <c r="E18" s="2"/>
      <c r="F18" s="2"/>
      <c r="G18" s="2"/>
      <c r="H18" s="2"/>
      <c r="I18" s="2"/>
      <c r="J18" s="2"/>
    </row>
    <row r="19" spans="1:10" x14ac:dyDescent="0.25">
      <c r="A19" s="8" t="s">
        <v>714</v>
      </c>
      <c r="B19" s="2">
        <v>1664</v>
      </c>
      <c r="C19" s="13">
        <v>0.75</v>
      </c>
      <c r="D19" s="2">
        <f t="shared" si="0"/>
        <v>1248</v>
      </c>
      <c r="E19" s="2"/>
      <c r="F19" s="2"/>
      <c r="G19" s="2"/>
      <c r="H19" s="2"/>
      <c r="I19" s="2"/>
      <c r="J19" s="2"/>
    </row>
    <row r="20" spans="1:10" x14ac:dyDescent="0.25">
      <c r="A20" s="8" t="s">
        <v>715</v>
      </c>
      <c r="B20" s="2">
        <v>224</v>
      </c>
      <c r="C20" s="13">
        <f>SUM(C15:C19)/40/4</f>
        <v>20.817187499999999</v>
      </c>
      <c r="D20" s="2">
        <f t="shared" si="0"/>
        <v>4663</v>
      </c>
      <c r="E20" s="2"/>
      <c r="F20" s="2"/>
      <c r="G20" s="2"/>
      <c r="H20" s="2"/>
      <c r="I20" s="2"/>
      <c r="J20" s="2"/>
    </row>
    <row r="21" spans="1:10" ht="15" x14ac:dyDescent="0.4">
      <c r="A21" s="8" t="s">
        <v>995</v>
      </c>
      <c r="B21" s="2" t="s">
        <v>417</v>
      </c>
      <c r="C21" s="48" t="s">
        <v>417</v>
      </c>
      <c r="D21" s="12">
        <v>1000</v>
      </c>
      <c r="E21" s="2"/>
      <c r="F21" s="2"/>
      <c r="G21" s="2"/>
      <c r="H21" s="2"/>
      <c r="I21" s="2"/>
      <c r="J21" s="2"/>
    </row>
    <row r="22" spans="1:10" x14ac:dyDescent="0.25">
      <c r="A22" s="8" t="s">
        <v>1279</v>
      </c>
      <c r="B22" s="2"/>
      <c r="C22" s="2"/>
      <c r="D22" s="2">
        <f>SUM(D15:D21)</f>
        <v>180071</v>
      </c>
      <c r="E22" s="2"/>
      <c r="F22" s="2"/>
      <c r="G22" s="2"/>
      <c r="H22" s="2"/>
      <c r="I22" s="2"/>
      <c r="J22" s="2"/>
    </row>
    <row r="23" spans="1:10" x14ac:dyDescent="0.25">
      <c r="E23" s="2"/>
      <c r="F23" s="2"/>
      <c r="G23" s="2"/>
      <c r="H23" s="2"/>
      <c r="I23" s="2"/>
      <c r="J23" s="2"/>
    </row>
    <row r="24" spans="1:10" ht="13.8" x14ac:dyDescent="0.3">
      <c r="A24" s="11" t="s">
        <v>544</v>
      </c>
      <c r="E24" s="2">
        <v>6109.8</v>
      </c>
      <c r="F24" s="2">
        <v>7043</v>
      </c>
      <c r="G24" s="2">
        <v>7258</v>
      </c>
      <c r="H24" s="2">
        <v>7258</v>
      </c>
      <c r="I24" s="2">
        <v>7258</v>
      </c>
      <c r="J24" s="2">
        <v>7258</v>
      </c>
    </row>
    <row r="25" spans="1:10" x14ac:dyDescent="0.25">
      <c r="A25" s="8" t="s">
        <v>1603</v>
      </c>
      <c r="B25" s="2">
        <v>194.22</v>
      </c>
      <c r="C25" s="13">
        <f>+(C7+C8)/40/2*1.5</f>
        <v>37.368750000000006</v>
      </c>
      <c r="D25" s="2">
        <f>ROUND(B25*C25,0)</f>
        <v>7258</v>
      </c>
      <c r="E25" s="2"/>
      <c r="F25" s="2"/>
      <c r="G25" s="2"/>
      <c r="H25" s="2"/>
      <c r="I25" s="2"/>
      <c r="J25" s="2"/>
    </row>
    <row r="26" spans="1:10" x14ac:dyDescent="0.25">
      <c r="A26" s="8" t="s">
        <v>417</v>
      </c>
      <c r="B26" s="2"/>
      <c r="C26" s="13"/>
      <c r="E26" s="2"/>
      <c r="F26" s="2"/>
      <c r="G26" s="2"/>
      <c r="H26" s="2"/>
      <c r="I26" s="2"/>
      <c r="J26" s="2"/>
    </row>
    <row r="27" spans="1:10" ht="13.8" x14ac:dyDescent="0.3">
      <c r="A27" s="11" t="s">
        <v>1959</v>
      </c>
      <c r="E27" s="2">
        <v>12419</v>
      </c>
      <c r="F27" s="2">
        <v>11781</v>
      </c>
      <c r="G27" s="2">
        <v>11781</v>
      </c>
      <c r="H27" s="2">
        <v>11781</v>
      </c>
      <c r="I27" s="2">
        <v>11781</v>
      </c>
      <c r="J27" s="2">
        <v>12026</v>
      </c>
    </row>
    <row r="28" spans="1:10" x14ac:dyDescent="0.25">
      <c r="A28" s="25" t="s">
        <v>1803</v>
      </c>
      <c r="B28" s="8">
        <v>1020</v>
      </c>
      <c r="C28" s="134">
        <v>11.79</v>
      </c>
      <c r="D28" s="2">
        <f>+C28*B28</f>
        <v>12025.8</v>
      </c>
      <c r="E28" s="2"/>
      <c r="I28" s="209"/>
      <c r="J28" s="213"/>
    </row>
    <row r="29" spans="1:10" x14ac:dyDescent="0.25">
      <c r="B29" s="2"/>
      <c r="C29" s="13"/>
      <c r="E29" s="2"/>
      <c r="F29" s="2"/>
      <c r="G29" s="2"/>
      <c r="H29" s="2"/>
      <c r="I29" s="2"/>
      <c r="J29" s="2"/>
    </row>
    <row r="30" spans="1:10" ht="13.8" x14ac:dyDescent="0.3">
      <c r="A30" s="11" t="s">
        <v>582</v>
      </c>
      <c r="E30" s="2">
        <v>48735</v>
      </c>
      <c r="F30" s="2">
        <v>30185</v>
      </c>
      <c r="G30" s="2">
        <v>31695</v>
      </c>
      <c r="H30" s="2">
        <v>31695</v>
      </c>
      <c r="I30" s="2">
        <v>31695</v>
      </c>
      <c r="J30" s="2">
        <v>31695</v>
      </c>
    </row>
    <row r="31" spans="1:10" x14ac:dyDescent="0.25">
      <c r="A31" s="8" t="s">
        <v>1604</v>
      </c>
      <c r="B31" s="2" t="s">
        <v>417</v>
      </c>
      <c r="C31" s="13" t="s">
        <v>417</v>
      </c>
      <c r="D31" s="2" t="s">
        <v>417</v>
      </c>
      <c r="E31" s="2"/>
      <c r="F31" s="2"/>
      <c r="G31" s="2"/>
      <c r="H31" s="2"/>
      <c r="I31" s="2"/>
      <c r="J31" s="2"/>
    </row>
    <row r="32" spans="1:10" x14ac:dyDescent="0.25">
      <c r="A32" s="8" t="s">
        <v>749</v>
      </c>
      <c r="B32" s="2">
        <v>1000</v>
      </c>
      <c r="C32" s="13">
        <f>+C20*1.5</f>
        <v>31.225781249999997</v>
      </c>
      <c r="D32" s="2">
        <f>ROUND(B32*C32,0)</f>
        <v>31226</v>
      </c>
      <c r="E32" s="2"/>
      <c r="F32" s="2"/>
      <c r="G32" s="2"/>
      <c r="H32" s="2"/>
      <c r="I32" s="2"/>
      <c r="J32" s="2"/>
    </row>
    <row r="33" spans="1:10" ht="13.5" customHeight="1" x14ac:dyDescent="0.25">
      <c r="B33" s="2"/>
      <c r="C33" s="13"/>
      <c r="E33" s="2"/>
      <c r="F33" s="2"/>
      <c r="G33" s="2"/>
      <c r="H33" s="2"/>
      <c r="I33" s="2"/>
      <c r="J33" s="2"/>
    </row>
    <row r="34" spans="1:10" ht="13.8" x14ac:dyDescent="0.3">
      <c r="A34" s="11" t="s">
        <v>583</v>
      </c>
      <c r="E34" s="2">
        <v>24440</v>
      </c>
      <c r="F34" s="2">
        <v>25617</v>
      </c>
      <c r="G34" s="2">
        <v>26043</v>
      </c>
      <c r="H34" s="2">
        <v>26061</v>
      </c>
      <c r="I34" s="2">
        <v>25820</v>
      </c>
      <c r="J34" s="2">
        <v>25838</v>
      </c>
    </row>
    <row r="35" spans="1:10" hidden="1" x14ac:dyDescent="0.25">
      <c r="A35" s="14" t="s">
        <v>1511</v>
      </c>
      <c r="B35" s="2">
        <f>+D12</f>
        <v>107176</v>
      </c>
      <c r="C35" s="15">
        <v>7.6499999999999999E-2</v>
      </c>
      <c r="D35" s="2">
        <f>ROUND(B35*C35,0)</f>
        <v>8199</v>
      </c>
      <c r="E35" s="2"/>
      <c r="F35" s="2"/>
      <c r="G35" s="2"/>
      <c r="H35" s="2"/>
      <c r="I35" s="2"/>
      <c r="J35" s="2"/>
    </row>
    <row r="36" spans="1:10" hidden="1" x14ac:dyDescent="0.25">
      <c r="A36" s="14" t="s">
        <v>831</v>
      </c>
      <c r="B36" s="2">
        <f>+D22</f>
        <v>180071</v>
      </c>
      <c r="C36" s="15">
        <v>7.6499999999999999E-2</v>
      </c>
      <c r="D36" s="2">
        <f>ROUND(B36*C36,0)</f>
        <v>13775</v>
      </c>
      <c r="E36" s="2"/>
      <c r="F36" s="2"/>
      <c r="G36" s="2"/>
      <c r="H36" s="2"/>
      <c r="I36" s="2"/>
      <c r="J36" s="2"/>
    </row>
    <row r="37" spans="1:10" hidden="1" x14ac:dyDescent="0.25">
      <c r="A37" s="14" t="s">
        <v>924</v>
      </c>
      <c r="B37" s="2">
        <f>+D25</f>
        <v>7258</v>
      </c>
      <c r="C37" s="15">
        <v>7.6499999999999999E-2</v>
      </c>
      <c r="D37" s="2">
        <f>ROUND(B37*C37,0)</f>
        <v>555</v>
      </c>
      <c r="E37" s="2"/>
      <c r="F37" s="2"/>
      <c r="G37" s="2"/>
      <c r="H37" s="2"/>
      <c r="I37" s="2"/>
      <c r="J37" s="2"/>
    </row>
    <row r="38" spans="1:10" hidden="1" x14ac:dyDescent="0.25">
      <c r="A38" s="14" t="s">
        <v>201</v>
      </c>
      <c r="B38" s="2">
        <f>+D28</f>
        <v>12025.8</v>
      </c>
      <c r="C38" s="15">
        <v>7.6499999999999999E-2</v>
      </c>
      <c r="D38" s="2">
        <f>ROUND(B38*C38,0)</f>
        <v>920</v>
      </c>
      <c r="E38" s="2"/>
      <c r="F38" s="2"/>
      <c r="G38" s="2"/>
      <c r="H38" s="2"/>
      <c r="I38" s="2"/>
      <c r="J38" s="2"/>
    </row>
    <row r="39" spans="1:10" ht="15" hidden="1" x14ac:dyDescent="0.4">
      <c r="A39" s="14" t="s">
        <v>202</v>
      </c>
      <c r="B39" s="2">
        <f>+D32</f>
        <v>31226</v>
      </c>
      <c r="C39" s="15">
        <v>7.6499999999999999E-2</v>
      </c>
      <c r="D39" s="12">
        <f>ROUND(B39*C39,0)</f>
        <v>2389</v>
      </c>
      <c r="E39" s="2"/>
      <c r="F39" s="2"/>
      <c r="G39" s="2"/>
      <c r="H39" s="2"/>
      <c r="I39" s="2"/>
      <c r="J39" s="2"/>
    </row>
    <row r="40" spans="1:10" hidden="1" x14ac:dyDescent="0.25">
      <c r="A40" s="8" t="s">
        <v>131</v>
      </c>
      <c r="D40" s="2">
        <f>SUM(D35:D39)</f>
        <v>25838</v>
      </c>
      <c r="E40" s="2"/>
      <c r="F40" s="2"/>
      <c r="G40" s="2"/>
      <c r="H40" s="2"/>
      <c r="I40" s="2"/>
      <c r="J40" s="2"/>
    </row>
    <row r="41" spans="1:10" x14ac:dyDescent="0.25">
      <c r="B41" s="2"/>
      <c r="E41" s="2"/>
      <c r="F41" s="2"/>
      <c r="G41" s="2"/>
      <c r="H41" s="2"/>
      <c r="I41" s="2"/>
      <c r="J41" s="2"/>
    </row>
    <row r="42" spans="1:10" ht="13.8" x14ac:dyDescent="0.3">
      <c r="A42" s="11" t="s">
        <v>584</v>
      </c>
      <c r="E42" s="2">
        <v>35575</v>
      </c>
      <c r="F42" s="2">
        <v>36089</v>
      </c>
      <c r="G42" s="2">
        <v>39931</v>
      </c>
      <c r="H42" s="2">
        <v>39958</v>
      </c>
      <c r="I42" s="2">
        <v>39577</v>
      </c>
      <c r="J42" s="2">
        <v>39577</v>
      </c>
    </row>
    <row r="43" spans="1:10" hidden="1" x14ac:dyDescent="0.25">
      <c r="A43" s="8" t="s">
        <v>750</v>
      </c>
      <c r="B43" s="2">
        <f>+D7+D9+D11</f>
        <v>65257</v>
      </c>
      <c r="C43" s="15">
        <v>0.1215</v>
      </c>
      <c r="D43" s="2">
        <f>ROUND(B43*C43,0)</f>
        <v>7929</v>
      </c>
      <c r="E43" s="2"/>
      <c r="F43" s="2"/>
      <c r="G43" s="2"/>
      <c r="H43" s="2"/>
      <c r="I43" s="2"/>
      <c r="J43" s="2"/>
    </row>
    <row r="44" spans="1:10" hidden="1" x14ac:dyDescent="0.25">
      <c r="A44" s="8" t="s">
        <v>522</v>
      </c>
      <c r="B44" s="2">
        <f>+D8+D10</f>
        <v>41919</v>
      </c>
      <c r="C44" s="15">
        <v>0.1215</v>
      </c>
      <c r="D44" s="2">
        <f>ROUND(B44*C44,0)</f>
        <v>5093</v>
      </c>
      <c r="E44" s="2"/>
      <c r="F44" s="2"/>
      <c r="G44" s="2"/>
      <c r="H44" s="2"/>
      <c r="I44" s="2"/>
      <c r="J44" s="2"/>
    </row>
    <row r="45" spans="1:10" hidden="1" x14ac:dyDescent="0.25">
      <c r="A45" s="14" t="s">
        <v>831</v>
      </c>
      <c r="B45" s="2">
        <f>+D22</f>
        <v>180071</v>
      </c>
      <c r="C45" s="15">
        <v>0.1215</v>
      </c>
      <c r="D45" s="2">
        <f>ROUND(B45*C45,0)</f>
        <v>21879</v>
      </c>
      <c r="E45" s="2"/>
      <c r="F45" s="2"/>
      <c r="G45" s="2"/>
      <c r="H45" s="2"/>
      <c r="I45" s="2"/>
      <c r="J45" s="2"/>
    </row>
    <row r="46" spans="1:10" hidden="1" x14ac:dyDescent="0.25">
      <c r="A46" s="14" t="s">
        <v>924</v>
      </c>
      <c r="B46" s="2">
        <f>+D25</f>
        <v>7258</v>
      </c>
      <c r="C46" s="15">
        <v>0.1215</v>
      </c>
      <c r="D46" s="2">
        <f>ROUND(B46*C46,0)</f>
        <v>882</v>
      </c>
      <c r="E46" s="2"/>
      <c r="F46" s="2"/>
      <c r="G46" s="2"/>
      <c r="H46" s="2"/>
      <c r="I46" s="2"/>
      <c r="J46" s="2"/>
    </row>
    <row r="47" spans="1:10" ht="15" hidden="1" x14ac:dyDescent="0.4">
      <c r="A47" s="14" t="s">
        <v>202</v>
      </c>
      <c r="B47" s="2">
        <f>+D32</f>
        <v>31226</v>
      </c>
      <c r="C47" s="15">
        <v>0.1215</v>
      </c>
      <c r="D47" s="12">
        <f>ROUND(B47*C47,0)</f>
        <v>3794</v>
      </c>
      <c r="E47" s="2"/>
      <c r="F47" s="2"/>
      <c r="G47" s="2"/>
      <c r="H47" s="2"/>
      <c r="I47" s="2"/>
      <c r="J47" s="2"/>
    </row>
    <row r="48" spans="1:10" hidden="1" x14ac:dyDescent="0.25">
      <c r="A48" s="8" t="s">
        <v>1279</v>
      </c>
      <c r="D48" s="2">
        <f>SUM(D43:D47)</f>
        <v>39577</v>
      </c>
      <c r="E48" s="2"/>
      <c r="F48" s="2"/>
      <c r="G48" s="2"/>
      <c r="H48" s="2"/>
      <c r="I48" s="2"/>
      <c r="J48" s="2"/>
    </row>
    <row r="49" spans="1:10" x14ac:dyDescent="0.25">
      <c r="E49" s="2"/>
      <c r="F49" s="2"/>
      <c r="G49" s="2"/>
      <c r="H49" s="2"/>
      <c r="I49" s="2"/>
      <c r="J49" s="2"/>
    </row>
    <row r="50" spans="1:10" ht="13.8" x14ac:dyDescent="0.3">
      <c r="A50" s="11" t="s">
        <v>585</v>
      </c>
      <c r="E50" s="2">
        <v>106507</v>
      </c>
      <c r="F50" s="2">
        <v>104000</v>
      </c>
      <c r="G50" s="2">
        <v>103500</v>
      </c>
      <c r="H50" s="2">
        <v>103500</v>
      </c>
      <c r="I50" s="2">
        <v>103500</v>
      </c>
      <c r="J50" s="2">
        <v>103500</v>
      </c>
    </row>
    <row r="51" spans="1:10" x14ac:dyDescent="0.25">
      <c r="A51" s="8" t="s">
        <v>1871</v>
      </c>
      <c r="B51" s="2">
        <v>4</v>
      </c>
      <c r="C51" s="2">
        <v>17250</v>
      </c>
      <c r="D51" s="2">
        <f>ROUND(B51*C51,0)</f>
        <v>69000</v>
      </c>
      <c r="E51" s="2"/>
      <c r="F51" s="2"/>
      <c r="G51" s="2"/>
      <c r="H51" s="2"/>
      <c r="I51" s="2"/>
      <c r="J51" s="2"/>
    </row>
    <row r="52" spans="1:10" ht="15" x14ac:dyDescent="0.4">
      <c r="B52" s="2">
        <v>2</v>
      </c>
      <c r="C52" s="2">
        <v>17250</v>
      </c>
      <c r="D52" s="12">
        <f>ROUND(B52*C52,0)</f>
        <v>34500</v>
      </c>
      <c r="E52" s="2"/>
      <c r="F52" s="2"/>
      <c r="G52" s="2"/>
      <c r="H52" s="2"/>
      <c r="I52" s="2"/>
      <c r="J52" s="2"/>
    </row>
    <row r="53" spans="1:10" x14ac:dyDescent="0.25">
      <c r="A53" s="8" t="s">
        <v>825</v>
      </c>
      <c r="B53" s="2"/>
      <c r="C53" s="2"/>
      <c r="D53" s="2">
        <f>SUM(D51:D52)</f>
        <v>103500</v>
      </c>
      <c r="E53" s="2"/>
      <c r="F53" s="2"/>
      <c r="G53" s="2"/>
      <c r="H53" s="2"/>
      <c r="I53" s="2"/>
      <c r="J53" s="2"/>
    </row>
    <row r="54" spans="1:10" x14ac:dyDescent="0.25">
      <c r="B54" s="2"/>
      <c r="E54" s="2"/>
      <c r="F54" s="2"/>
      <c r="G54" s="2"/>
      <c r="H54" s="2"/>
      <c r="I54" s="2"/>
      <c r="J54" s="2"/>
    </row>
    <row r="55" spans="1:10" ht="13.8" x14ac:dyDescent="0.3">
      <c r="A55" s="11" t="s">
        <v>586</v>
      </c>
      <c r="B55" s="2"/>
      <c r="E55" s="2">
        <v>7124</v>
      </c>
      <c r="F55" s="2">
        <v>7020</v>
      </c>
      <c r="G55" s="2">
        <v>7020</v>
      </c>
      <c r="H55" s="2">
        <v>7020</v>
      </c>
      <c r="I55" s="2">
        <v>7020</v>
      </c>
      <c r="J55" s="2">
        <v>7020</v>
      </c>
    </row>
    <row r="56" spans="1:10" x14ac:dyDescent="0.25">
      <c r="A56" s="8" t="s">
        <v>438</v>
      </c>
      <c r="B56" s="2">
        <v>6</v>
      </c>
      <c r="C56" s="2">
        <v>1300</v>
      </c>
      <c r="D56" s="2">
        <f>ROUND(B56*C56,0)</f>
        <v>7800</v>
      </c>
      <c r="E56" s="2"/>
      <c r="F56" s="2"/>
      <c r="G56" s="2"/>
      <c r="H56" s="2"/>
      <c r="I56" s="2"/>
      <c r="J56" s="2"/>
    </row>
    <row r="57" spans="1:10" ht="15" x14ac:dyDescent="0.4">
      <c r="A57" s="8" t="s">
        <v>1872</v>
      </c>
      <c r="B57" s="2"/>
      <c r="C57" s="2"/>
      <c r="D57" s="12">
        <f>+D56*-0.1</f>
        <v>-780</v>
      </c>
      <c r="E57" s="2"/>
      <c r="F57" s="2"/>
      <c r="G57" s="2"/>
      <c r="H57" s="2"/>
      <c r="I57" s="2"/>
      <c r="J57" s="2"/>
    </row>
    <row r="58" spans="1:10" x14ac:dyDescent="0.25">
      <c r="B58" s="2"/>
      <c r="C58" s="2"/>
      <c r="D58" s="2">
        <f>SUM(D56:D57)</f>
        <v>7020</v>
      </c>
      <c r="E58" s="2"/>
      <c r="F58" s="2"/>
      <c r="G58" s="2"/>
      <c r="H58" s="2"/>
      <c r="I58" s="2"/>
      <c r="J58" s="2"/>
    </row>
    <row r="59" spans="1:10" x14ac:dyDescent="0.25">
      <c r="E59" s="2"/>
      <c r="F59" s="2"/>
      <c r="G59" s="2"/>
      <c r="H59" s="2"/>
      <c r="I59" s="2"/>
      <c r="J59" s="2"/>
    </row>
    <row r="60" spans="1:10" ht="13.8" x14ac:dyDescent="0.3">
      <c r="A60" s="11" t="s">
        <v>587</v>
      </c>
      <c r="E60" s="2">
        <v>301</v>
      </c>
      <c r="F60" s="2">
        <v>410</v>
      </c>
      <c r="G60" s="2">
        <v>410</v>
      </c>
      <c r="H60" s="2">
        <v>410</v>
      </c>
      <c r="I60" s="2">
        <v>410</v>
      </c>
      <c r="J60" s="2">
        <v>410</v>
      </c>
    </row>
    <row r="61" spans="1:10" hidden="1" x14ac:dyDescent="0.25">
      <c r="A61" s="8" t="s">
        <v>365</v>
      </c>
      <c r="B61" s="2">
        <v>2</v>
      </c>
      <c r="C61" s="2">
        <v>135</v>
      </c>
      <c r="D61" s="2">
        <f>ROUND(B61*C61,0)</f>
        <v>270</v>
      </c>
      <c r="E61" s="2"/>
      <c r="F61" s="2"/>
      <c r="G61" s="2"/>
      <c r="H61" s="2"/>
      <c r="I61" s="2"/>
      <c r="J61" s="2"/>
    </row>
    <row r="62" spans="1:10" ht="15" hidden="1" x14ac:dyDescent="0.4">
      <c r="A62" s="8" t="s">
        <v>1083</v>
      </c>
      <c r="B62" s="2">
        <v>4</v>
      </c>
      <c r="C62" s="2">
        <v>35</v>
      </c>
      <c r="D62" s="12">
        <f>ROUND(B62*C62,0)</f>
        <v>140</v>
      </c>
      <c r="E62" s="2"/>
      <c r="F62" s="2"/>
      <c r="G62" s="2"/>
      <c r="H62" s="2"/>
      <c r="I62" s="2"/>
      <c r="J62" s="2"/>
    </row>
    <row r="63" spans="1:10" hidden="1" x14ac:dyDescent="0.25">
      <c r="A63" s="8" t="s">
        <v>1279</v>
      </c>
      <c r="D63" s="2">
        <f>SUM(D61:D62)</f>
        <v>410</v>
      </c>
      <c r="E63" s="2"/>
      <c r="F63" s="2"/>
      <c r="G63" s="2"/>
      <c r="H63" s="2"/>
      <c r="I63" s="2"/>
      <c r="J63" s="2"/>
    </row>
    <row r="64" spans="1:10" x14ac:dyDescent="0.25">
      <c r="E64" s="2"/>
      <c r="F64" s="2"/>
      <c r="G64" s="2"/>
      <c r="H64" s="2"/>
      <c r="I64" s="2"/>
      <c r="J64" s="2"/>
    </row>
    <row r="65" spans="1:10" ht="13.8" x14ac:dyDescent="0.3">
      <c r="A65" s="11" t="s">
        <v>588</v>
      </c>
      <c r="E65" s="2">
        <v>2279</v>
      </c>
      <c r="F65" s="2">
        <v>2460</v>
      </c>
      <c r="G65" s="2">
        <v>2460</v>
      </c>
      <c r="H65" s="2">
        <v>2460</v>
      </c>
      <c r="I65" s="2">
        <v>2460</v>
      </c>
      <c r="J65" s="2">
        <v>2460</v>
      </c>
    </row>
    <row r="66" spans="1:10" hidden="1" x14ac:dyDescent="0.25">
      <c r="A66" s="8" t="s">
        <v>850</v>
      </c>
      <c r="B66" s="2">
        <v>6</v>
      </c>
      <c r="C66" s="2">
        <v>410</v>
      </c>
      <c r="D66" s="2">
        <f>ROUND(B66*C66,0)</f>
        <v>2460</v>
      </c>
      <c r="E66" s="2"/>
      <c r="F66" s="2"/>
      <c r="G66" s="2"/>
      <c r="H66" s="2"/>
      <c r="I66" s="2"/>
      <c r="J66" s="2"/>
    </row>
    <row r="67" spans="1:10" x14ac:dyDescent="0.25">
      <c r="E67" s="2"/>
      <c r="F67" s="2"/>
      <c r="G67" s="2"/>
      <c r="H67" s="2"/>
      <c r="I67" s="2"/>
      <c r="J67" s="2"/>
    </row>
    <row r="68" spans="1:10" ht="13.8" x14ac:dyDescent="0.3">
      <c r="A68" s="11" t="s">
        <v>589</v>
      </c>
      <c r="E68" s="2">
        <v>7589</v>
      </c>
      <c r="F68" s="2">
        <v>7612</v>
      </c>
      <c r="G68" s="2">
        <v>8451</v>
      </c>
      <c r="H68" s="2">
        <v>8424</v>
      </c>
      <c r="I68" s="2">
        <v>8348</v>
      </c>
      <c r="J68" s="2">
        <v>8354</v>
      </c>
    </row>
    <row r="69" spans="1:10" hidden="1" x14ac:dyDescent="0.25">
      <c r="A69" s="14" t="s">
        <v>1511</v>
      </c>
      <c r="B69" s="2">
        <f>+D12</f>
        <v>107176</v>
      </c>
      <c r="C69" s="15">
        <v>2.5700000000000001E-2</v>
      </c>
      <c r="D69" s="2">
        <f>ROUND(B69*C69,0)</f>
        <v>2754</v>
      </c>
      <c r="E69" s="2"/>
      <c r="F69" s="2"/>
      <c r="G69" s="2"/>
      <c r="H69" s="2"/>
      <c r="I69" s="2"/>
      <c r="J69" s="2"/>
    </row>
    <row r="70" spans="1:10" hidden="1" x14ac:dyDescent="0.25">
      <c r="A70" s="14" t="s">
        <v>831</v>
      </c>
      <c r="B70" s="2">
        <f>+B45</f>
        <v>180071</v>
      </c>
      <c r="C70" s="15">
        <v>2.5700000000000001E-2</v>
      </c>
      <c r="D70" s="2">
        <f>ROUND(B70*C70,0)</f>
        <v>4628</v>
      </c>
      <c r="E70" s="2"/>
      <c r="F70" s="2"/>
      <c r="G70" s="2"/>
      <c r="H70" s="2"/>
      <c r="I70" s="2"/>
      <c r="J70" s="2"/>
    </row>
    <row r="71" spans="1:10" hidden="1" x14ac:dyDescent="0.25">
      <c r="A71" s="14" t="s">
        <v>309</v>
      </c>
      <c r="B71" s="2">
        <f>ROUND(+D25*0.67,0)</f>
        <v>4863</v>
      </c>
      <c r="C71" s="15">
        <v>2.5700000000000001E-2</v>
      </c>
      <c r="D71" s="2">
        <f>ROUND(B71*C71,0)</f>
        <v>125</v>
      </c>
      <c r="E71" s="2"/>
      <c r="F71" s="2"/>
      <c r="G71" s="2"/>
      <c r="H71" s="2"/>
      <c r="I71" s="2"/>
      <c r="J71" s="2"/>
    </row>
    <row r="72" spans="1:10" hidden="1" x14ac:dyDescent="0.25">
      <c r="A72" s="36">
        <v>8107</v>
      </c>
      <c r="B72" s="2">
        <f>+D28</f>
        <v>12025.8</v>
      </c>
      <c r="C72" s="15">
        <v>2.5700000000000001E-2</v>
      </c>
      <c r="D72" s="2">
        <f>ROUND(B72*C72,0)</f>
        <v>309</v>
      </c>
      <c r="E72" s="2"/>
      <c r="F72" s="2"/>
      <c r="G72" s="2"/>
      <c r="H72" s="2"/>
      <c r="I72" s="2"/>
      <c r="J72" s="2"/>
    </row>
    <row r="73" spans="1:10" ht="15" hidden="1" x14ac:dyDescent="0.4">
      <c r="A73" s="14" t="s">
        <v>354</v>
      </c>
      <c r="B73" s="2">
        <f>ROUND(+D32*0.67,0)</f>
        <v>20921</v>
      </c>
      <c r="C73" s="15">
        <v>2.5700000000000001E-2</v>
      </c>
      <c r="D73" s="12">
        <f>ROUND(B73*C73,0)</f>
        <v>538</v>
      </c>
      <c r="E73" s="2"/>
      <c r="F73" s="2"/>
      <c r="G73" s="2"/>
      <c r="H73" s="2"/>
      <c r="I73" s="2"/>
      <c r="J73" s="2"/>
    </row>
    <row r="74" spans="1:10" hidden="1" x14ac:dyDescent="0.25">
      <c r="A74" s="8" t="s">
        <v>1279</v>
      </c>
      <c r="D74" s="2">
        <f>SUM(D69:D73)</f>
        <v>8354</v>
      </c>
      <c r="E74" s="2"/>
      <c r="F74" s="2"/>
      <c r="G74" s="2"/>
      <c r="H74" s="2"/>
      <c r="I74" s="2"/>
      <c r="J74" s="2"/>
    </row>
    <row r="75" spans="1:10" x14ac:dyDescent="0.25">
      <c r="E75" s="2"/>
      <c r="F75" s="2"/>
      <c r="G75" s="2"/>
      <c r="H75" s="2"/>
      <c r="I75" s="2"/>
      <c r="J75" s="2"/>
    </row>
    <row r="76" spans="1:10" ht="13.8" x14ac:dyDescent="0.3">
      <c r="A76" s="11" t="s">
        <v>590</v>
      </c>
      <c r="E76" s="2">
        <v>308</v>
      </c>
      <c r="F76" s="2">
        <v>328</v>
      </c>
      <c r="G76" s="2">
        <v>328</v>
      </c>
      <c r="H76" s="2">
        <v>239</v>
      </c>
      <c r="I76" s="2">
        <v>239</v>
      </c>
      <c r="J76" s="2">
        <v>239</v>
      </c>
    </row>
    <row r="77" spans="1:10" hidden="1" x14ac:dyDescent="0.25">
      <c r="A77" s="14" t="s">
        <v>1511</v>
      </c>
      <c r="B77" s="2">
        <v>2</v>
      </c>
      <c r="C77" s="2">
        <v>35</v>
      </c>
      <c r="D77" s="2">
        <f>ROUND(B77*C77,0)</f>
        <v>70</v>
      </c>
      <c r="E77" s="2"/>
      <c r="F77" s="2"/>
      <c r="G77" s="2"/>
      <c r="H77" s="2"/>
      <c r="I77" s="2"/>
      <c r="J77" s="2"/>
    </row>
    <row r="78" spans="1:10" hidden="1" x14ac:dyDescent="0.25">
      <c r="A78" s="14" t="s">
        <v>831</v>
      </c>
      <c r="B78" s="2">
        <v>4</v>
      </c>
      <c r="C78" s="2">
        <v>35</v>
      </c>
      <c r="D78" s="2">
        <f>ROUND(B78*C78,0)</f>
        <v>140</v>
      </c>
      <c r="E78" s="2"/>
      <c r="F78" s="2"/>
      <c r="G78" s="2"/>
      <c r="H78" s="2"/>
      <c r="I78" s="2"/>
      <c r="J78" s="2"/>
    </row>
    <row r="79" spans="1:10" ht="15" hidden="1" x14ac:dyDescent="0.4">
      <c r="A79" s="14" t="s">
        <v>201</v>
      </c>
      <c r="B79" s="2">
        <f>+D28</f>
        <v>12025.8</v>
      </c>
      <c r="C79" s="15">
        <v>2.5000000000000001E-3</v>
      </c>
      <c r="D79" s="12">
        <f>ROUND(B79*C79,0)</f>
        <v>30</v>
      </c>
      <c r="E79" s="2"/>
      <c r="F79" s="2"/>
      <c r="G79" s="2"/>
      <c r="H79" s="2"/>
      <c r="I79" s="2"/>
      <c r="J79" s="2"/>
    </row>
    <row r="80" spans="1:10" hidden="1" x14ac:dyDescent="0.25">
      <c r="A80" s="8" t="s">
        <v>1279</v>
      </c>
      <c r="D80" s="2">
        <f>SUM(D77:D79)</f>
        <v>240</v>
      </c>
      <c r="E80" s="2"/>
      <c r="F80" s="2"/>
      <c r="G80" s="2"/>
      <c r="H80" s="2"/>
      <c r="I80" s="2"/>
      <c r="J80" s="2"/>
    </row>
    <row r="81" spans="1:10" x14ac:dyDescent="0.25">
      <c r="E81" s="2"/>
      <c r="F81" s="2"/>
      <c r="G81" s="2"/>
      <c r="H81" s="2"/>
      <c r="I81" s="2"/>
      <c r="J81" s="2"/>
    </row>
    <row r="82" spans="1:10" x14ac:dyDescent="0.25">
      <c r="E82" s="2"/>
      <c r="F82" s="2"/>
      <c r="G82" s="2"/>
      <c r="H82" s="2"/>
      <c r="I82" s="2"/>
      <c r="J82" s="2"/>
    </row>
    <row r="83" spans="1:10" ht="13.8" x14ac:dyDescent="0.3">
      <c r="A83" s="11" t="s">
        <v>1215</v>
      </c>
      <c r="E83" s="2">
        <v>940</v>
      </c>
      <c r="F83" s="2">
        <v>650</v>
      </c>
      <c r="G83" s="2">
        <v>650</v>
      </c>
      <c r="H83" s="2">
        <v>650</v>
      </c>
      <c r="I83" s="2">
        <v>650</v>
      </c>
      <c r="J83" s="2">
        <v>650</v>
      </c>
    </row>
    <row r="84" spans="1:10" x14ac:dyDescent="0.25">
      <c r="A84" s="8" t="s">
        <v>1605</v>
      </c>
      <c r="D84" s="2" t="s">
        <v>417</v>
      </c>
      <c r="E84" s="2"/>
      <c r="F84" s="2"/>
      <c r="G84" s="2"/>
      <c r="H84" s="2"/>
      <c r="I84" s="2"/>
      <c r="J84" s="2"/>
    </row>
    <row r="85" spans="1:10" x14ac:dyDescent="0.25">
      <c r="A85" s="8" t="s">
        <v>1794</v>
      </c>
      <c r="C85" s="2"/>
      <c r="D85" s="2">
        <v>650</v>
      </c>
      <c r="E85" s="2"/>
      <c r="F85" s="2"/>
      <c r="G85" s="2"/>
      <c r="H85" s="2"/>
      <c r="I85" s="2"/>
      <c r="J85" s="2"/>
    </row>
    <row r="86" spans="1:10" x14ac:dyDescent="0.25">
      <c r="B86" s="2"/>
      <c r="C86" s="2"/>
      <c r="E86" s="2"/>
      <c r="F86" s="2"/>
      <c r="G86" s="2"/>
      <c r="H86" s="2"/>
      <c r="I86" s="2"/>
      <c r="J86" s="2"/>
    </row>
    <row r="87" spans="1:10" ht="13.8" x14ac:dyDescent="0.3">
      <c r="A87" s="11" t="s">
        <v>1216</v>
      </c>
      <c r="C87" s="2"/>
      <c r="E87" s="2">
        <v>369</v>
      </c>
      <c r="F87" s="2">
        <v>650</v>
      </c>
      <c r="G87" s="2">
        <v>650</v>
      </c>
      <c r="H87" s="2">
        <v>650</v>
      </c>
      <c r="I87" s="2">
        <v>650</v>
      </c>
      <c r="J87" s="2">
        <v>650</v>
      </c>
    </row>
    <row r="88" spans="1:10" x14ac:dyDescent="0.25">
      <c r="A88" s="8" t="s">
        <v>1048</v>
      </c>
      <c r="C88" s="2"/>
      <c r="D88" s="2">
        <v>650</v>
      </c>
      <c r="E88" s="2"/>
      <c r="F88" s="2"/>
      <c r="G88" s="2"/>
      <c r="H88" s="2"/>
      <c r="I88" s="2"/>
      <c r="J88" s="2"/>
    </row>
    <row r="89" spans="1:10" x14ac:dyDescent="0.25">
      <c r="C89" s="2"/>
      <c r="E89" s="2"/>
      <c r="F89" s="2"/>
      <c r="G89" s="2"/>
      <c r="H89" s="2"/>
      <c r="I89" s="2"/>
      <c r="J89" s="2"/>
    </row>
    <row r="90" spans="1:10" ht="13.8" x14ac:dyDescent="0.3">
      <c r="A90" s="11" t="s">
        <v>1217</v>
      </c>
      <c r="C90" s="2"/>
      <c r="E90" s="2">
        <v>4543</v>
      </c>
      <c r="F90" s="2">
        <v>6000</v>
      </c>
      <c r="G90" s="2">
        <v>5500</v>
      </c>
      <c r="H90" s="2">
        <v>5500</v>
      </c>
      <c r="I90" s="2">
        <v>5500</v>
      </c>
      <c r="J90" s="2">
        <v>5500</v>
      </c>
    </row>
    <row r="91" spans="1:10" x14ac:dyDescent="0.25">
      <c r="A91" s="7" t="s">
        <v>987</v>
      </c>
      <c r="B91" s="7"/>
      <c r="C91" s="2"/>
      <c r="E91" s="2"/>
      <c r="F91" s="2"/>
      <c r="G91" s="2"/>
      <c r="H91" s="2"/>
      <c r="I91" s="2"/>
      <c r="J91" s="2"/>
    </row>
    <row r="92" spans="1:10" x14ac:dyDescent="0.25">
      <c r="A92" s="7" t="s">
        <v>1606</v>
      </c>
      <c r="B92" s="7"/>
      <c r="C92" s="2"/>
      <c r="D92" s="2">
        <v>6000</v>
      </c>
      <c r="E92" s="2"/>
      <c r="F92" s="2"/>
      <c r="G92" s="2"/>
      <c r="H92" s="2"/>
      <c r="I92" s="2"/>
      <c r="J92" s="2"/>
    </row>
    <row r="93" spans="1:10" x14ac:dyDescent="0.25">
      <c r="A93" s="8" t="s">
        <v>417</v>
      </c>
      <c r="C93" s="2"/>
      <c r="E93" s="2"/>
      <c r="F93" s="2"/>
      <c r="G93" s="2"/>
      <c r="H93" s="2"/>
      <c r="I93" s="2"/>
      <c r="J93" s="2"/>
    </row>
    <row r="94" spans="1:10" ht="13.8" x14ac:dyDescent="0.3">
      <c r="A94" s="11" t="s">
        <v>652</v>
      </c>
      <c r="D94" s="2" t="s">
        <v>417</v>
      </c>
      <c r="E94" s="2">
        <v>2919</v>
      </c>
      <c r="F94" s="2">
        <v>2832</v>
      </c>
      <c r="G94" s="2">
        <v>2832</v>
      </c>
      <c r="H94" s="2">
        <v>2832</v>
      </c>
      <c r="I94" s="2">
        <v>2832</v>
      </c>
      <c r="J94" s="2">
        <v>2832</v>
      </c>
    </row>
    <row r="95" spans="1:10" x14ac:dyDescent="0.25">
      <c r="A95" s="8" t="s">
        <v>1503</v>
      </c>
      <c r="B95" s="8">
        <v>2</v>
      </c>
      <c r="C95" s="8">
        <v>130</v>
      </c>
      <c r="D95" s="2">
        <f>+C95*B95</f>
        <v>260</v>
      </c>
      <c r="E95" s="2"/>
      <c r="F95" s="2"/>
      <c r="G95" s="2"/>
      <c r="H95" s="2"/>
      <c r="I95" s="2"/>
      <c r="J95" s="2"/>
    </row>
    <row r="96" spans="1:10" x14ac:dyDescent="0.25">
      <c r="A96" s="8" t="s">
        <v>1504</v>
      </c>
      <c r="B96" s="2">
        <v>2</v>
      </c>
      <c r="C96" s="2">
        <v>230</v>
      </c>
      <c r="D96" s="2">
        <f>+C96*B96</f>
        <v>460</v>
      </c>
      <c r="E96" s="2"/>
      <c r="F96" s="2"/>
      <c r="G96" s="2"/>
      <c r="H96" s="2"/>
      <c r="I96" s="2"/>
      <c r="J96" s="2"/>
    </row>
    <row r="97" spans="1:10" x14ac:dyDescent="0.25">
      <c r="A97" s="8" t="s">
        <v>1505</v>
      </c>
      <c r="B97" s="2">
        <v>4</v>
      </c>
      <c r="C97" s="2">
        <v>200</v>
      </c>
      <c r="D97" s="2">
        <f>+C97*B97</f>
        <v>800</v>
      </c>
      <c r="E97" s="2"/>
      <c r="F97" s="2"/>
      <c r="G97" s="2"/>
      <c r="H97" s="2"/>
      <c r="I97" s="2"/>
      <c r="J97" s="2"/>
    </row>
    <row r="98" spans="1:10" x14ac:dyDescent="0.25">
      <c r="A98" s="8" t="s">
        <v>149</v>
      </c>
      <c r="B98" s="2">
        <v>4</v>
      </c>
      <c r="C98" s="2">
        <v>203</v>
      </c>
      <c r="D98" s="2">
        <f>+C98*B98</f>
        <v>812</v>
      </c>
      <c r="E98" s="2"/>
      <c r="F98" s="2"/>
      <c r="G98" s="2"/>
      <c r="H98" s="2"/>
      <c r="I98" s="2"/>
      <c r="J98" s="2"/>
    </row>
    <row r="99" spans="1:10" ht="15" x14ac:dyDescent="0.4">
      <c r="A99" s="8" t="s">
        <v>403</v>
      </c>
      <c r="B99" s="2"/>
      <c r="C99" s="2"/>
      <c r="D99" s="12">
        <v>500</v>
      </c>
      <c r="E99" s="2"/>
      <c r="F99" s="2"/>
      <c r="G99" s="2"/>
      <c r="H99" s="2"/>
      <c r="I99" s="2"/>
      <c r="J99" s="2"/>
    </row>
    <row r="100" spans="1:10" x14ac:dyDescent="0.25">
      <c r="A100" s="8" t="s">
        <v>1279</v>
      </c>
      <c r="B100" s="2" t="s">
        <v>417</v>
      </c>
      <c r="C100" s="2" t="s">
        <v>417</v>
      </c>
      <c r="D100" s="2">
        <f>SUM(D95:D99)</f>
        <v>2832</v>
      </c>
      <c r="E100" s="2"/>
      <c r="F100" s="2"/>
      <c r="G100" s="2"/>
      <c r="H100" s="2"/>
      <c r="I100" s="2"/>
      <c r="J100" s="2"/>
    </row>
    <row r="101" spans="1:10" x14ac:dyDescent="0.25">
      <c r="E101" s="2"/>
      <c r="F101" s="2"/>
      <c r="G101" s="2"/>
      <c r="H101" s="2"/>
      <c r="I101" s="2"/>
      <c r="J101" s="2"/>
    </row>
    <row r="102" spans="1:10" ht="13.8" x14ac:dyDescent="0.3">
      <c r="A102" s="11" t="s">
        <v>222</v>
      </c>
      <c r="E102" s="2">
        <v>965</v>
      </c>
      <c r="F102" s="2">
        <v>1500</v>
      </c>
      <c r="G102" s="2">
        <v>1500</v>
      </c>
      <c r="H102" s="2">
        <v>1500</v>
      </c>
      <c r="I102" s="2">
        <v>1500</v>
      </c>
      <c r="J102" s="2">
        <v>1500</v>
      </c>
    </row>
    <row r="103" spans="1:10" x14ac:dyDescent="0.25">
      <c r="A103" s="8" t="s">
        <v>1108</v>
      </c>
      <c r="D103" s="2">
        <v>100</v>
      </c>
      <c r="E103" s="2"/>
      <c r="F103" s="2"/>
      <c r="G103" s="2"/>
      <c r="H103" s="2"/>
      <c r="I103" s="2"/>
      <c r="J103" s="2"/>
    </row>
    <row r="104" spans="1:10" ht="15" x14ac:dyDescent="0.4">
      <c r="A104" s="8" t="s">
        <v>1795</v>
      </c>
      <c r="C104" s="2"/>
      <c r="D104" s="12">
        <v>1400</v>
      </c>
      <c r="E104" s="2"/>
      <c r="F104" s="2"/>
      <c r="G104" s="2"/>
      <c r="H104" s="2"/>
      <c r="I104" s="2"/>
      <c r="J104" s="2"/>
    </row>
    <row r="105" spans="1:10" ht="15" x14ac:dyDescent="0.4">
      <c r="A105" s="8" t="s">
        <v>1279</v>
      </c>
      <c r="C105" s="12"/>
      <c r="D105" s="2">
        <f>SUM(D103:D104)</f>
        <v>1500</v>
      </c>
      <c r="E105" s="2"/>
      <c r="F105" s="2"/>
      <c r="G105" s="2"/>
      <c r="H105" s="2"/>
      <c r="I105" s="2"/>
      <c r="J105" s="2"/>
    </row>
    <row r="106" spans="1:10" x14ac:dyDescent="0.25">
      <c r="B106" s="2"/>
      <c r="C106" s="2"/>
      <c r="E106" s="2"/>
      <c r="F106" s="2"/>
      <c r="G106" s="2"/>
      <c r="H106" s="2"/>
      <c r="I106" s="2"/>
      <c r="J106" s="2"/>
    </row>
    <row r="107" spans="1:10" ht="13.8" x14ac:dyDescent="0.3">
      <c r="A107" s="11" t="s">
        <v>223</v>
      </c>
      <c r="C107" s="2"/>
      <c r="E107" s="2">
        <v>3305</v>
      </c>
      <c r="F107" s="2">
        <v>2700</v>
      </c>
      <c r="G107" s="2">
        <v>3000</v>
      </c>
      <c r="H107" s="2">
        <v>3000</v>
      </c>
      <c r="I107" s="2">
        <v>3000</v>
      </c>
      <c r="J107" s="2">
        <v>3000</v>
      </c>
    </row>
    <row r="108" spans="1:10" x14ac:dyDescent="0.25">
      <c r="A108" s="8" t="s">
        <v>1110</v>
      </c>
      <c r="C108" s="2"/>
      <c r="D108" s="2">
        <v>2700</v>
      </c>
      <c r="E108" s="2"/>
      <c r="F108" s="2"/>
      <c r="G108" s="2"/>
      <c r="H108" s="2"/>
      <c r="I108" s="2"/>
      <c r="J108" s="2"/>
    </row>
    <row r="109" spans="1:10" x14ac:dyDescent="0.25">
      <c r="C109" s="2"/>
      <c r="E109" s="2"/>
      <c r="F109" s="2"/>
      <c r="G109" s="2"/>
      <c r="H109" s="2"/>
      <c r="I109" s="2"/>
      <c r="J109" s="2"/>
    </row>
    <row r="110" spans="1:10" ht="13.8" x14ac:dyDescent="0.3">
      <c r="A110" s="11" t="s">
        <v>141</v>
      </c>
      <c r="C110" s="2"/>
      <c r="D110" s="2">
        <v>0</v>
      </c>
      <c r="E110" s="2">
        <v>1</v>
      </c>
      <c r="F110" s="2">
        <v>0</v>
      </c>
      <c r="G110" s="2"/>
      <c r="H110" s="2"/>
      <c r="I110" s="2"/>
      <c r="J110" s="2"/>
    </row>
    <row r="111" spans="1:10" x14ac:dyDescent="0.25">
      <c r="B111" s="2"/>
      <c r="C111" s="19"/>
      <c r="D111" s="19"/>
      <c r="E111" s="2"/>
      <c r="F111" s="2"/>
      <c r="G111" s="2"/>
      <c r="H111" s="2"/>
      <c r="I111" s="2"/>
      <c r="J111" s="2"/>
    </row>
    <row r="112" spans="1:10" ht="13.8" x14ac:dyDescent="0.3">
      <c r="A112" s="11" t="s">
        <v>224</v>
      </c>
      <c r="C112" s="2"/>
      <c r="E112" s="2">
        <v>15486</v>
      </c>
      <c r="F112" s="2">
        <v>21373</v>
      </c>
      <c r="G112" s="2">
        <v>18600</v>
      </c>
      <c r="H112" s="2">
        <v>18600</v>
      </c>
      <c r="I112" s="2">
        <v>18600</v>
      </c>
      <c r="J112" s="2">
        <v>18600</v>
      </c>
    </row>
    <row r="113" spans="1:10" x14ac:dyDescent="0.25">
      <c r="A113" s="8" t="s">
        <v>1796</v>
      </c>
      <c r="C113" s="2"/>
      <c r="D113" s="2">
        <v>11200</v>
      </c>
      <c r="E113" s="2"/>
      <c r="F113" s="2"/>
      <c r="G113" s="2"/>
      <c r="H113" s="2"/>
      <c r="I113" s="2"/>
      <c r="J113" s="2"/>
    </row>
    <row r="114" spans="1:10" ht="15" x14ac:dyDescent="0.4">
      <c r="A114" s="8" t="s">
        <v>1111</v>
      </c>
      <c r="C114" s="2"/>
      <c r="D114" s="12">
        <v>7400</v>
      </c>
      <c r="E114" s="2"/>
      <c r="F114" s="2"/>
      <c r="G114" s="2"/>
      <c r="H114" s="2"/>
      <c r="I114" s="2"/>
      <c r="J114" s="2"/>
    </row>
    <row r="115" spans="1:10" ht="15" x14ac:dyDescent="0.4">
      <c r="A115" s="8" t="s">
        <v>1279</v>
      </c>
      <c r="C115" s="12"/>
      <c r="D115" s="2">
        <f>SUM(D113:D114)</f>
        <v>18600</v>
      </c>
      <c r="E115" s="2"/>
      <c r="F115" s="2"/>
      <c r="G115" s="2"/>
      <c r="H115" s="2"/>
      <c r="I115" s="2"/>
      <c r="J115" s="2"/>
    </row>
    <row r="116" spans="1:10" ht="15" x14ac:dyDescent="0.4">
      <c r="C116" s="12"/>
      <c r="E116" s="2"/>
      <c r="F116" s="2"/>
      <c r="G116" s="2"/>
      <c r="H116" s="2"/>
      <c r="I116" s="2"/>
      <c r="J116" s="2"/>
    </row>
    <row r="117" spans="1:10" ht="13.8" x14ac:dyDescent="0.3">
      <c r="A117" s="11" t="s">
        <v>225</v>
      </c>
      <c r="E117" s="2">
        <v>49411</v>
      </c>
      <c r="F117" s="2">
        <v>62502</v>
      </c>
      <c r="G117" s="2">
        <v>53428</v>
      </c>
      <c r="H117" s="2">
        <v>53428</v>
      </c>
      <c r="I117" s="2">
        <v>53428</v>
      </c>
      <c r="J117" s="2">
        <v>53428</v>
      </c>
    </row>
    <row r="118" spans="1:10" x14ac:dyDescent="0.25">
      <c r="A118" s="8" t="s">
        <v>1797</v>
      </c>
      <c r="B118" s="49">
        <v>17800</v>
      </c>
      <c r="C118" s="13">
        <v>2.8</v>
      </c>
      <c r="D118" s="2">
        <f>ROUND(B118*C118,0)</f>
        <v>49840</v>
      </c>
      <c r="E118" s="2"/>
      <c r="F118" s="2"/>
      <c r="G118" s="2"/>
      <c r="H118" s="2"/>
      <c r="I118" s="2"/>
      <c r="J118" s="2"/>
    </row>
    <row r="119" spans="1:10" x14ac:dyDescent="0.25">
      <c r="A119" s="8" t="s">
        <v>1798</v>
      </c>
      <c r="B119" s="2">
        <v>825</v>
      </c>
      <c r="C119" s="13">
        <v>2.5</v>
      </c>
      <c r="D119" s="2">
        <f>ROUND(B119*C119,0)</f>
        <v>2063</v>
      </c>
      <c r="E119" s="2"/>
      <c r="F119" s="2"/>
      <c r="G119" s="2"/>
      <c r="H119" s="2"/>
      <c r="I119" s="2"/>
      <c r="J119" s="2"/>
    </row>
    <row r="120" spans="1:10" ht="15" x14ac:dyDescent="0.4">
      <c r="A120" s="8" t="s">
        <v>698</v>
      </c>
      <c r="B120" s="2">
        <v>508.18700000000001</v>
      </c>
      <c r="C120" s="13">
        <v>3</v>
      </c>
      <c r="D120" s="12">
        <f>ROUND(B120*C120,0)</f>
        <v>1525</v>
      </c>
      <c r="E120" s="2"/>
      <c r="F120" s="2"/>
      <c r="G120" s="2"/>
      <c r="H120" s="2"/>
      <c r="I120" s="2"/>
      <c r="J120" s="2"/>
    </row>
    <row r="121" spans="1:10" x14ac:dyDescent="0.25">
      <c r="A121" s="8" t="s">
        <v>1279</v>
      </c>
      <c r="B121" s="2"/>
      <c r="C121" s="15"/>
      <c r="D121" s="2">
        <f>SUM(D118:D120)</f>
        <v>53428</v>
      </c>
      <c r="E121" s="2"/>
      <c r="F121" s="2"/>
      <c r="G121" s="2"/>
      <c r="H121" s="2"/>
      <c r="I121" s="2"/>
      <c r="J121" s="2"/>
    </row>
    <row r="122" spans="1:10" x14ac:dyDescent="0.25">
      <c r="E122" s="2"/>
      <c r="F122" s="2"/>
      <c r="G122" s="2"/>
      <c r="H122" s="2"/>
      <c r="I122" s="2"/>
      <c r="J122" s="2"/>
    </row>
    <row r="123" spans="1:10" ht="13.8" x14ac:dyDescent="0.3">
      <c r="A123" s="11" t="s">
        <v>441</v>
      </c>
      <c r="E123" s="2">
        <v>4240</v>
      </c>
      <c r="F123" s="2">
        <v>4452</v>
      </c>
      <c r="G123" s="2">
        <v>5260</v>
      </c>
      <c r="H123" s="2">
        <v>5260</v>
      </c>
      <c r="I123" s="2">
        <v>5260</v>
      </c>
      <c r="J123" s="2">
        <v>5260</v>
      </c>
    </row>
    <row r="124" spans="1:10" x14ac:dyDescent="0.25">
      <c r="A124" s="8" t="s">
        <v>977</v>
      </c>
      <c r="D124" s="2">
        <v>2200</v>
      </c>
      <c r="E124" s="2"/>
      <c r="F124" s="2"/>
      <c r="G124" s="2"/>
      <c r="H124" s="2"/>
      <c r="I124" s="2"/>
      <c r="J124" s="2"/>
    </row>
    <row r="125" spans="1:10" x14ac:dyDescent="0.25">
      <c r="A125" s="8" t="s">
        <v>1233</v>
      </c>
      <c r="C125" s="2"/>
      <c r="D125" s="2">
        <v>1440</v>
      </c>
      <c r="E125" s="2"/>
      <c r="F125" s="2"/>
      <c r="G125" s="2"/>
      <c r="H125" s="2"/>
      <c r="I125" s="2"/>
      <c r="J125" s="2"/>
    </row>
    <row r="126" spans="1:10" x14ac:dyDescent="0.25">
      <c r="A126" s="8" t="s">
        <v>2150</v>
      </c>
      <c r="C126" s="2"/>
      <c r="D126" s="2">
        <v>1080</v>
      </c>
      <c r="E126" s="2"/>
      <c r="F126" s="2"/>
      <c r="G126" s="2"/>
      <c r="H126" s="2"/>
      <c r="I126" s="2"/>
      <c r="J126" s="2"/>
    </row>
    <row r="127" spans="1:10" ht="15" x14ac:dyDescent="0.4">
      <c r="A127" s="8" t="s">
        <v>699</v>
      </c>
      <c r="C127" s="2"/>
      <c r="D127" s="12">
        <v>540</v>
      </c>
      <c r="E127" s="2"/>
      <c r="F127" s="2"/>
      <c r="G127" s="2"/>
      <c r="H127" s="2"/>
      <c r="I127" s="2"/>
      <c r="J127" s="2"/>
    </row>
    <row r="128" spans="1:10" ht="15" x14ac:dyDescent="0.4">
      <c r="A128" s="8" t="s">
        <v>1279</v>
      </c>
      <c r="B128" s="2" t="s">
        <v>417</v>
      </c>
      <c r="C128" s="12"/>
      <c r="D128" s="2">
        <f>SUM(D124:D127)</f>
        <v>5260</v>
      </c>
      <c r="E128" s="2"/>
      <c r="F128" s="2"/>
      <c r="G128" s="2"/>
      <c r="H128" s="2"/>
      <c r="I128" s="2"/>
      <c r="J128" s="2"/>
    </row>
    <row r="129" spans="1:10" x14ac:dyDescent="0.25">
      <c r="B129" s="2"/>
      <c r="C129" s="2"/>
      <c r="E129" s="2"/>
      <c r="F129" s="2"/>
      <c r="G129" s="2"/>
      <c r="H129" s="2"/>
      <c r="I129" s="2"/>
      <c r="J129" s="2"/>
    </row>
    <row r="130" spans="1:10" ht="13.8" x14ac:dyDescent="0.3">
      <c r="A130" s="11" t="s">
        <v>442</v>
      </c>
      <c r="E130" s="2">
        <v>14997</v>
      </c>
      <c r="F130" s="2">
        <v>14670</v>
      </c>
      <c r="G130" s="2">
        <v>14574</v>
      </c>
      <c r="H130" s="2">
        <v>14574</v>
      </c>
      <c r="I130" s="2">
        <v>14574</v>
      </c>
      <c r="J130" s="2">
        <v>14574</v>
      </c>
    </row>
    <row r="131" spans="1:10" x14ac:dyDescent="0.25">
      <c r="A131" s="8" t="s">
        <v>509</v>
      </c>
      <c r="D131" s="2">
        <v>12168</v>
      </c>
      <c r="E131" s="2"/>
      <c r="F131" s="2"/>
      <c r="G131" s="2"/>
      <c r="H131" s="2"/>
      <c r="I131" s="2"/>
      <c r="J131" s="2"/>
    </row>
    <row r="132" spans="1:10" x14ac:dyDescent="0.25">
      <c r="A132" s="8" t="s">
        <v>148</v>
      </c>
      <c r="B132" s="2" t="s">
        <v>417</v>
      </c>
      <c r="C132" s="2"/>
      <c r="D132" s="2">
        <v>142</v>
      </c>
      <c r="E132" s="2"/>
      <c r="F132" s="2"/>
      <c r="G132" s="2"/>
      <c r="H132" s="2"/>
      <c r="I132" s="2"/>
      <c r="J132" s="2"/>
    </row>
    <row r="133" spans="1:10" x14ac:dyDescent="0.25">
      <c r="A133" s="8" t="s">
        <v>510</v>
      </c>
      <c r="B133" s="2"/>
      <c r="C133" s="2"/>
      <c r="D133" s="2">
        <v>1400</v>
      </c>
      <c r="E133" s="2"/>
      <c r="F133" s="2"/>
      <c r="G133" s="2"/>
      <c r="H133" s="2"/>
      <c r="I133" s="2"/>
      <c r="J133" s="2"/>
    </row>
    <row r="134" spans="1:10" x14ac:dyDescent="0.25">
      <c r="A134" s="8" t="s">
        <v>623</v>
      </c>
      <c r="B134" s="2"/>
      <c r="C134" s="2"/>
      <c r="D134" s="2">
        <v>180</v>
      </c>
      <c r="E134" s="2"/>
      <c r="F134" s="2"/>
      <c r="G134" s="2"/>
      <c r="H134" s="2"/>
      <c r="I134" s="2"/>
      <c r="J134" s="2"/>
    </row>
    <row r="135" spans="1:10" x14ac:dyDescent="0.25">
      <c r="A135" s="8" t="s">
        <v>1331</v>
      </c>
      <c r="B135" s="2">
        <v>4</v>
      </c>
      <c r="C135" s="2">
        <v>96</v>
      </c>
      <c r="D135" s="2">
        <f>C135*B135</f>
        <v>384</v>
      </c>
      <c r="E135" s="2"/>
      <c r="F135" s="2"/>
      <c r="G135" s="2"/>
      <c r="H135" s="2"/>
      <c r="I135" s="2"/>
      <c r="J135" s="2"/>
    </row>
    <row r="136" spans="1:10" ht="15" x14ac:dyDescent="0.4">
      <c r="A136" s="8" t="s">
        <v>1485</v>
      </c>
      <c r="B136" s="2">
        <v>6</v>
      </c>
      <c r="C136" s="2">
        <v>50</v>
      </c>
      <c r="D136" s="12">
        <f>C136*B136</f>
        <v>300</v>
      </c>
      <c r="E136" s="2"/>
      <c r="F136" s="2"/>
      <c r="G136" s="2"/>
      <c r="H136" s="2"/>
      <c r="I136" s="2"/>
      <c r="J136" s="2"/>
    </row>
    <row r="137" spans="1:10" x14ac:dyDescent="0.25">
      <c r="A137" s="8" t="s">
        <v>1279</v>
      </c>
      <c r="B137" s="2"/>
      <c r="C137" s="2"/>
      <c r="D137" s="2">
        <f>SUM(D131:D136)</f>
        <v>14574</v>
      </c>
      <c r="E137" s="2"/>
      <c r="F137" s="2"/>
      <c r="G137" s="2"/>
      <c r="H137" s="2"/>
      <c r="I137" s="2"/>
      <c r="J137" s="2"/>
    </row>
    <row r="138" spans="1:10" x14ac:dyDescent="0.25">
      <c r="A138" s="8" t="s">
        <v>417</v>
      </c>
      <c r="B138" s="2"/>
      <c r="C138" s="13"/>
      <c r="E138" s="2"/>
      <c r="F138" s="2"/>
      <c r="G138" s="2"/>
      <c r="H138" s="2"/>
      <c r="I138" s="2"/>
      <c r="J138" s="2"/>
    </row>
    <row r="139" spans="1:10" ht="13.8" x14ac:dyDescent="0.3">
      <c r="A139" s="18" t="s">
        <v>443</v>
      </c>
      <c r="D139" s="2" t="s">
        <v>417</v>
      </c>
      <c r="E139" s="2">
        <v>5321</v>
      </c>
      <c r="F139" s="2">
        <v>5919</v>
      </c>
      <c r="G139" s="2">
        <v>6263</v>
      </c>
      <c r="H139" s="2">
        <v>5887</v>
      </c>
      <c r="I139" s="2">
        <v>5887</v>
      </c>
      <c r="J139" s="2">
        <v>5887</v>
      </c>
    </row>
    <row r="140" spans="1:10" hidden="1" x14ac:dyDescent="0.25">
      <c r="A140" s="8" t="s">
        <v>1085</v>
      </c>
      <c r="D140" s="2">
        <v>5919</v>
      </c>
      <c r="E140" s="2"/>
      <c r="F140" s="2"/>
      <c r="G140" s="2"/>
      <c r="H140" s="2"/>
      <c r="I140" s="2"/>
      <c r="J140" s="2"/>
    </row>
    <row r="141" spans="1:10" x14ac:dyDescent="0.25">
      <c r="C141" s="2"/>
      <c r="E141" s="2"/>
      <c r="F141" s="2"/>
      <c r="G141" s="2"/>
      <c r="H141" s="2"/>
      <c r="I141" s="2"/>
      <c r="J141" s="2"/>
    </row>
    <row r="142" spans="1:10" ht="13.8" x14ac:dyDescent="0.3">
      <c r="A142" s="11" t="s">
        <v>444</v>
      </c>
      <c r="C142" s="2"/>
      <c r="E142" s="2">
        <v>225</v>
      </c>
      <c r="F142" s="2">
        <v>200</v>
      </c>
      <c r="G142" s="2">
        <v>250</v>
      </c>
      <c r="H142" s="2">
        <v>250</v>
      </c>
      <c r="I142" s="2">
        <v>250</v>
      </c>
      <c r="J142" s="2">
        <v>250</v>
      </c>
    </row>
    <row r="143" spans="1:10" x14ac:dyDescent="0.25">
      <c r="A143" s="8" t="s">
        <v>513</v>
      </c>
      <c r="C143" s="2"/>
      <c r="D143" s="2">
        <v>200</v>
      </c>
      <c r="E143" s="2"/>
      <c r="F143" s="2"/>
      <c r="G143" s="2"/>
      <c r="H143" s="2"/>
      <c r="I143" s="2"/>
      <c r="J143" s="2"/>
    </row>
    <row r="144" spans="1:10" x14ac:dyDescent="0.25">
      <c r="C144" s="2"/>
      <c r="E144" s="2"/>
      <c r="F144" s="2"/>
      <c r="G144" s="2"/>
      <c r="H144" s="2"/>
      <c r="I144" s="2"/>
      <c r="J144" s="2"/>
    </row>
    <row r="145" spans="1:10" ht="13.8" x14ac:dyDescent="0.3">
      <c r="A145" s="11" t="s">
        <v>310</v>
      </c>
      <c r="C145" s="2"/>
      <c r="E145" s="2">
        <v>1648</v>
      </c>
      <c r="F145" s="2">
        <v>3500</v>
      </c>
      <c r="G145" s="2">
        <v>3500</v>
      </c>
      <c r="H145" s="2">
        <v>3500</v>
      </c>
      <c r="I145" s="2">
        <v>3500</v>
      </c>
      <c r="J145" s="2">
        <v>3500</v>
      </c>
    </row>
    <row r="146" spans="1:10" x14ac:dyDescent="0.25">
      <c r="A146" s="8" t="s">
        <v>1799</v>
      </c>
      <c r="C146" s="2"/>
      <c r="D146" s="2">
        <v>3500</v>
      </c>
      <c r="E146" s="2"/>
      <c r="F146" s="2"/>
      <c r="G146" s="2"/>
      <c r="H146" s="2"/>
      <c r="I146" s="2"/>
      <c r="J146" s="2"/>
    </row>
    <row r="147" spans="1:10" x14ac:dyDescent="0.25">
      <c r="C147" s="2"/>
      <c r="E147" s="2"/>
      <c r="F147" s="2"/>
      <c r="G147" s="2"/>
      <c r="H147" s="2"/>
      <c r="I147" s="2"/>
      <c r="J147" s="2"/>
    </row>
    <row r="148" spans="1:10" ht="13.8" x14ac:dyDescent="0.3">
      <c r="A148" s="11" t="s">
        <v>1160</v>
      </c>
      <c r="C148" s="2"/>
      <c r="E148" s="2">
        <v>5529</v>
      </c>
      <c r="F148" s="2">
        <v>1000</v>
      </c>
      <c r="G148" s="2">
        <v>1000</v>
      </c>
      <c r="H148" s="2">
        <v>1000</v>
      </c>
      <c r="I148" s="2">
        <v>1000</v>
      </c>
      <c r="J148" s="2">
        <v>1000</v>
      </c>
    </row>
    <row r="149" spans="1:10" x14ac:dyDescent="0.25">
      <c r="A149" s="8" t="s">
        <v>1800</v>
      </c>
      <c r="C149" s="2"/>
      <c r="D149" s="2">
        <v>500</v>
      </c>
      <c r="E149" s="2"/>
      <c r="F149" s="2"/>
      <c r="G149" s="2"/>
      <c r="H149" s="2"/>
      <c r="I149" s="2"/>
      <c r="J149" s="2"/>
    </row>
    <row r="150" spans="1:10" ht="15" x14ac:dyDescent="0.4">
      <c r="A150" s="8" t="s">
        <v>1112</v>
      </c>
      <c r="C150" s="2"/>
      <c r="D150" s="12">
        <v>500</v>
      </c>
      <c r="E150" s="2"/>
      <c r="F150" s="2"/>
      <c r="G150" s="2"/>
      <c r="H150" s="2"/>
      <c r="I150" s="2"/>
      <c r="J150" s="2"/>
    </row>
    <row r="151" spans="1:10" ht="15" x14ac:dyDescent="0.4">
      <c r="A151" s="8" t="s">
        <v>1279</v>
      </c>
      <c r="C151" s="12"/>
      <c r="D151" s="2">
        <f>SUM(D149:D150)</f>
        <v>1000</v>
      </c>
      <c r="E151" s="2"/>
      <c r="F151" s="2"/>
      <c r="G151" s="2"/>
      <c r="H151" s="2"/>
      <c r="I151" s="2"/>
      <c r="J151" s="2"/>
    </row>
    <row r="152" spans="1:10" x14ac:dyDescent="0.25">
      <c r="C152" s="2"/>
      <c r="E152" s="2"/>
      <c r="F152" s="2"/>
      <c r="G152" s="2"/>
      <c r="H152" s="2"/>
      <c r="I152" s="2"/>
      <c r="J152" s="2"/>
    </row>
    <row r="153" spans="1:10" ht="13.8" x14ac:dyDescent="0.3">
      <c r="A153" s="11" t="s">
        <v>1161</v>
      </c>
      <c r="C153" s="2"/>
      <c r="E153" s="2">
        <v>60065</v>
      </c>
      <c r="F153" s="2">
        <v>65000</v>
      </c>
      <c r="G153" s="2">
        <v>65000</v>
      </c>
      <c r="H153" s="2">
        <v>65000</v>
      </c>
      <c r="I153" s="2">
        <v>65000</v>
      </c>
      <c r="J153" s="2">
        <v>65000</v>
      </c>
    </row>
    <row r="154" spans="1:10" x14ac:dyDescent="0.25">
      <c r="A154" s="8" t="s">
        <v>971</v>
      </c>
      <c r="C154" s="2"/>
      <c r="D154" s="2">
        <v>65000</v>
      </c>
      <c r="E154" s="2"/>
      <c r="F154" s="2"/>
      <c r="G154" s="2"/>
      <c r="H154" s="2"/>
      <c r="I154" s="2"/>
      <c r="J154" s="2"/>
    </row>
    <row r="155" spans="1:10" x14ac:dyDescent="0.25">
      <c r="B155" s="2"/>
      <c r="C155" s="2"/>
      <c r="E155" s="2"/>
      <c r="F155" s="2"/>
      <c r="G155" s="2"/>
      <c r="H155" s="2"/>
      <c r="I155" s="2"/>
      <c r="J155" s="2"/>
    </row>
    <row r="156" spans="1:10" ht="13.8" x14ac:dyDescent="0.3">
      <c r="A156" s="11" t="s">
        <v>445</v>
      </c>
      <c r="C156" s="2"/>
      <c r="E156" s="2">
        <v>2457</v>
      </c>
      <c r="F156" s="2">
        <v>3000</v>
      </c>
      <c r="G156" s="2">
        <v>2500</v>
      </c>
      <c r="H156" s="2">
        <v>2500</v>
      </c>
      <c r="I156" s="2">
        <v>2500</v>
      </c>
      <c r="J156" s="2">
        <v>2500</v>
      </c>
    </row>
    <row r="157" spans="1:10" x14ac:dyDescent="0.25">
      <c r="A157" s="8" t="s">
        <v>1801</v>
      </c>
      <c r="C157" s="2"/>
      <c r="D157" s="2">
        <v>2500</v>
      </c>
      <c r="E157" s="2"/>
      <c r="F157" s="2"/>
      <c r="G157" s="2"/>
      <c r="H157" s="2"/>
      <c r="I157" s="2"/>
      <c r="J157" s="2"/>
    </row>
    <row r="158" spans="1:10" x14ac:dyDescent="0.25">
      <c r="C158" s="2"/>
      <c r="E158" s="2"/>
      <c r="F158" s="2"/>
      <c r="G158" s="2"/>
      <c r="H158" s="2"/>
      <c r="I158" s="2"/>
      <c r="J158" s="2"/>
    </row>
    <row r="159" spans="1:10" ht="13.8" x14ac:dyDescent="0.3">
      <c r="A159" s="11" t="s">
        <v>564</v>
      </c>
      <c r="C159" s="2"/>
      <c r="E159" s="2">
        <v>169</v>
      </c>
      <c r="F159" s="2">
        <v>300</v>
      </c>
      <c r="G159" s="2">
        <v>300</v>
      </c>
      <c r="H159" s="2">
        <v>300</v>
      </c>
      <c r="I159" s="2">
        <v>300</v>
      </c>
      <c r="J159" s="2">
        <v>300</v>
      </c>
    </row>
    <row r="160" spans="1:10" x14ac:dyDescent="0.25">
      <c r="A160" s="8" t="s">
        <v>126</v>
      </c>
      <c r="C160" s="2"/>
      <c r="D160" s="2">
        <v>300</v>
      </c>
      <c r="E160" s="2"/>
      <c r="I160" s="209"/>
      <c r="J160" s="213"/>
    </row>
    <row r="161" spans="1:10" x14ac:dyDescent="0.25">
      <c r="C161" s="2"/>
      <c r="E161" s="2"/>
      <c r="F161" s="2"/>
      <c r="G161" s="2"/>
      <c r="H161" s="2"/>
      <c r="I161" s="2"/>
      <c r="J161" s="2"/>
    </row>
    <row r="162" spans="1:10" ht="13.8" x14ac:dyDescent="0.3">
      <c r="A162" s="11" t="s">
        <v>1566</v>
      </c>
      <c r="C162" s="2"/>
      <c r="E162" s="2">
        <v>0</v>
      </c>
      <c r="F162" s="2">
        <v>150</v>
      </c>
      <c r="G162" s="2">
        <v>150</v>
      </c>
      <c r="H162" s="2">
        <v>150</v>
      </c>
      <c r="I162" s="2">
        <v>150</v>
      </c>
      <c r="J162" s="2">
        <v>150</v>
      </c>
    </row>
    <row r="163" spans="1:10" x14ac:dyDescent="0.25">
      <c r="A163" s="8" t="s">
        <v>150</v>
      </c>
      <c r="C163" s="2"/>
      <c r="D163" s="2">
        <v>150</v>
      </c>
      <c r="E163" s="2"/>
      <c r="I163" s="209"/>
      <c r="J163" s="213"/>
    </row>
    <row r="164" spans="1:10" x14ac:dyDescent="0.25">
      <c r="C164" s="2"/>
      <c r="E164" s="2"/>
      <c r="F164" s="2"/>
      <c r="G164" s="2"/>
      <c r="H164" s="2"/>
      <c r="I164" s="2"/>
      <c r="J164" s="2"/>
    </row>
    <row r="165" spans="1:10" ht="13.8" x14ac:dyDescent="0.3">
      <c r="A165" s="11" t="s">
        <v>1416</v>
      </c>
      <c r="B165" s="2"/>
      <c r="E165" s="2">
        <v>477342</v>
      </c>
      <c r="F165" s="2">
        <v>531750</v>
      </c>
      <c r="G165" s="2">
        <v>608950</v>
      </c>
      <c r="H165" s="2">
        <v>608950</v>
      </c>
      <c r="I165" s="2">
        <v>608950</v>
      </c>
      <c r="J165" s="2">
        <v>608950</v>
      </c>
    </row>
    <row r="166" spans="1:10" x14ac:dyDescent="0.25">
      <c r="A166" s="8" t="s">
        <v>2209</v>
      </c>
      <c r="B166" s="2">
        <v>8300</v>
      </c>
      <c r="C166" s="13">
        <v>69</v>
      </c>
      <c r="D166" s="2">
        <f>B166*C166</f>
        <v>572700</v>
      </c>
      <c r="E166" s="2"/>
      <c r="I166" s="209"/>
      <c r="J166" s="213"/>
    </row>
    <row r="167" spans="1:10" ht="15" x14ac:dyDescent="0.4">
      <c r="A167" s="8" t="s">
        <v>2210</v>
      </c>
      <c r="B167" s="2">
        <v>1450</v>
      </c>
      <c r="C167" s="13">
        <v>25</v>
      </c>
      <c r="D167" s="12">
        <f>B167*C167</f>
        <v>36250</v>
      </c>
      <c r="E167" s="2"/>
      <c r="I167" s="209"/>
      <c r="J167" s="213"/>
    </row>
    <row r="168" spans="1:10" x14ac:dyDescent="0.25">
      <c r="A168" s="8" t="s">
        <v>1279</v>
      </c>
      <c r="B168" s="2"/>
      <c r="C168" s="13"/>
      <c r="D168" s="2">
        <f>SUM(D166:D167)</f>
        <v>608950</v>
      </c>
      <c r="E168" s="2"/>
      <c r="I168" s="209"/>
      <c r="J168" s="213"/>
    </row>
    <row r="169" spans="1:10" x14ac:dyDescent="0.25">
      <c r="B169" s="2"/>
      <c r="C169" s="13"/>
      <c r="E169" s="2"/>
      <c r="I169" s="209"/>
      <c r="J169" s="213"/>
    </row>
    <row r="170" spans="1:10" ht="13.8" x14ac:dyDescent="0.3">
      <c r="A170" s="127" t="s">
        <v>1877</v>
      </c>
      <c r="B170" s="2"/>
      <c r="C170" s="13"/>
      <c r="E170" s="2">
        <v>89594</v>
      </c>
      <c r="F170" s="8">
        <v>0</v>
      </c>
      <c r="G170" s="8">
        <v>0</v>
      </c>
      <c r="H170" s="8">
        <v>0</v>
      </c>
      <c r="I170" s="209">
        <v>0</v>
      </c>
      <c r="J170" s="213">
        <v>0</v>
      </c>
    </row>
    <row r="171" spans="1:10" x14ac:dyDescent="0.25">
      <c r="B171" s="2"/>
      <c r="C171" s="13"/>
      <c r="E171" s="2"/>
      <c r="I171" s="209"/>
      <c r="J171" s="213"/>
    </row>
    <row r="172" spans="1:10" ht="13.8" x14ac:dyDescent="0.3">
      <c r="A172" s="11" t="s">
        <v>1567</v>
      </c>
      <c r="E172" s="2">
        <v>11387</v>
      </c>
      <c r="F172" s="2">
        <v>6340</v>
      </c>
      <c r="G172" s="2">
        <v>6340</v>
      </c>
      <c r="H172" s="2">
        <v>6340</v>
      </c>
      <c r="I172" s="2">
        <v>6340</v>
      </c>
      <c r="J172" s="2">
        <v>6340</v>
      </c>
    </row>
    <row r="173" spans="1:10" x14ac:dyDescent="0.25">
      <c r="A173" s="8" t="s">
        <v>1512</v>
      </c>
      <c r="D173" s="9">
        <v>500</v>
      </c>
      <c r="I173" s="209"/>
      <c r="J173" s="213"/>
    </row>
    <row r="174" spans="1:10" x14ac:dyDescent="0.25">
      <c r="A174" s="8" t="s">
        <v>1513</v>
      </c>
      <c r="C174" s="2"/>
      <c r="D174" s="2">
        <v>300</v>
      </c>
      <c r="E174" s="2"/>
      <c r="F174" s="2"/>
      <c r="G174" s="2"/>
      <c r="H174" s="2"/>
      <c r="I174" s="2"/>
      <c r="J174" s="2"/>
    </row>
    <row r="175" spans="1:10" x14ac:dyDescent="0.25">
      <c r="A175" s="8" t="s">
        <v>1514</v>
      </c>
      <c r="C175" s="2"/>
      <c r="D175" s="2">
        <v>200</v>
      </c>
      <c r="E175" s="2"/>
      <c r="F175" s="2"/>
      <c r="G175" s="2"/>
      <c r="H175" s="2"/>
      <c r="I175" s="2"/>
      <c r="J175" s="2"/>
    </row>
    <row r="176" spans="1:10" x14ac:dyDescent="0.25">
      <c r="A176" s="8" t="s">
        <v>996</v>
      </c>
      <c r="C176" s="2"/>
      <c r="D176" s="2">
        <v>840</v>
      </c>
      <c r="E176" s="2"/>
      <c r="F176" s="2"/>
      <c r="G176" s="2"/>
      <c r="H176" s="2"/>
      <c r="I176" s="2"/>
      <c r="J176" s="2"/>
    </row>
    <row r="177" spans="1:10" x14ac:dyDescent="0.25">
      <c r="A177" s="8" t="s">
        <v>612</v>
      </c>
      <c r="C177" s="2"/>
      <c r="D177" s="2">
        <v>500</v>
      </c>
      <c r="E177" s="2"/>
      <c r="I177" s="209"/>
      <c r="J177" s="213"/>
    </row>
    <row r="178" spans="1:10" ht="15" x14ac:dyDescent="0.4">
      <c r="A178" s="8" t="s">
        <v>1224</v>
      </c>
      <c r="C178" s="2"/>
      <c r="D178" s="12">
        <v>4000</v>
      </c>
      <c r="E178" s="2"/>
      <c r="F178" s="2"/>
      <c r="G178" s="2"/>
      <c r="H178" s="2"/>
      <c r="I178" s="2"/>
      <c r="J178" s="2"/>
    </row>
    <row r="179" spans="1:10" ht="15" x14ac:dyDescent="0.4">
      <c r="A179" s="8" t="s">
        <v>1279</v>
      </c>
      <c r="C179" s="12"/>
      <c r="D179" s="2">
        <f>SUM(D173:D178)</f>
        <v>6340</v>
      </c>
      <c r="E179" s="2"/>
      <c r="I179" s="209"/>
      <c r="J179" s="213"/>
    </row>
    <row r="180" spans="1:10" x14ac:dyDescent="0.25">
      <c r="C180" s="2"/>
      <c r="E180" s="2"/>
      <c r="I180" s="209"/>
      <c r="J180" s="213"/>
    </row>
    <row r="181" spans="1:10" ht="13.8" x14ac:dyDescent="0.3">
      <c r="A181" s="11" t="s">
        <v>721</v>
      </c>
      <c r="C181" s="2"/>
      <c r="E181" s="2">
        <v>7850</v>
      </c>
      <c r="F181" s="2">
        <v>12000</v>
      </c>
      <c r="G181" s="2">
        <v>14000</v>
      </c>
      <c r="H181" s="2">
        <v>14000</v>
      </c>
      <c r="I181" s="2">
        <v>14000</v>
      </c>
      <c r="J181" s="2">
        <v>14000</v>
      </c>
    </row>
    <row r="182" spans="1:10" x14ac:dyDescent="0.25">
      <c r="A182" s="8" t="s">
        <v>1607</v>
      </c>
      <c r="C182" s="2"/>
      <c r="D182" s="2">
        <v>5500</v>
      </c>
      <c r="E182" s="2"/>
      <c r="F182" s="2"/>
      <c r="G182" s="2"/>
      <c r="H182" s="2"/>
      <c r="I182" s="2"/>
      <c r="J182" s="2"/>
    </row>
    <row r="183" spans="1:10" x14ac:dyDescent="0.25">
      <c r="A183" s="8" t="s">
        <v>1608</v>
      </c>
      <c r="C183" s="2"/>
      <c r="D183" s="2">
        <v>6000</v>
      </c>
      <c r="E183" s="2"/>
      <c r="F183" s="2"/>
      <c r="G183" s="2"/>
      <c r="H183" s="2"/>
      <c r="I183" s="2"/>
      <c r="J183" s="2"/>
    </row>
    <row r="184" spans="1:10" ht="15" x14ac:dyDescent="0.4">
      <c r="A184" s="8" t="s">
        <v>1609</v>
      </c>
      <c r="C184" s="2"/>
      <c r="D184" s="12">
        <v>2500</v>
      </c>
      <c r="E184" s="2"/>
      <c r="F184" s="2"/>
      <c r="G184" s="2"/>
      <c r="H184" s="2"/>
      <c r="I184" s="2"/>
      <c r="J184" s="2"/>
    </row>
    <row r="185" spans="1:10" x14ac:dyDescent="0.25">
      <c r="C185" s="2"/>
      <c r="D185" s="2">
        <f>SUM(D182:D184)</f>
        <v>14000</v>
      </c>
      <c r="E185" s="2"/>
      <c r="F185" s="2"/>
      <c r="G185" s="2"/>
      <c r="H185" s="2"/>
      <c r="I185" s="2"/>
      <c r="J185" s="2"/>
    </row>
    <row r="186" spans="1:10" ht="13.8" x14ac:dyDescent="0.3">
      <c r="A186" s="11"/>
      <c r="B186" s="2"/>
      <c r="C186" s="13"/>
      <c r="E186" s="2"/>
      <c r="I186" s="209"/>
      <c r="J186" s="213"/>
    </row>
    <row r="187" spans="1:10" ht="13.8" x14ac:dyDescent="0.3">
      <c r="A187" s="11" t="s">
        <v>1568</v>
      </c>
      <c r="C187" s="2"/>
      <c r="E187" s="2">
        <v>85048</v>
      </c>
      <c r="F187" s="2">
        <v>58700</v>
      </c>
      <c r="G187" s="2">
        <v>62700</v>
      </c>
      <c r="H187" s="2">
        <v>62700</v>
      </c>
      <c r="I187" s="2">
        <v>62700</v>
      </c>
      <c r="J187" s="2">
        <v>62700</v>
      </c>
    </row>
    <row r="188" spans="1:10" x14ac:dyDescent="0.25">
      <c r="A188" s="8" t="s">
        <v>38</v>
      </c>
      <c r="C188" s="2"/>
      <c r="D188" s="2">
        <v>15000</v>
      </c>
      <c r="E188" s="2"/>
      <c r="F188" s="2"/>
      <c r="G188" s="2"/>
      <c r="H188" s="2"/>
      <c r="I188" s="2"/>
      <c r="J188" s="2"/>
    </row>
    <row r="189" spans="1:10" x14ac:dyDescent="0.25">
      <c r="A189" s="8" t="s">
        <v>997</v>
      </c>
      <c r="C189" s="2"/>
      <c r="D189" s="2">
        <v>4700</v>
      </c>
      <c r="E189" s="2"/>
      <c r="F189" s="2"/>
      <c r="G189" s="2"/>
      <c r="H189" s="2"/>
      <c r="I189" s="2"/>
      <c r="J189" s="2"/>
    </row>
    <row r="190" spans="1:10" x14ac:dyDescent="0.25">
      <c r="A190" s="8" t="s">
        <v>477</v>
      </c>
      <c r="C190" s="2"/>
      <c r="D190" s="2">
        <v>30000</v>
      </c>
      <c r="E190" s="2"/>
      <c r="F190" s="2"/>
      <c r="G190" s="2"/>
      <c r="H190" s="2"/>
      <c r="I190" s="2"/>
      <c r="J190" s="2"/>
    </row>
    <row r="191" spans="1:10" x14ac:dyDescent="0.25">
      <c r="A191" s="8" t="s">
        <v>121</v>
      </c>
      <c r="C191" s="2"/>
      <c r="D191" s="2">
        <v>10000</v>
      </c>
      <c r="E191" s="2"/>
      <c r="F191" s="2"/>
      <c r="G191" s="2"/>
      <c r="H191" s="2"/>
      <c r="I191" s="2"/>
      <c r="J191" s="2"/>
    </row>
    <row r="192" spans="1:10" ht="15" x14ac:dyDescent="0.4">
      <c r="A192" s="8" t="s">
        <v>1802</v>
      </c>
      <c r="C192" s="2"/>
      <c r="D192" s="12">
        <v>3000</v>
      </c>
      <c r="E192" s="2"/>
      <c r="F192" s="2"/>
      <c r="G192" s="2"/>
      <c r="H192" s="2"/>
      <c r="I192" s="2"/>
      <c r="J192" s="2"/>
    </row>
    <row r="193" spans="1:10" ht="15" x14ac:dyDescent="0.4">
      <c r="A193" s="8" t="s">
        <v>1279</v>
      </c>
      <c r="C193" s="12"/>
      <c r="D193" s="2">
        <f>SUM(D188:D192)</f>
        <v>62700</v>
      </c>
      <c r="E193" s="2"/>
      <c r="F193" s="2"/>
      <c r="G193" s="2"/>
      <c r="H193" s="2"/>
      <c r="I193" s="2"/>
      <c r="J193" s="2"/>
    </row>
    <row r="194" spans="1:10" x14ac:dyDescent="0.25">
      <c r="C194" s="2"/>
      <c r="E194" s="2"/>
      <c r="I194" s="209"/>
      <c r="J194" s="213"/>
    </row>
    <row r="195" spans="1:10" ht="13.8" x14ac:dyDescent="0.3">
      <c r="A195" s="64" t="s">
        <v>2151</v>
      </c>
      <c r="C195" s="2"/>
      <c r="E195" s="2">
        <v>0</v>
      </c>
      <c r="F195" s="2">
        <v>0</v>
      </c>
      <c r="G195" s="2">
        <v>14600</v>
      </c>
      <c r="H195" s="2">
        <v>14600</v>
      </c>
      <c r="I195" s="2">
        <v>14600</v>
      </c>
      <c r="J195" s="2">
        <v>14600</v>
      </c>
    </row>
    <row r="196" spans="1:10" x14ac:dyDescent="0.25">
      <c r="A196" s="8" t="s">
        <v>2152</v>
      </c>
      <c r="C196" s="2"/>
      <c r="D196" s="2">
        <v>9000</v>
      </c>
      <c r="E196" s="2"/>
      <c r="F196" s="2"/>
      <c r="G196" s="2"/>
      <c r="I196" s="209"/>
      <c r="J196" s="213"/>
    </row>
    <row r="197" spans="1:10" ht="15" x14ac:dyDescent="0.4">
      <c r="A197" s="8" t="s">
        <v>2153</v>
      </c>
      <c r="C197" s="2"/>
      <c r="D197" s="12">
        <v>5600</v>
      </c>
      <c r="E197" s="2"/>
      <c r="F197" s="2"/>
      <c r="G197" s="2"/>
      <c r="I197" s="209"/>
      <c r="J197" s="213"/>
    </row>
    <row r="198" spans="1:10" ht="15" x14ac:dyDescent="0.4">
      <c r="A198" s="8" t="s">
        <v>1279</v>
      </c>
      <c r="C198" s="12"/>
      <c r="D198" s="2">
        <f>SUM(D196:D197)</f>
        <v>14600</v>
      </c>
      <c r="E198" s="2"/>
      <c r="F198" s="2"/>
      <c r="G198" s="2"/>
      <c r="I198" s="209"/>
      <c r="J198" s="213"/>
    </row>
    <row r="199" spans="1:10" ht="15" x14ac:dyDescent="0.4">
      <c r="C199" s="12"/>
      <c r="E199" s="2"/>
      <c r="F199" s="2"/>
      <c r="G199" s="2"/>
      <c r="I199" s="209"/>
      <c r="J199" s="213"/>
    </row>
    <row r="200" spans="1:10" ht="13.8" x14ac:dyDescent="0.3">
      <c r="A200" s="64" t="s">
        <v>1975</v>
      </c>
      <c r="C200" s="2"/>
      <c r="E200" s="2">
        <v>33616</v>
      </c>
      <c r="F200" s="2">
        <v>0</v>
      </c>
      <c r="G200" s="2">
        <v>0</v>
      </c>
      <c r="H200" s="2">
        <v>0</v>
      </c>
      <c r="I200" s="2">
        <v>0</v>
      </c>
      <c r="J200" s="2">
        <v>0</v>
      </c>
    </row>
    <row r="201" spans="1:10" ht="13.8" x14ac:dyDescent="0.3">
      <c r="A201" s="64"/>
      <c r="C201" s="2"/>
      <c r="E201" s="2"/>
      <c r="H201" s="2"/>
      <c r="I201" s="2"/>
      <c r="J201" s="2"/>
    </row>
    <row r="202" spans="1:10" ht="13.8" x14ac:dyDescent="0.3">
      <c r="A202" s="11" t="s">
        <v>1876</v>
      </c>
      <c r="C202" s="2"/>
      <c r="E202" s="2">
        <v>0</v>
      </c>
      <c r="F202" s="2">
        <v>0</v>
      </c>
      <c r="G202" s="2">
        <v>0</v>
      </c>
      <c r="H202" s="2">
        <v>0</v>
      </c>
      <c r="I202" s="2">
        <v>0</v>
      </c>
      <c r="J202" s="2">
        <v>0</v>
      </c>
    </row>
    <row r="203" spans="1:10" x14ac:dyDescent="0.25">
      <c r="C203" s="2"/>
      <c r="E203" s="2"/>
      <c r="H203" s="2"/>
      <c r="I203" s="2"/>
      <c r="J203" s="2"/>
    </row>
    <row r="204" spans="1:10" ht="13.8" x14ac:dyDescent="0.3">
      <c r="A204" s="11" t="s">
        <v>876</v>
      </c>
      <c r="C204" s="2"/>
      <c r="E204" s="2">
        <v>45000</v>
      </c>
      <c r="F204" s="2">
        <v>65000</v>
      </c>
      <c r="G204" s="2">
        <v>100000</v>
      </c>
      <c r="H204" s="2">
        <v>100000</v>
      </c>
      <c r="I204" s="2">
        <v>100000</v>
      </c>
      <c r="J204" s="2">
        <v>100000</v>
      </c>
    </row>
    <row r="205" spans="1:10" x14ac:dyDescent="0.25">
      <c r="A205" s="8" t="s">
        <v>1157</v>
      </c>
      <c r="C205" s="2"/>
      <c r="D205" s="2">
        <v>100000</v>
      </c>
      <c r="F205" s="2"/>
      <c r="G205" s="2"/>
      <c r="I205" s="209"/>
      <c r="J205" s="213"/>
    </row>
    <row r="206" spans="1:10" x14ac:dyDescent="0.25">
      <c r="C206" s="2"/>
      <c r="F206" s="2"/>
      <c r="G206" s="2"/>
      <c r="H206" s="2"/>
      <c r="I206" s="2"/>
      <c r="J206" s="2"/>
    </row>
    <row r="207" spans="1:10" ht="15" x14ac:dyDescent="0.4">
      <c r="C207" s="2"/>
      <c r="F207" s="2"/>
      <c r="G207" s="2"/>
      <c r="H207" s="12"/>
      <c r="I207" s="12"/>
      <c r="J207" s="12"/>
    </row>
    <row r="208" spans="1:10" ht="15" x14ac:dyDescent="0.4">
      <c r="A208" s="11" t="s">
        <v>1150</v>
      </c>
      <c r="C208" s="2"/>
      <c r="E208" s="12">
        <v>0</v>
      </c>
      <c r="F208" s="12">
        <v>0</v>
      </c>
      <c r="G208" s="33">
        <v>102000</v>
      </c>
      <c r="H208" s="12">
        <v>70000</v>
      </c>
      <c r="I208" s="12">
        <v>70000</v>
      </c>
      <c r="J208" s="12">
        <v>70000</v>
      </c>
    </row>
    <row r="209" spans="1:10" ht="15" x14ac:dyDescent="0.4">
      <c r="A209" s="25" t="s">
        <v>1919</v>
      </c>
      <c r="C209" s="2"/>
      <c r="D209" s="2">
        <v>70000</v>
      </c>
      <c r="E209" s="12"/>
      <c r="H209" s="2"/>
      <c r="I209" s="2"/>
      <c r="J209" s="2"/>
    </row>
    <row r="210" spans="1:10" ht="15" x14ac:dyDescent="0.4">
      <c r="A210" s="8" t="s">
        <v>2154</v>
      </c>
      <c r="C210" s="2"/>
      <c r="D210" s="12">
        <v>0</v>
      </c>
      <c r="F210" s="2"/>
      <c r="G210" s="2"/>
      <c r="I210" s="209"/>
      <c r="J210" s="213"/>
    </row>
    <row r="211" spans="1:10" ht="15" x14ac:dyDescent="0.4">
      <c r="A211" s="25"/>
      <c r="C211" s="2"/>
      <c r="D211" s="2">
        <f>SUM(D209:D210)</f>
        <v>70000</v>
      </c>
      <c r="E211" s="12"/>
      <c r="F211" s="12"/>
      <c r="G211" s="12"/>
      <c r="I211" s="209"/>
      <c r="J211" s="213"/>
    </row>
    <row r="212" spans="1:10" ht="15" x14ac:dyDescent="0.4">
      <c r="C212" s="2"/>
      <c r="E212" s="12"/>
      <c r="F212" s="12"/>
      <c r="G212" s="12"/>
      <c r="H212" s="12"/>
      <c r="I212" s="12"/>
      <c r="J212" s="12"/>
    </row>
    <row r="213" spans="1:10" x14ac:dyDescent="0.25">
      <c r="A213" s="8" t="s">
        <v>504</v>
      </c>
      <c r="E213" s="2">
        <f t="shared" ref="E213:J213" si="1">SUM(E6:E209)</f>
        <v>1426192.8</v>
      </c>
      <c r="F213" s="2">
        <f t="shared" si="1"/>
        <v>1388591</v>
      </c>
      <c r="G213" s="2">
        <f t="shared" si="1"/>
        <v>1622116</v>
      </c>
      <c r="H213" s="2">
        <f t="shared" si="1"/>
        <v>1589894</v>
      </c>
      <c r="I213" s="2">
        <f t="shared" si="1"/>
        <v>1586526</v>
      </c>
      <c r="J213" s="2">
        <f t="shared" si="1"/>
        <v>1586795</v>
      </c>
    </row>
    <row r="214" spans="1:10" x14ac:dyDescent="0.25">
      <c r="I214" s="209"/>
      <c r="J214" s="213"/>
    </row>
    <row r="215" spans="1:10" x14ac:dyDescent="0.25">
      <c r="I215" s="209"/>
      <c r="J215" s="213"/>
    </row>
    <row r="216" spans="1:10" x14ac:dyDescent="0.25">
      <c r="A216" s="8" t="s">
        <v>1001</v>
      </c>
      <c r="E216" s="2">
        <f t="shared" ref="E216:J216" si="2">SUM(E6:E80)</f>
        <v>503765.8</v>
      </c>
      <c r="F216" s="2">
        <f t="shared" si="2"/>
        <v>518403</v>
      </c>
      <c r="G216" s="2">
        <f t="shared" si="2"/>
        <v>528569</v>
      </c>
      <c r="H216" s="2">
        <f t="shared" si="2"/>
        <v>528723</v>
      </c>
      <c r="I216" s="2">
        <f t="shared" si="2"/>
        <v>525355</v>
      </c>
      <c r="J216" s="2">
        <f t="shared" si="2"/>
        <v>525624</v>
      </c>
    </row>
    <row r="217" spans="1:10" x14ac:dyDescent="0.25">
      <c r="A217" s="8" t="s">
        <v>975</v>
      </c>
      <c r="E217" s="2">
        <f t="shared" ref="E217:J217" si="3">SUM(E83:E192)</f>
        <v>843811</v>
      </c>
      <c r="F217" s="2">
        <f t="shared" si="3"/>
        <v>805188</v>
      </c>
      <c r="G217" s="2">
        <f t="shared" si="3"/>
        <v>876947</v>
      </c>
      <c r="H217" s="2">
        <f t="shared" si="3"/>
        <v>876571</v>
      </c>
      <c r="I217" s="2">
        <f t="shared" si="3"/>
        <v>876571</v>
      </c>
      <c r="J217" s="2">
        <f t="shared" si="3"/>
        <v>876571</v>
      </c>
    </row>
    <row r="218" spans="1:10" ht="15" x14ac:dyDescent="0.4">
      <c r="A218" s="8" t="s">
        <v>976</v>
      </c>
      <c r="E218" s="12">
        <f t="shared" ref="E218:J218" si="4">SUM(E194:E210)</f>
        <v>78616</v>
      </c>
      <c r="F218" s="12">
        <f t="shared" si="4"/>
        <v>65000</v>
      </c>
      <c r="G218" s="12">
        <f t="shared" si="4"/>
        <v>216600</v>
      </c>
      <c r="H218" s="12">
        <f t="shared" si="4"/>
        <v>184600</v>
      </c>
      <c r="I218" s="12">
        <f t="shared" si="4"/>
        <v>184600</v>
      </c>
      <c r="J218" s="12">
        <f t="shared" si="4"/>
        <v>184600</v>
      </c>
    </row>
    <row r="219" spans="1:10" x14ac:dyDescent="0.25">
      <c r="A219" s="8" t="s">
        <v>1279</v>
      </c>
      <c r="E219" s="2">
        <f t="shared" ref="E219:J219" si="5">SUM(E216:E218)</f>
        <v>1426192.8</v>
      </c>
      <c r="F219" s="2">
        <f t="shared" si="5"/>
        <v>1388591</v>
      </c>
      <c r="G219" s="2">
        <f t="shared" si="5"/>
        <v>1622116</v>
      </c>
      <c r="H219" s="2">
        <f t="shared" si="5"/>
        <v>1589894</v>
      </c>
      <c r="I219" s="2">
        <f t="shared" si="5"/>
        <v>1586526</v>
      </c>
      <c r="J219" s="2">
        <f t="shared" si="5"/>
        <v>1586795</v>
      </c>
    </row>
    <row r="220" spans="1:10" x14ac:dyDescent="0.25">
      <c r="I220" s="209"/>
      <c r="J220" s="213"/>
    </row>
    <row r="221" spans="1:10" x14ac:dyDescent="0.25">
      <c r="H221" s="209">
        <v>-3368</v>
      </c>
      <c r="I221" s="2">
        <f>+H219-I219</f>
        <v>3368</v>
      </c>
      <c r="J221" s="2">
        <f>+I219-J219</f>
        <v>-269</v>
      </c>
    </row>
    <row r="222" spans="1:10" x14ac:dyDescent="0.25">
      <c r="H222" s="2">
        <f>+H219+H221</f>
        <v>1586526</v>
      </c>
      <c r="J222" s="213"/>
    </row>
    <row r="223" spans="1:10" x14ac:dyDescent="0.25">
      <c r="I223" s="2">
        <f>+I221+H221</f>
        <v>0</v>
      </c>
      <c r="J223" s="2">
        <f>+J221+I221</f>
        <v>3099</v>
      </c>
    </row>
    <row r="224" spans="1:10" x14ac:dyDescent="0.25">
      <c r="I224" s="209"/>
      <c r="J224" s="213"/>
    </row>
    <row r="225" spans="9:10" x14ac:dyDescent="0.25">
      <c r="I225" s="209"/>
      <c r="J225" s="213"/>
    </row>
    <row r="226" spans="9:10" x14ac:dyDescent="0.25">
      <c r="I226" s="209"/>
      <c r="J226" s="213"/>
    </row>
    <row r="227" spans="9:10" x14ac:dyDescent="0.25">
      <c r="I227" s="209"/>
      <c r="J227" s="213"/>
    </row>
    <row r="228" spans="9:10" x14ac:dyDescent="0.25">
      <c r="I228" s="209"/>
      <c r="J228" s="213"/>
    </row>
    <row r="229" spans="9:10" x14ac:dyDescent="0.25">
      <c r="I229" s="209"/>
      <c r="J229" s="213"/>
    </row>
    <row r="230" spans="9:10" x14ac:dyDescent="0.25">
      <c r="I230" s="209"/>
      <c r="J230" s="213"/>
    </row>
    <row r="231" spans="9:10" x14ac:dyDescent="0.25">
      <c r="I231" s="209"/>
      <c r="J231" s="213"/>
    </row>
    <row r="232" spans="9:10" x14ac:dyDescent="0.25">
      <c r="I232" s="209"/>
      <c r="J232" s="213"/>
    </row>
    <row r="233" spans="9:10" x14ac:dyDescent="0.25">
      <c r="I233" s="209"/>
      <c r="J233" s="213"/>
    </row>
    <row r="234" spans="9:10" x14ac:dyDescent="0.25">
      <c r="I234" s="209"/>
      <c r="J234" s="213"/>
    </row>
    <row r="235" spans="9:10" x14ac:dyDescent="0.25">
      <c r="J235" s="213"/>
    </row>
    <row r="236" spans="9:10" x14ac:dyDescent="0.25">
      <c r="J236" s="213"/>
    </row>
    <row r="237" spans="9:10" x14ac:dyDescent="0.25">
      <c r="J237" s="213"/>
    </row>
    <row r="238" spans="9:10" x14ac:dyDescent="0.25">
      <c r="J238" s="213"/>
    </row>
    <row r="239" spans="9:10" x14ac:dyDescent="0.25">
      <c r="J239" s="213"/>
    </row>
    <row r="240" spans="9:10" x14ac:dyDescent="0.25">
      <c r="J240" s="213"/>
    </row>
    <row r="241" spans="10:10" x14ac:dyDescent="0.25">
      <c r="J241" s="213"/>
    </row>
    <row r="242" spans="10:10" x14ac:dyDescent="0.25">
      <c r="J242" s="213"/>
    </row>
    <row r="243" spans="10:10" x14ac:dyDescent="0.25">
      <c r="J243" s="213"/>
    </row>
    <row r="244" spans="10:10" x14ac:dyDescent="0.25">
      <c r="J244" s="213"/>
    </row>
    <row r="245" spans="10:10" x14ac:dyDescent="0.25">
      <c r="J245" s="213"/>
    </row>
    <row r="246" spans="10:10" x14ac:dyDescent="0.25">
      <c r="J246" s="213"/>
    </row>
    <row r="247" spans="10:10" x14ac:dyDescent="0.25">
      <c r="J247" s="213"/>
    </row>
    <row r="248" spans="10:10" x14ac:dyDescent="0.25">
      <c r="J248" s="213"/>
    </row>
    <row r="249" spans="10:10" x14ac:dyDescent="0.25">
      <c r="J249" s="213"/>
    </row>
    <row r="250" spans="10:10" x14ac:dyDescent="0.25">
      <c r="J250" s="213"/>
    </row>
    <row r="251" spans="10:10" x14ac:dyDescent="0.25">
      <c r="J251" s="213"/>
    </row>
    <row r="252" spans="10:10" x14ac:dyDescent="0.25">
      <c r="J252" s="213"/>
    </row>
  </sheetData>
  <mergeCells count="1">
    <mergeCell ref="A1:J1"/>
  </mergeCells>
  <phoneticPr fontId="0" type="noConversion"/>
  <printOptions gridLines="1"/>
  <pageMargins left="0.75" right="0.16" top="0.51" bottom="0.22" header="0.5" footer="0.5"/>
  <pageSetup scale="89" fitToHeight="14" orientation="landscape" r:id="rId1"/>
  <headerFooter alignWithMargins="0"/>
  <rowBreaks count="2" manualBreakCount="2">
    <brk id="116" max="9" man="1"/>
    <brk id="203" max="9"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J290"/>
  <sheetViews>
    <sheetView view="pageBreakPreview" topLeftCell="A224" zoomScaleNormal="100" zoomScaleSheetLayoutView="100" workbookViewId="0">
      <selection activeCell="D215" sqref="D215"/>
    </sheetView>
  </sheetViews>
  <sheetFormatPr defaultRowHeight="13.2" x14ac:dyDescent="0.25"/>
  <cols>
    <col min="1" max="1" width="66.44140625" style="8" customWidth="1"/>
    <col min="2" max="3" width="9.44140625" style="8" bestFit="1" customWidth="1"/>
    <col min="4" max="4" width="9.44140625" style="2" bestFit="1" customWidth="1"/>
    <col min="5" max="5" width="11.33203125" style="8" bestFit="1" customWidth="1"/>
    <col min="6" max="6" width="10.88671875" style="8" customWidth="1"/>
    <col min="7" max="7" width="10.88671875" style="8" bestFit="1" customWidth="1"/>
    <col min="8" max="8" width="14" style="8" bestFit="1" customWidth="1"/>
    <col min="9" max="10" width="10.88671875" style="8" customWidth="1"/>
    <col min="11" max="16384" width="8.88671875" style="8"/>
  </cols>
  <sheetData>
    <row r="1" spans="1:10" x14ac:dyDescent="0.25">
      <c r="A1" s="217" t="s">
        <v>1972</v>
      </c>
      <c r="B1" s="218"/>
      <c r="C1" s="218"/>
      <c r="D1" s="218"/>
      <c r="E1" s="218"/>
      <c r="F1" s="218"/>
      <c r="G1" s="218"/>
      <c r="H1" s="218"/>
      <c r="I1" s="218"/>
      <c r="J1" s="218"/>
    </row>
    <row r="2" spans="1:10" ht="17.399999999999999" x14ac:dyDescent="0.3">
      <c r="A2" s="202" t="s">
        <v>2247</v>
      </c>
      <c r="B2" s="202"/>
      <c r="C2" s="202"/>
      <c r="D2" s="202"/>
      <c r="E2" s="202"/>
      <c r="F2" s="202"/>
    </row>
    <row r="3" spans="1:10" x14ac:dyDescent="0.25">
      <c r="B3" s="2"/>
      <c r="C3" s="2"/>
      <c r="E3" s="2"/>
      <c r="F3" s="2"/>
    </row>
    <row r="4" spans="1:10" x14ac:dyDescent="0.25">
      <c r="B4" s="2"/>
      <c r="C4" s="2"/>
      <c r="E4" s="9" t="s">
        <v>251</v>
      </c>
      <c r="F4" s="9" t="s">
        <v>252</v>
      </c>
      <c r="G4" s="9" t="s">
        <v>73</v>
      </c>
      <c r="H4" s="9" t="s">
        <v>430</v>
      </c>
      <c r="I4" s="2" t="s">
        <v>330</v>
      </c>
      <c r="J4" s="2" t="s">
        <v>364</v>
      </c>
    </row>
    <row r="5" spans="1:10" ht="15" x14ac:dyDescent="0.4">
      <c r="B5" s="2"/>
      <c r="C5" s="2"/>
      <c r="E5" s="10" t="s">
        <v>1684</v>
      </c>
      <c r="F5" s="10" t="s">
        <v>1874</v>
      </c>
      <c r="G5" s="10" t="s">
        <v>1944</v>
      </c>
      <c r="H5" s="10" t="s">
        <v>1944</v>
      </c>
      <c r="I5" s="10" t="s">
        <v>1944</v>
      </c>
      <c r="J5" s="10" t="s">
        <v>1944</v>
      </c>
    </row>
    <row r="6" spans="1:10" ht="13.8" x14ac:dyDescent="0.3">
      <c r="A6" s="11" t="s">
        <v>1522</v>
      </c>
      <c r="B6" s="2"/>
      <c r="C6" s="2"/>
      <c r="E6" s="2">
        <v>63752</v>
      </c>
      <c r="F6" s="2">
        <v>68211</v>
      </c>
      <c r="G6" s="2">
        <v>66924</v>
      </c>
      <c r="H6" s="2">
        <v>66924</v>
      </c>
      <c r="I6" s="2">
        <v>66924</v>
      </c>
      <c r="J6" s="2">
        <v>68276</v>
      </c>
    </row>
    <row r="7" spans="1:10" x14ac:dyDescent="0.25">
      <c r="A7" s="25" t="s">
        <v>462</v>
      </c>
      <c r="B7" s="2">
        <v>52</v>
      </c>
      <c r="C7" s="2">
        <v>1313</v>
      </c>
      <c r="D7" s="2">
        <f>+C7*B7</f>
        <v>68276</v>
      </c>
      <c r="E7" s="2"/>
      <c r="F7" s="2"/>
      <c r="G7" s="2"/>
      <c r="H7" s="2"/>
      <c r="I7" s="2"/>
      <c r="J7" s="2"/>
    </row>
    <row r="8" spans="1:10" ht="15" x14ac:dyDescent="0.4">
      <c r="A8" s="8" t="s">
        <v>995</v>
      </c>
      <c r="B8" s="2"/>
      <c r="C8" s="2"/>
      <c r="D8" s="12">
        <v>0</v>
      </c>
      <c r="E8" s="2"/>
      <c r="F8" s="12"/>
      <c r="G8" s="12"/>
      <c r="H8" s="12"/>
      <c r="I8" s="12"/>
      <c r="J8" s="12"/>
    </row>
    <row r="9" spans="1:10" x14ac:dyDescent="0.25">
      <c r="A9" s="8" t="s">
        <v>1279</v>
      </c>
      <c r="B9" s="2"/>
      <c r="C9" s="2"/>
      <c r="D9" s="2">
        <f>SUM(D7:D8)</f>
        <v>68276</v>
      </c>
      <c r="E9" s="2"/>
      <c r="F9" s="2"/>
      <c r="G9" s="2"/>
      <c r="H9" s="2"/>
      <c r="I9" s="2"/>
      <c r="J9" s="2"/>
    </row>
    <row r="10" spans="1:10" x14ac:dyDescent="0.25">
      <c r="B10" s="2"/>
      <c r="C10" s="2"/>
      <c r="E10" s="2"/>
      <c r="F10" s="2"/>
      <c r="G10" s="2"/>
      <c r="H10" s="2"/>
      <c r="I10" s="2"/>
      <c r="J10" s="2"/>
    </row>
    <row r="11" spans="1:10" x14ac:dyDescent="0.25">
      <c r="B11" s="2"/>
      <c r="C11" s="2"/>
      <c r="E11" s="2"/>
      <c r="F11" s="2"/>
      <c r="G11" s="2"/>
      <c r="H11" s="2"/>
      <c r="I11" s="2"/>
      <c r="J11" s="2"/>
    </row>
    <row r="12" spans="1:10" ht="13.8" x14ac:dyDescent="0.3">
      <c r="A12" s="11" t="s">
        <v>2260</v>
      </c>
      <c r="B12" s="2"/>
      <c r="C12" s="2"/>
      <c r="E12" s="2"/>
      <c r="F12" s="2"/>
      <c r="G12" s="2"/>
      <c r="H12" s="2"/>
      <c r="I12" s="2"/>
      <c r="J12" s="2"/>
    </row>
    <row r="13" spans="1:10" x14ac:dyDescent="0.25">
      <c r="A13" s="8" t="s">
        <v>2201</v>
      </c>
      <c r="B13" s="2">
        <v>52</v>
      </c>
      <c r="C13" s="2">
        <v>746</v>
      </c>
      <c r="D13" s="2">
        <f>+C13*B13</f>
        <v>38792</v>
      </c>
      <c r="E13" s="2"/>
      <c r="F13" s="2"/>
      <c r="G13" s="2">
        <v>38012</v>
      </c>
      <c r="H13" s="2">
        <v>38012</v>
      </c>
      <c r="I13" s="2">
        <v>38012</v>
      </c>
      <c r="J13" s="2">
        <v>38792</v>
      </c>
    </row>
    <row r="14" spans="1:10" ht="15" x14ac:dyDescent="0.4">
      <c r="A14" s="8" t="s">
        <v>995</v>
      </c>
      <c r="B14" s="2"/>
      <c r="C14" s="2"/>
      <c r="D14" s="12">
        <v>0</v>
      </c>
      <c r="E14" s="2"/>
      <c r="F14" s="2"/>
      <c r="G14" s="2"/>
      <c r="H14" s="2"/>
      <c r="I14" s="2"/>
      <c r="J14" s="2"/>
    </row>
    <row r="15" spans="1:10" x14ac:dyDescent="0.25">
      <c r="A15" s="8" t="s">
        <v>1279</v>
      </c>
      <c r="B15" s="2"/>
      <c r="C15" s="2"/>
      <c r="D15" s="2">
        <f>SUM(D13:D14)</f>
        <v>38792</v>
      </c>
      <c r="E15" s="2"/>
      <c r="F15" s="2"/>
      <c r="G15" s="2"/>
      <c r="H15" s="2"/>
      <c r="I15" s="2"/>
      <c r="J15" s="2"/>
    </row>
    <row r="16" spans="1:10" x14ac:dyDescent="0.25">
      <c r="B16" s="2"/>
      <c r="C16" s="2"/>
      <c r="E16" s="2"/>
      <c r="F16" s="2"/>
      <c r="G16" s="2"/>
      <c r="H16" s="2"/>
      <c r="I16" s="2"/>
      <c r="J16" s="2"/>
    </row>
    <row r="17" spans="1:10" x14ac:dyDescent="0.25">
      <c r="B17" s="2"/>
      <c r="C17" s="2"/>
      <c r="E17" s="2"/>
      <c r="F17" s="2"/>
      <c r="G17" s="2"/>
      <c r="H17" s="2"/>
      <c r="I17" s="2"/>
      <c r="J17" s="2"/>
    </row>
    <row r="18" spans="1:10" ht="13.8" x14ac:dyDescent="0.3">
      <c r="A18" s="11" t="s">
        <v>1131</v>
      </c>
      <c r="B18" s="2"/>
      <c r="C18" s="2"/>
      <c r="E18" s="2">
        <v>18049.72</v>
      </c>
      <c r="F18" s="2">
        <v>28474</v>
      </c>
      <c r="G18" s="2">
        <v>36158</v>
      </c>
      <c r="H18" s="2">
        <v>31852</v>
      </c>
      <c r="I18" s="2">
        <v>31852</v>
      </c>
      <c r="J18" s="2">
        <v>32173</v>
      </c>
    </row>
    <row r="19" spans="1:10" x14ac:dyDescent="0.25">
      <c r="A19" s="8" t="s">
        <v>2050</v>
      </c>
      <c r="B19" s="2">
        <v>0</v>
      </c>
      <c r="C19" s="13">
        <v>18.27</v>
      </c>
      <c r="D19" s="2">
        <f t="shared" ref="D19:D24" si="0">ROUND(B19*C19,0)</f>
        <v>0</v>
      </c>
      <c r="E19" s="2"/>
      <c r="F19" s="2"/>
      <c r="G19" s="2"/>
      <c r="H19" s="2"/>
      <c r="I19" s="2"/>
      <c r="J19" s="2"/>
    </row>
    <row r="20" spans="1:10" x14ac:dyDescent="0.25">
      <c r="A20" s="8" t="s">
        <v>2231</v>
      </c>
      <c r="B20" s="2">
        <v>0</v>
      </c>
      <c r="C20" s="13">
        <v>9.25</v>
      </c>
      <c r="D20" s="2">
        <f t="shared" si="0"/>
        <v>0</v>
      </c>
      <c r="E20" s="2"/>
      <c r="F20" s="2"/>
      <c r="G20" s="2"/>
      <c r="H20" s="2"/>
      <c r="I20" s="2"/>
      <c r="J20" s="2"/>
    </row>
    <row r="21" spans="1:10" x14ac:dyDescent="0.25">
      <c r="A21" s="8" t="s">
        <v>2051</v>
      </c>
      <c r="B21" s="2">
        <v>160</v>
      </c>
      <c r="C21" s="13">
        <v>10</v>
      </c>
      <c r="D21" s="2">
        <f t="shared" si="0"/>
        <v>1600</v>
      </c>
      <c r="E21" s="2"/>
      <c r="F21" s="2"/>
      <c r="G21" s="2"/>
      <c r="H21" s="2"/>
      <c r="I21" s="2"/>
      <c r="J21" s="2"/>
    </row>
    <row r="22" spans="1:10" x14ac:dyDescent="0.25">
      <c r="A22" s="8" t="s">
        <v>2052</v>
      </c>
      <c r="B22" s="2">
        <v>640</v>
      </c>
      <c r="C22" s="13">
        <v>10</v>
      </c>
      <c r="D22" s="2">
        <f t="shared" si="0"/>
        <v>6400</v>
      </c>
      <c r="E22" s="2"/>
      <c r="F22" s="2"/>
      <c r="G22" s="2"/>
      <c r="H22" s="2"/>
      <c r="I22" s="2"/>
      <c r="J22" s="2"/>
    </row>
    <row r="23" spans="1:10" x14ac:dyDescent="0.25">
      <c r="A23" s="8" t="s">
        <v>2053</v>
      </c>
      <c r="B23" s="2">
        <v>180</v>
      </c>
      <c r="C23" s="13">
        <v>13.98</v>
      </c>
      <c r="D23" s="2">
        <f t="shared" si="0"/>
        <v>2516</v>
      </c>
      <c r="E23" s="2"/>
      <c r="F23" s="2"/>
      <c r="G23" s="2"/>
      <c r="H23" s="2"/>
      <c r="I23" s="2"/>
      <c r="J23" s="2"/>
    </row>
    <row r="24" spans="1:10" x14ac:dyDescent="0.25">
      <c r="A24" s="8" t="s">
        <v>2230</v>
      </c>
      <c r="B24" s="2">
        <v>0</v>
      </c>
      <c r="C24" s="13">
        <v>10</v>
      </c>
      <c r="D24" s="2">
        <f t="shared" si="0"/>
        <v>0</v>
      </c>
      <c r="E24" s="2"/>
      <c r="F24" s="2"/>
      <c r="G24" s="2"/>
      <c r="H24" s="2"/>
      <c r="I24" s="2"/>
      <c r="J24" s="2"/>
    </row>
    <row r="25" spans="1:10" x14ac:dyDescent="0.25">
      <c r="A25" s="8" t="s">
        <v>1886</v>
      </c>
      <c r="B25" s="2">
        <v>480</v>
      </c>
      <c r="C25" s="13">
        <v>11.56</v>
      </c>
      <c r="D25" s="2">
        <f>ROUND(B25*C25,0)</f>
        <v>5549</v>
      </c>
      <c r="E25" s="2"/>
      <c r="F25" s="19"/>
      <c r="G25" s="19"/>
      <c r="H25" s="19"/>
      <c r="I25" s="19"/>
      <c r="J25" s="19"/>
    </row>
    <row r="26" spans="1:10" ht="15" x14ac:dyDescent="0.4">
      <c r="A26" s="8" t="s">
        <v>1984</v>
      </c>
      <c r="B26" s="2">
        <v>1144</v>
      </c>
      <c r="C26" s="13">
        <v>14.08</v>
      </c>
      <c r="D26" s="12">
        <f>ROUND(B26*C26,0)</f>
        <v>16108</v>
      </c>
      <c r="E26" s="2"/>
      <c r="F26" s="2"/>
      <c r="G26" s="2"/>
      <c r="H26" s="2"/>
      <c r="I26" s="2"/>
      <c r="J26" s="2"/>
    </row>
    <row r="27" spans="1:10" x14ac:dyDescent="0.25">
      <c r="A27" s="8" t="s">
        <v>1279</v>
      </c>
      <c r="B27" s="2"/>
      <c r="C27" s="2"/>
      <c r="D27" s="2">
        <f>SUM(D19:D26)</f>
        <v>32173</v>
      </c>
      <c r="E27" s="2"/>
      <c r="F27" s="2"/>
      <c r="G27" s="2"/>
      <c r="H27" s="2"/>
      <c r="I27" s="2"/>
      <c r="J27" s="2"/>
    </row>
    <row r="28" spans="1:10" x14ac:dyDescent="0.25">
      <c r="I28" s="209"/>
      <c r="J28" s="213"/>
    </row>
    <row r="29" spans="1:10" ht="13.8" x14ac:dyDescent="0.3">
      <c r="A29" s="11" t="s">
        <v>4</v>
      </c>
      <c r="E29" s="2">
        <v>352.2</v>
      </c>
      <c r="F29" s="2">
        <v>586</v>
      </c>
      <c r="G29" s="2">
        <v>500</v>
      </c>
      <c r="H29" s="2">
        <v>500</v>
      </c>
      <c r="I29" s="2">
        <v>500</v>
      </c>
      <c r="J29" s="2">
        <v>500</v>
      </c>
    </row>
    <row r="30" spans="1:10" x14ac:dyDescent="0.25">
      <c r="A30" s="8" t="s">
        <v>1765</v>
      </c>
      <c r="B30" s="2">
        <v>31</v>
      </c>
      <c r="C30" s="13">
        <v>16.13</v>
      </c>
      <c r="D30" s="2">
        <v>500</v>
      </c>
      <c r="E30" s="2"/>
      <c r="F30" s="2"/>
      <c r="G30" s="2"/>
      <c r="H30" s="2"/>
      <c r="I30" s="2"/>
      <c r="J30" s="2"/>
    </row>
    <row r="31" spans="1:10" ht="13.8" x14ac:dyDescent="0.3">
      <c r="A31" s="11" t="s">
        <v>5</v>
      </c>
      <c r="E31" s="2">
        <v>5014.59</v>
      </c>
      <c r="F31" s="2">
        <v>7442</v>
      </c>
      <c r="G31" s="2">
        <v>10833</v>
      </c>
      <c r="H31" s="2">
        <v>10504</v>
      </c>
      <c r="I31" s="2">
        <v>10504</v>
      </c>
      <c r="J31" s="2">
        <v>10691</v>
      </c>
    </row>
    <row r="32" spans="1:10" hidden="1" x14ac:dyDescent="0.25">
      <c r="A32" s="14" t="s">
        <v>1511</v>
      </c>
      <c r="B32" s="2">
        <f>+D9</f>
        <v>68276</v>
      </c>
      <c r="C32" s="15">
        <v>7.6499999999999999E-2</v>
      </c>
      <c r="D32" s="2">
        <f>ROUND(B32*C32,0)</f>
        <v>5223</v>
      </c>
      <c r="E32" s="2"/>
      <c r="F32" s="2"/>
      <c r="G32" s="2"/>
      <c r="H32" s="2"/>
      <c r="I32" s="2"/>
      <c r="J32" s="2"/>
    </row>
    <row r="33" spans="1:10" hidden="1" x14ac:dyDescent="0.25">
      <c r="A33" s="14" t="s">
        <v>831</v>
      </c>
      <c r="B33" s="2">
        <f>+D15</f>
        <v>38792</v>
      </c>
      <c r="C33" s="15">
        <v>7.6499999999999999E-2</v>
      </c>
      <c r="D33" s="2">
        <f>ROUND(B33*C33,0)</f>
        <v>2968</v>
      </c>
      <c r="E33" s="2"/>
      <c r="F33" s="2"/>
      <c r="G33" s="2"/>
      <c r="H33" s="2"/>
      <c r="I33" s="2"/>
      <c r="J33" s="2"/>
    </row>
    <row r="34" spans="1:10" hidden="1" x14ac:dyDescent="0.25">
      <c r="A34" s="14" t="s">
        <v>201</v>
      </c>
      <c r="B34" s="2">
        <f>+D27</f>
        <v>32173</v>
      </c>
      <c r="C34" s="15">
        <v>7.6499999999999999E-2</v>
      </c>
      <c r="D34" s="2">
        <f>ROUND(B34*C34,0)+1</f>
        <v>2462</v>
      </c>
      <c r="E34" s="2"/>
      <c r="F34" s="2"/>
      <c r="G34" s="2"/>
      <c r="H34" s="2"/>
      <c r="I34" s="2"/>
      <c r="J34" s="2"/>
    </row>
    <row r="35" spans="1:10" ht="15" hidden="1" x14ac:dyDescent="0.4">
      <c r="A35" s="14" t="s">
        <v>202</v>
      </c>
      <c r="B35" s="2">
        <f>+D30</f>
        <v>500</v>
      </c>
      <c r="C35" s="15">
        <v>7.6499999999999999E-2</v>
      </c>
      <c r="D35" s="12">
        <f>ROUND(B35*C35,0)</f>
        <v>38</v>
      </c>
      <c r="E35" s="2"/>
      <c r="F35" s="2"/>
      <c r="G35" s="2"/>
      <c r="H35" s="2"/>
      <c r="I35" s="2"/>
      <c r="J35" s="2"/>
    </row>
    <row r="36" spans="1:10" hidden="1" x14ac:dyDescent="0.25">
      <c r="A36" s="8" t="s">
        <v>1279</v>
      </c>
      <c r="D36" s="2">
        <f>SUM(D32:D35)</f>
        <v>10691</v>
      </c>
      <c r="E36" s="2"/>
      <c r="F36" s="2"/>
      <c r="G36" s="2"/>
      <c r="H36" s="2"/>
      <c r="I36" s="2"/>
      <c r="J36" s="2"/>
    </row>
    <row r="37" spans="1:10" x14ac:dyDescent="0.25">
      <c r="E37" s="2"/>
      <c r="F37" s="2"/>
      <c r="G37" s="2"/>
      <c r="H37" s="2"/>
      <c r="I37" s="2"/>
      <c r="J37" s="2"/>
    </row>
    <row r="38" spans="1:10" ht="13.8" x14ac:dyDescent="0.3">
      <c r="A38" s="11" t="s">
        <v>46</v>
      </c>
      <c r="E38" s="2">
        <v>7126</v>
      </c>
      <c r="F38" s="2">
        <v>7619</v>
      </c>
      <c r="G38" s="2">
        <v>12749</v>
      </c>
      <c r="H38" s="2">
        <v>12749</v>
      </c>
      <c r="I38" s="2">
        <v>12749</v>
      </c>
      <c r="J38" s="2">
        <v>13009</v>
      </c>
    </row>
    <row r="39" spans="1:10" hidden="1" x14ac:dyDescent="0.25">
      <c r="A39" s="14" t="s">
        <v>1511</v>
      </c>
      <c r="B39" s="2">
        <f>+D9</f>
        <v>68276</v>
      </c>
      <c r="C39" s="15">
        <v>0.1215</v>
      </c>
      <c r="D39" s="2">
        <f>ROUND(B39*C39,0)</f>
        <v>8296</v>
      </c>
      <c r="E39" s="2"/>
      <c r="F39" s="2"/>
      <c r="G39" s="2"/>
      <c r="H39" s="2"/>
      <c r="I39" s="2"/>
      <c r="J39" s="2"/>
    </row>
    <row r="40" spans="1:10" ht="15" hidden="1" x14ac:dyDescent="0.4">
      <c r="A40" s="14" t="s">
        <v>831</v>
      </c>
      <c r="B40" s="2">
        <f>+D15</f>
        <v>38792</v>
      </c>
      <c r="C40" s="15">
        <v>0.1215</v>
      </c>
      <c r="D40" s="12">
        <f>ROUND(B40*C40,0)</f>
        <v>4713</v>
      </c>
      <c r="E40" s="2"/>
      <c r="F40" s="2"/>
      <c r="G40" s="2"/>
      <c r="H40" s="2"/>
      <c r="I40" s="2"/>
      <c r="J40" s="2"/>
    </row>
    <row r="41" spans="1:10" hidden="1" x14ac:dyDescent="0.25">
      <c r="A41" s="8" t="s">
        <v>1279</v>
      </c>
      <c r="B41" s="2"/>
      <c r="C41" s="15"/>
      <c r="D41" s="2">
        <f>SUM(D39:D40)</f>
        <v>13009</v>
      </c>
      <c r="E41" s="2"/>
      <c r="F41" s="2"/>
      <c r="G41" s="2"/>
      <c r="H41" s="2"/>
      <c r="I41" s="2"/>
      <c r="J41" s="2"/>
    </row>
    <row r="42" spans="1:10" x14ac:dyDescent="0.25">
      <c r="E42" s="2"/>
      <c r="F42" s="2"/>
      <c r="G42" s="2"/>
      <c r="H42" s="2"/>
      <c r="I42" s="2"/>
      <c r="J42" s="2"/>
    </row>
    <row r="43" spans="1:10" ht="13.8" x14ac:dyDescent="0.3">
      <c r="A43" s="11" t="s">
        <v>47</v>
      </c>
      <c r="E43" s="2">
        <v>17751</v>
      </c>
      <c r="F43" s="2">
        <v>17000</v>
      </c>
      <c r="G43" s="2">
        <v>34500</v>
      </c>
      <c r="H43" s="2">
        <v>34500</v>
      </c>
      <c r="I43" s="2">
        <v>34500</v>
      </c>
      <c r="J43" s="2">
        <v>34500</v>
      </c>
    </row>
    <row r="44" spans="1:10" x14ac:dyDescent="0.25">
      <c r="A44" s="8" t="s">
        <v>438</v>
      </c>
      <c r="B44" s="164">
        <v>2</v>
      </c>
      <c r="C44" s="2">
        <v>17250</v>
      </c>
      <c r="D44" s="2">
        <f>ROUND(B44*C44,0)</f>
        <v>34500</v>
      </c>
      <c r="E44" s="2"/>
      <c r="F44" s="2"/>
      <c r="G44" s="2"/>
      <c r="H44" s="2"/>
      <c r="I44" s="2"/>
      <c r="J44" s="2"/>
    </row>
    <row r="45" spans="1:10" x14ac:dyDescent="0.25">
      <c r="B45" s="164"/>
      <c r="E45" s="2"/>
      <c r="F45" s="2"/>
      <c r="G45" s="2"/>
      <c r="H45" s="2"/>
      <c r="I45" s="2"/>
      <c r="J45" s="2"/>
    </row>
    <row r="46" spans="1:10" ht="13.8" x14ac:dyDescent="0.3">
      <c r="A46" s="11" t="s">
        <v>1117</v>
      </c>
      <c r="B46" s="164"/>
      <c r="E46" s="2">
        <v>1187</v>
      </c>
      <c r="F46" s="2">
        <v>1170</v>
      </c>
      <c r="G46" s="2">
        <v>2340</v>
      </c>
      <c r="H46" s="2">
        <v>2340</v>
      </c>
      <c r="I46" s="2">
        <v>2340</v>
      </c>
      <c r="J46" s="2">
        <v>2340</v>
      </c>
    </row>
    <row r="47" spans="1:10" x14ac:dyDescent="0.25">
      <c r="A47" s="8" t="s">
        <v>438</v>
      </c>
      <c r="B47" s="164">
        <v>2</v>
      </c>
      <c r="C47" s="2">
        <v>1300</v>
      </c>
      <c r="D47" s="2">
        <f>ROUND(B47*C47,0)</f>
        <v>2600</v>
      </c>
      <c r="E47" s="2"/>
      <c r="F47" s="2"/>
      <c r="G47" s="2"/>
      <c r="H47" s="2"/>
      <c r="I47" s="2"/>
      <c r="J47" s="2"/>
    </row>
    <row r="48" spans="1:10" ht="15" x14ac:dyDescent="0.4">
      <c r="A48" s="8" t="s">
        <v>245</v>
      </c>
      <c r="B48" s="164"/>
      <c r="C48" s="2"/>
      <c r="D48" s="12">
        <f>+C47*-0.1*B47</f>
        <v>-260</v>
      </c>
      <c r="E48" s="2"/>
      <c r="F48" s="2"/>
      <c r="G48" s="2"/>
      <c r="H48" s="2"/>
      <c r="I48" s="2"/>
      <c r="J48" s="2"/>
    </row>
    <row r="49" spans="1:10" x14ac:dyDescent="0.25">
      <c r="A49" s="8" t="s">
        <v>825</v>
      </c>
      <c r="B49" s="164"/>
      <c r="C49" s="2"/>
      <c r="D49" s="2">
        <f>SUM(D47:D48)</f>
        <v>2340</v>
      </c>
      <c r="E49" s="2"/>
      <c r="F49" s="2"/>
      <c r="G49" s="2"/>
      <c r="H49" s="2"/>
      <c r="I49" s="2"/>
      <c r="J49" s="2"/>
    </row>
    <row r="50" spans="1:10" x14ac:dyDescent="0.25">
      <c r="B50" s="164"/>
      <c r="E50" s="2"/>
      <c r="F50" s="2"/>
      <c r="G50" s="2"/>
      <c r="H50" s="2"/>
      <c r="I50" s="2"/>
      <c r="J50" s="2"/>
    </row>
    <row r="51" spans="1:10" ht="13.8" x14ac:dyDescent="0.3">
      <c r="A51" s="11" t="s">
        <v>163</v>
      </c>
      <c r="B51" s="164"/>
      <c r="E51" s="2">
        <v>143</v>
      </c>
      <c r="F51" s="2">
        <v>135</v>
      </c>
      <c r="G51" s="2">
        <v>270</v>
      </c>
      <c r="H51" s="2">
        <v>270</v>
      </c>
      <c r="I51" s="2">
        <v>270</v>
      </c>
      <c r="J51" s="2">
        <v>270</v>
      </c>
    </row>
    <row r="52" spans="1:10" hidden="1" x14ac:dyDescent="0.25">
      <c r="A52" s="8" t="s">
        <v>438</v>
      </c>
      <c r="B52" s="164">
        <v>2</v>
      </c>
      <c r="C52" s="2">
        <v>135</v>
      </c>
      <c r="D52" s="2">
        <f>ROUND(B52*C52,0)</f>
        <v>270</v>
      </c>
      <c r="E52" s="2"/>
      <c r="F52" s="2"/>
      <c r="G52" s="2"/>
      <c r="H52" s="2"/>
      <c r="I52" s="2"/>
      <c r="J52" s="2"/>
    </row>
    <row r="53" spans="1:10" x14ac:dyDescent="0.25">
      <c r="B53" s="164"/>
      <c r="E53" s="2"/>
      <c r="F53" s="2"/>
      <c r="G53" s="2"/>
      <c r="H53" s="2"/>
      <c r="I53" s="2"/>
      <c r="J53" s="2"/>
    </row>
    <row r="54" spans="1:10" ht="13.8" x14ac:dyDescent="0.3">
      <c r="A54" s="11" t="s">
        <v>164</v>
      </c>
      <c r="B54" s="164"/>
      <c r="E54" s="2">
        <v>470</v>
      </c>
      <c r="F54" s="2">
        <v>410</v>
      </c>
      <c r="G54" s="2">
        <v>820</v>
      </c>
      <c r="H54" s="2">
        <v>820</v>
      </c>
      <c r="I54" s="2">
        <v>820</v>
      </c>
      <c r="J54" s="2">
        <v>820</v>
      </c>
    </row>
    <row r="55" spans="1:10" hidden="1" x14ac:dyDescent="0.25">
      <c r="A55" s="8" t="s">
        <v>438</v>
      </c>
      <c r="B55" s="164">
        <v>2</v>
      </c>
      <c r="C55" s="2">
        <v>410</v>
      </c>
      <c r="D55" s="2">
        <f>ROUND(B55*C55,0)</f>
        <v>820</v>
      </c>
      <c r="E55" s="2"/>
      <c r="F55" s="2"/>
      <c r="G55" s="2"/>
      <c r="H55" s="2"/>
      <c r="I55" s="2"/>
      <c r="J55" s="2"/>
    </row>
    <row r="56" spans="1:10" x14ac:dyDescent="0.25">
      <c r="E56" s="2"/>
      <c r="F56" s="2"/>
      <c r="G56" s="2"/>
      <c r="H56" s="2"/>
      <c r="I56" s="2"/>
      <c r="J56" s="2"/>
    </row>
    <row r="57" spans="1:10" ht="13.8" x14ac:dyDescent="0.3">
      <c r="A57" s="11" t="s">
        <v>165</v>
      </c>
      <c r="E57" s="2">
        <v>1807</v>
      </c>
      <c r="F57" s="2">
        <v>1578</v>
      </c>
      <c r="G57" s="2">
        <v>2790</v>
      </c>
      <c r="H57" s="2">
        <v>2671</v>
      </c>
      <c r="I57" s="2">
        <v>2671</v>
      </c>
      <c r="J57" s="2">
        <v>2718</v>
      </c>
    </row>
    <row r="58" spans="1:10" hidden="1" x14ac:dyDescent="0.25">
      <c r="A58" s="14" t="s">
        <v>1192</v>
      </c>
      <c r="B58" s="2">
        <f>+D7+D8</f>
        <v>68276</v>
      </c>
      <c r="C58" s="15">
        <v>1.8200000000000001E-2</v>
      </c>
      <c r="D58" s="2">
        <f>ROUND(B58*C58,0)</f>
        <v>1243</v>
      </c>
      <c r="E58" s="2"/>
      <c r="F58" s="2"/>
      <c r="G58" s="2"/>
      <c r="H58" s="2"/>
      <c r="I58" s="2"/>
      <c r="J58" s="2"/>
    </row>
    <row r="59" spans="1:10" hidden="1" x14ac:dyDescent="0.25">
      <c r="A59" s="14" t="s">
        <v>2202</v>
      </c>
      <c r="B59" s="2">
        <f>+B33</f>
        <v>38792</v>
      </c>
      <c r="C59" s="15">
        <v>1.8200000000000001E-2</v>
      </c>
      <c r="D59" s="2">
        <f t="shared" ref="D59:D63" si="1">ROUND(B59*C59,0)</f>
        <v>706</v>
      </c>
      <c r="E59" s="2"/>
      <c r="F59" s="2"/>
      <c r="G59" s="2"/>
      <c r="H59" s="2"/>
      <c r="I59" s="2"/>
      <c r="J59" s="2"/>
    </row>
    <row r="60" spans="1:10" hidden="1" x14ac:dyDescent="0.25">
      <c r="A60" s="14" t="s">
        <v>1136</v>
      </c>
      <c r="B60" s="2">
        <f>+D19</f>
        <v>0</v>
      </c>
      <c r="C60" s="15">
        <v>1.6999999999999999E-3</v>
      </c>
      <c r="D60" s="2">
        <f t="shared" si="1"/>
        <v>0</v>
      </c>
      <c r="E60" s="2"/>
      <c r="F60" s="2"/>
      <c r="G60" s="2"/>
      <c r="H60" s="2"/>
      <c r="I60" s="2"/>
      <c r="J60" s="2"/>
    </row>
    <row r="61" spans="1:10" hidden="1" x14ac:dyDescent="0.25">
      <c r="A61" s="14" t="s">
        <v>577</v>
      </c>
      <c r="B61" s="2">
        <f>+D26</f>
        <v>16108</v>
      </c>
      <c r="C61" s="15">
        <v>2.3699999999999999E-2</v>
      </c>
      <c r="D61" s="2">
        <f t="shared" si="1"/>
        <v>382</v>
      </c>
      <c r="E61" s="2"/>
      <c r="F61" s="2"/>
      <c r="G61" s="2"/>
      <c r="H61" s="2"/>
      <c r="I61" s="2"/>
      <c r="J61" s="2"/>
    </row>
    <row r="62" spans="1:10" hidden="1" x14ac:dyDescent="0.25">
      <c r="A62" s="14" t="s">
        <v>1551</v>
      </c>
      <c r="B62" s="2">
        <f>+D25+D23+D22+D21</f>
        <v>16065</v>
      </c>
      <c r="C62" s="15">
        <v>2.3800000000000002E-2</v>
      </c>
      <c r="D62" s="2">
        <f t="shared" si="1"/>
        <v>382</v>
      </c>
      <c r="E62" s="2"/>
      <c r="F62" s="2"/>
      <c r="G62" s="2"/>
      <c r="H62" s="2"/>
      <c r="I62" s="2"/>
      <c r="J62" s="2"/>
    </row>
    <row r="63" spans="1:10" ht="15" hidden="1" x14ac:dyDescent="0.4">
      <c r="A63" s="14" t="s">
        <v>354</v>
      </c>
      <c r="B63" s="2">
        <f>+D30*0.67</f>
        <v>335</v>
      </c>
      <c r="C63" s="15">
        <f>+C62*0.67</f>
        <v>1.5946000000000002E-2</v>
      </c>
      <c r="D63" s="12">
        <f t="shared" si="1"/>
        <v>5</v>
      </c>
      <c r="E63" s="2"/>
      <c r="F63" s="2"/>
      <c r="G63" s="2"/>
      <c r="H63" s="2"/>
      <c r="I63" s="2"/>
      <c r="J63" s="2"/>
    </row>
    <row r="64" spans="1:10" hidden="1" x14ac:dyDescent="0.25">
      <c r="A64" s="8" t="s">
        <v>1279</v>
      </c>
      <c r="D64" s="2">
        <f>SUM(D58:D63)</f>
        <v>2718</v>
      </c>
      <c r="E64" s="2"/>
      <c r="F64" s="2"/>
      <c r="G64" s="2"/>
      <c r="H64" s="2"/>
      <c r="I64" s="2"/>
      <c r="J64" s="2"/>
    </row>
    <row r="65" spans="1:10" x14ac:dyDescent="0.25">
      <c r="E65" s="2"/>
      <c r="F65" s="2"/>
      <c r="G65" s="2"/>
      <c r="H65" s="2"/>
      <c r="I65" s="2"/>
      <c r="J65" s="2"/>
    </row>
    <row r="66" spans="1:10" ht="13.8" x14ac:dyDescent="0.3">
      <c r="A66" s="11" t="s">
        <v>356</v>
      </c>
      <c r="E66" s="2">
        <v>45</v>
      </c>
      <c r="F66" s="2">
        <v>188</v>
      </c>
      <c r="G66" s="2">
        <v>211</v>
      </c>
      <c r="H66" s="2">
        <v>211</v>
      </c>
      <c r="I66" s="2">
        <v>211</v>
      </c>
      <c r="J66" s="2">
        <v>211</v>
      </c>
    </row>
    <row r="67" spans="1:10" hidden="1" x14ac:dyDescent="0.25">
      <c r="A67" s="8" t="s">
        <v>463</v>
      </c>
      <c r="B67" s="2">
        <v>1</v>
      </c>
      <c r="C67" s="2">
        <v>35</v>
      </c>
      <c r="D67" s="2">
        <f>ROUND(B67*C67,0)</f>
        <v>35</v>
      </c>
      <c r="E67" s="2"/>
      <c r="F67" s="2"/>
      <c r="G67" s="2"/>
      <c r="H67" s="2"/>
      <c r="I67" s="2"/>
      <c r="J67" s="2"/>
    </row>
    <row r="68" spans="1:10" hidden="1" x14ac:dyDescent="0.25">
      <c r="A68" s="14" t="s">
        <v>2202</v>
      </c>
      <c r="B68" s="2">
        <v>1</v>
      </c>
      <c r="C68" s="2">
        <v>35</v>
      </c>
      <c r="D68" s="2">
        <f>ROUND(B68*C68,0)</f>
        <v>35</v>
      </c>
      <c r="E68" s="2"/>
      <c r="F68" s="2"/>
      <c r="G68" s="2"/>
      <c r="H68" s="2"/>
      <c r="I68" s="2"/>
      <c r="J68" s="2"/>
    </row>
    <row r="69" spans="1:10" hidden="1" x14ac:dyDescent="0.25">
      <c r="A69" s="14" t="s">
        <v>1977</v>
      </c>
      <c r="B69" s="164">
        <v>0.5</v>
      </c>
      <c r="C69" s="2">
        <v>35</v>
      </c>
      <c r="D69" s="2">
        <f>ROUND(B69*C69,0)</f>
        <v>18</v>
      </c>
      <c r="E69" s="2"/>
      <c r="F69" s="2"/>
      <c r="G69" s="2"/>
      <c r="H69" s="2"/>
      <c r="I69" s="2"/>
      <c r="J69" s="2"/>
    </row>
    <row r="70" spans="1:10" hidden="1" x14ac:dyDescent="0.25">
      <c r="A70" s="14" t="s">
        <v>201</v>
      </c>
      <c r="B70" s="2">
        <f>+D21+D22+D23+D25</f>
        <v>16065</v>
      </c>
      <c r="C70" s="15">
        <v>2.5000000000000001E-3</v>
      </c>
      <c r="D70" s="2">
        <f>ROUND(B70*C70,0)+13</f>
        <v>53</v>
      </c>
      <c r="E70" s="2"/>
      <c r="F70" s="2"/>
      <c r="G70" s="2"/>
      <c r="H70" s="2"/>
      <c r="I70" s="2"/>
      <c r="J70" s="2"/>
    </row>
    <row r="71" spans="1:10" ht="15" hidden="1" x14ac:dyDescent="0.4">
      <c r="A71" s="14" t="s">
        <v>2054</v>
      </c>
      <c r="B71" s="2">
        <v>2</v>
      </c>
      <c r="C71" s="2">
        <v>35</v>
      </c>
      <c r="D71" s="12">
        <f>ROUND(B71*C71,0)</f>
        <v>70</v>
      </c>
      <c r="E71" s="2"/>
      <c r="F71" s="2"/>
      <c r="G71" s="2"/>
      <c r="H71" s="2"/>
      <c r="I71" s="2"/>
      <c r="J71" s="2"/>
    </row>
    <row r="72" spans="1:10" hidden="1" x14ac:dyDescent="0.25">
      <c r="A72" s="8" t="s">
        <v>1279</v>
      </c>
      <c r="D72" s="2">
        <f>SUM(D67:D71)</f>
        <v>211</v>
      </c>
      <c r="E72" s="2"/>
      <c r="F72" s="2"/>
      <c r="G72" s="2"/>
      <c r="H72" s="2"/>
      <c r="I72" s="2"/>
      <c r="J72" s="2"/>
    </row>
    <row r="73" spans="1:10" x14ac:dyDescent="0.25">
      <c r="E73" s="2"/>
      <c r="F73" s="2"/>
      <c r="G73" s="2"/>
      <c r="H73" s="2"/>
      <c r="I73" s="2"/>
      <c r="J73" s="2"/>
    </row>
    <row r="74" spans="1:10" ht="13.8" x14ac:dyDescent="0.3">
      <c r="A74" s="11" t="s">
        <v>357</v>
      </c>
      <c r="E74" s="2">
        <v>1059</v>
      </c>
      <c r="F74" s="2">
        <v>500</v>
      </c>
      <c r="G74" s="2">
        <v>1000</v>
      </c>
      <c r="H74" s="2">
        <v>1000</v>
      </c>
      <c r="I74" s="2">
        <v>1000</v>
      </c>
      <c r="J74" s="2">
        <v>1000</v>
      </c>
    </row>
    <row r="75" spans="1:10" x14ac:dyDescent="0.25">
      <c r="A75" s="8" t="s">
        <v>436</v>
      </c>
      <c r="D75" s="2" t="s">
        <v>417</v>
      </c>
      <c r="E75" s="2"/>
      <c r="F75" s="2"/>
      <c r="G75" s="2"/>
      <c r="H75" s="2"/>
      <c r="I75" s="2"/>
      <c r="J75" s="2"/>
    </row>
    <row r="76" spans="1:10" x14ac:dyDescent="0.25">
      <c r="A76" s="8" t="s">
        <v>608</v>
      </c>
      <c r="C76" s="2"/>
      <c r="D76" s="2">
        <v>1000</v>
      </c>
      <c r="E76" s="2"/>
      <c r="F76" s="2"/>
      <c r="G76" s="2"/>
      <c r="H76" s="2"/>
      <c r="I76" s="2"/>
      <c r="J76" s="2"/>
    </row>
    <row r="77" spans="1:10" x14ac:dyDescent="0.25">
      <c r="A77" s="8" t="s">
        <v>417</v>
      </c>
      <c r="C77" s="2" t="s">
        <v>417</v>
      </c>
      <c r="D77" s="2" t="s">
        <v>417</v>
      </c>
      <c r="E77" s="2"/>
      <c r="F77" s="2"/>
      <c r="G77" s="2"/>
      <c r="H77" s="2"/>
      <c r="I77" s="2"/>
      <c r="J77" s="2"/>
    </row>
    <row r="78" spans="1:10" ht="13.8" x14ac:dyDescent="0.3">
      <c r="A78" s="11" t="s">
        <v>1411</v>
      </c>
      <c r="C78" s="2"/>
      <c r="E78" s="2">
        <v>3039.6</v>
      </c>
      <c r="F78" s="2">
        <v>4500</v>
      </c>
      <c r="G78" s="2">
        <v>4500</v>
      </c>
      <c r="H78" s="2">
        <v>3500</v>
      </c>
      <c r="I78" s="2">
        <v>3500</v>
      </c>
      <c r="J78" s="2">
        <v>3500</v>
      </c>
    </row>
    <row r="79" spans="1:10" x14ac:dyDescent="0.25">
      <c r="A79" s="8" t="s">
        <v>526</v>
      </c>
      <c r="B79" s="7"/>
      <c r="C79" s="2"/>
      <c r="D79" s="2">
        <v>3500</v>
      </c>
      <c r="E79" s="2"/>
      <c r="F79" s="2"/>
      <c r="G79" s="2"/>
      <c r="H79" s="2"/>
      <c r="I79" s="2"/>
      <c r="J79" s="2"/>
    </row>
    <row r="80" spans="1:10" x14ac:dyDescent="0.25">
      <c r="A80" s="7"/>
      <c r="B80" s="7"/>
      <c r="C80" s="2"/>
      <c r="E80" s="2"/>
      <c r="F80" s="2"/>
      <c r="G80" s="2"/>
      <c r="H80" s="2"/>
      <c r="I80" s="2"/>
      <c r="J80" s="2"/>
    </row>
    <row r="81" spans="1:10" ht="13.8" x14ac:dyDescent="0.3">
      <c r="A81" s="11" t="s">
        <v>596</v>
      </c>
      <c r="D81" s="2" t="s">
        <v>417</v>
      </c>
      <c r="E81" s="2">
        <v>471</v>
      </c>
      <c r="F81" s="2">
        <v>500</v>
      </c>
      <c r="G81" s="2">
        <v>500</v>
      </c>
      <c r="H81" s="2">
        <v>500</v>
      </c>
      <c r="I81" s="2">
        <v>500</v>
      </c>
      <c r="J81" s="2">
        <v>500</v>
      </c>
    </row>
    <row r="82" spans="1:10" x14ac:dyDescent="0.25">
      <c r="A82" s="8" t="s">
        <v>1759</v>
      </c>
      <c r="B82" s="2" t="s">
        <v>417</v>
      </c>
      <c r="C82" s="2" t="s">
        <v>417</v>
      </c>
      <c r="D82" s="2">
        <v>500</v>
      </c>
      <c r="E82" s="2"/>
      <c r="F82" s="2"/>
      <c r="G82" s="2"/>
      <c r="H82" s="2"/>
      <c r="I82" s="2"/>
      <c r="J82" s="2"/>
    </row>
    <row r="83" spans="1:10" x14ac:dyDescent="0.25">
      <c r="E83" s="2"/>
      <c r="F83" s="2"/>
      <c r="G83" s="2"/>
      <c r="H83" s="2"/>
      <c r="I83" s="2"/>
      <c r="J83" s="2"/>
    </row>
    <row r="84" spans="1:10" ht="13.8" x14ac:dyDescent="0.3">
      <c r="A84" s="11" t="s">
        <v>1080</v>
      </c>
      <c r="E84" s="2">
        <v>294</v>
      </c>
      <c r="F84" s="2">
        <v>300</v>
      </c>
      <c r="G84" s="2">
        <v>300</v>
      </c>
      <c r="H84" s="2">
        <v>300</v>
      </c>
      <c r="I84" s="2">
        <v>300</v>
      </c>
      <c r="J84" s="2">
        <v>300</v>
      </c>
    </row>
    <row r="85" spans="1:10" x14ac:dyDescent="0.25">
      <c r="A85" s="8" t="s">
        <v>449</v>
      </c>
      <c r="C85" s="2"/>
      <c r="D85" s="2">
        <v>300</v>
      </c>
      <c r="I85" s="209"/>
      <c r="J85" s="213"/>
    </row>
    <row r="86" spans="1:10" x14ac:dyDescent="0.25">
      <c r="A86" s="8" t="s">
        <v>417</v>
      </c>
      <c r="C86" s="2" t="s">
        <v>417</v>
      </c>
      <c r="D86" s="2" t="s">
        <v>417</v>
      </c>
      <c r="E86" s="2"/>
      <c r="F86" s="2"/>
      <c r="G86" s="2"/>
      <c r="H86" s="2"/>
      <c r="I86" s="2"/>
      <c r="J86" s="2"/>
    </row>
    <row r="87" spans="1:10" ht="13.8" x14ac:dyDescent="0.3">
      <c r="A87" s="11" t="s">
        <v>1158</v>
      </c>
      <c r="C87" s="2"/>
      <c r="E87" s="2">
        <v>318</v>
      </c>
      <c r="F87" s="2">
        <v>425</v>
      </c>
      <c r="G87" s="2">
        <v>530</v>
      </c>
      <c r="H87" s="2">
        <v>530</v>
      </c>
      <c r="I87" s="2">
        <v>530</v>
      </c>
      <c r="J87" s="2">
        <v>530</v>
      </c>
    </row>
    <row r="88" spans="1:10" x14ac:dyDescent="0.25">
      <c r="A88" s="8" t="s">
        <v>809</v>
      </c>
      <c r="C88" s="2"/>
      <c r="D88" s="2">
        <v>530</v>
      </c>
      <c r="E88" s="2"/>
      <c r="F88" s="2"/>
      <c r="G88" s="2"/>
      <c r="H88" s="2"/>
      <c r="I88" s="2"/>
      <c r="J88" s="2"/>
    </row>
    <row r="89" spans="1:10" x14ac:dyDescent="0.25">
      <c r="A89" s="8" t="s">
        <v>1220</v>
      </c>
      <c r="C89" s="2"/>
      <c r="E89" s="2"/>
      <c r="F89" s="2"/>
      <c r="G89" s="2"/>
      <c r="H89" s="2"/>
      <c r="I89" s="2"/>
      <c r="J89" s="2"/>
    </row>
    <row r="90" spans="1:10" x14ac:dyDescent="0.25">
      <c r="C90" s="2"/>
      <c r="E90" s="2"/>
      <c r="F90" s="2"/>
      <c r="G90" s="2"/>
      <c r="H90" s="2"/>
      <c r="I90" s="2"/>
      <c r="J90" s="2"/>
    </row>
    <row r="91" spans="1:10" ht="13.8" x14ac:dyDescent="0.3">
      <c r="A91" s="11" t="s">
        <v>654</v>
      </c>
      <c r="C91" s="2"/>
      <c r="E91" s="2">
        <v>27514</v>
      </c>
      <c r="F91" s="2">
        <v>28667</v>
      </c>
      <c r="G91" s="2">
        <v>30915</v>
      </c>
      <c r="H91" s="2">
        <v>30915</v>
      </c>
      <c r="I91" s="2">
        <v>30915</v>
      </c>
      <c r="J91" s="2">
        <v>30915</v>
      </c>
    </row>
    <row r="92" spans="1:10" x14ac:dyDescent="0.25">
      <c r="A92" s="8" t="s">
        <v>508</v>
      </c>
      <c r="C92" s="2"/>
      <c r="D92" s="2">
        <v>9500</v>
      </c>
      <c r="E92" s="2"/>
      <c r="F92" s="2"/>
      <c r="G92" s="2"/>
      <c r="H92" s="2"/>
      <c r="I92" s="2"/>
      <c r="J92" s="2"/>
    </row>
    <row r="93" spans="1:10" x14ac:dyDescent="0.25">
      <c r="A93" s="8" t="s">
        <v>55</v>
      </c>
      <c r="C93" s="2"/>
      <c r="D93" s="2">
        <v>180</v>
      </c>
      <c r="E93" s="2"/>
      <c r="F93" s="2"/>
      <c r="G93" s="2"/>
      <c r="H93" s="2"/>
      <c r="I93" s="2"/>
      <c r="J93" s="2"/>
    </row>
    <row r="94" spans="1:10" x14ac:dyDescent="0.25">
      <c r="A94" s="8" t="s">
        <v>318</v>
      </c>
      <c r="C94" s="2"/>
      <c r="D94" s="2">
        <v>5450</v>
      </c>
      <c r="E94" s="2"/>
      <c r="F94" s="2"/>
      <c r="G94" s="2"/>
      <c r="H94" s="2"/>
      <c r="I94" s="2"/>
      <c r="J94" s="2"/>
    </row>
    <row r="95" spans="1:10" x14ac:dyDescent="0.25">
      <c r="A95" s="8" t="s">
        <v>319</v>
      </c>
      <c r="C95" s="2"/>
      <c r="D95" s="2">
        <v>2275</v>
      </c>
      <c r="E95" s="2"/>
      <c r="F95" s="2"/>
      <c r="G95" s="2"/>
      <c r="H95" s="2"/>
      <c r="I95" s="2"/>
      <c r="J95" s="2"/>
    </row>
    <row r="96" spans="1:10" x14ac:dyDescent="0.25">
      <c r="A96" s="8" t="s">
        <v>320</v>
      </c>
      <c r="C96" s="2"/>
      <c r="D96" s="2">
        <v>1300</v>
      </c>
      <c r="E96" s="2"/>
      <c r="F96" s="2"/>
      <c r="G96" s="2"/>
      <c r="H96" s="2"/>
      <c r="I96" s="2"/>
      <c r="J96" s="2"/>
    </row>
    <row r="97" spans="1:10" x14ac:dyDescent="0.25">
      <c r="A97" s="8" t="s">
        <v>321</v>
      </c>
      <c r="C97" s="2"/>
      <c r="D97" s="2">
        <v>900</v>
      </c>
      <c r="E97" s="2"/>
      <c r="F97" s="2"/>
      <c r="G97" s="2"/>
      <c r="H97" s="2"/>
      <c r="I97" s="2"/>
      <c r="J97" s="2"/>
    </row>
    <row r="98" spans="1:10" x14ac:dyDescent="0.25">
      <c r="A98" s="8" t="s">
        <v>1760</v>
      </c>
      <c r="C98" s="2"/>
      <c r="D98" s="2">
        <v>180</v>
      </c>
      <c r="E98" s="2"/>
      <c r="F98" s="2"/>
      <c r="G98" s="2"/>
      <c r="H98" s="2"/>
      <c r="I98" s="2"/>
      <c r="J98" s="2"/>
    </row>
    <row r="99" spans="1:10" x14ac:dyDescent="0.25">
      <c r="A99" s="8" t="s">
        <v>280</v>
      </c>
      <c r="C99" s="2"/>
      <c r="E99" s="2"/>
      <c r="F99" s="2"/>
      <c r="G99" s="2"/>
      <c r="H99" s="2"/>
      <c r="I99" s="2"/>
      <c r="J99" s="2"/>
    </row>
    <row r="100" spans="1:10" x14ac:dyDescent="0.25">
      <c r="A100" s="8" t="s">
        <v>875</v>
      </c>
      <c r="C100" s="2"/>
      <c r="E100" s="2"/>
      <c r="F100" s="2"/>
      <c r="G100" s="2"/>
      <c r="H100" s="2"/>
      <c r="I100" s="2"/>
      <c r="J100" s="2"/>
    </row>
    <row r="101" spans="1:10" ht="15" x14ac:dyDescent="0.4">
      <c r="A101" s="8" t="s">
        <v>1979</v>
      </c>
      <c r="C101" s="12"/>
      <c r="D101" s="2">
        <v>10950</v>
      </c>
      <c r="E101" s="2"/>
      <c r="F101" s="2"/>
      <c r="G101" s="2"/>
      <c r="H101" s="2"/>
      <c r="I101" s="2"/>
      <c r="J101" s="2"/>
    </row>
    <row r="102" spans="1:10" ht="15" x14ac:dyDescent="0.4">
      <c r="A102" s="8" t="s">
        <v>1689</v>
      </c>
      <c r="C102" s="12"/>
      <c r="D102" s="19">
        <v>180</v>
      </c>
      <c r="E102" s="2"/>
      <c r="F102" s="2"/>
      <c r="G102" s="2"/>
      <c r="H102" s="2"/>
      <c r="I102" s="2"/>
      <c r="J102" s="2"/>
    </row>
    <row r="103" spans="1:10" x14ac:dyDescent="0.25">
      <c r="A103" s="8" t="s">
        <v>1279</v>
      </c>
      <c r="C103" s="2"/>
      <c r="D103" s="2">
        <f>SUM(D92:D102)</f>
        <v>30915</v>
      </c>
      <c r="E103" s="2"/>
      <c r="F103" s="2"/>
      <c r="G103" s="2"/>
      <c r="H103" s="2"/>
      <c r="I103" s="2"/>
      <c r="J103" s="2"/>
    </row>
    <row r="104" spans="1:10" x14ac:dyDescent="0.25">
      <c r="C104" s="2"/>
      <c r="E104" s="2"/>
      <c r="F104" s="2"/>
      <c r="G104" s="2"/>
      <c r="H104" s="2"/>
      <c r="I104" s="2"/>
      <c r="J104" s="2"/>
    </row>
    <row r="105" spans="1:10" ht="13.8" x14ac:dyDescent="0.3">
      <c r="A105" s="11" t="s">
        <v>405</v>
      </c>
      <c r="C105" s="2"/>
      <c r="E105" s="2">
        <v>3489</v>
      </c>
      <c r="F105" s="2">
        <v>1850</v>
      </c>
      <c r="G105" s="2">
        <v>7000</v>
      </c>
      <c r="H105" s="2">
        <v>7000</v>
      </c>
      <c r="I105" s="2">
        <v>7000</v>
      </c>
      <c r="J105" s="2">
        <v>7000</v>
      </c>
    </row>
    <row r="106" spans="1:10" x14ac:dyDescent="0.25">
      <c r="A106" s="8" t="s">
        <v>284</v>
      </c>
      <c r="B106" s="2"/>
      <c r="C106" s="13"/>
      <c r="D106" s="2">
        <v>1500</v>
      </c>
      <c r="E106" s="2"/>
      <c r="F106" s="2"/>
      <c r="G106" s="2"/>
      <c r="H106" s="2"/>
      <c r="I106" s="2"/>
      <c r="J106" s="2"/>
    </row>
    <row r="107" spans="1:10" ht="15" x14ac:dyDescent="0.4">
      <c r="A107" s="8" t="s">
        <v>2265</v>
      </c>
      <c r="B107" s="2"/>
      <c r="C107" s="13"/>
      <c r="D107" s="12">
        <v>5500</v>
      </c>
      <c r="E107" s="2"/>
      <c r="F107" s="2"/>
      <c r="G107" s="2"/>
      <c r="H107" s="2"/>
      <c r="I107" s="2"/>
      <c r="J107" s="2"/>
    </row>
    <row r="108" spans="1:10" x14ac:dyDescent="0.25">
      <c r="B108" s="2"/>
      <c r="C108" s="13"/>
      <c r="D108" s="2">
        <f>SUM(D106:D107)</f>
        <v>7000</v>
      </c>
      <c r="E108" s="2"/>
      <c r="F108" s="2"/>
      <c r="G108" s="2"/>
      <c r="H108" s="2"/>
      <c r="I108" s="2"/>
      <c r="J108" s="2"/>
    </row>
    <row r="109" spans="1:10" x14ac:dyDescent="0.25">
      <c r="B109" s="2"/>
      <c r="C109" s="13"/>
      <c r="E109" s="2"/>
      <c r="F109" s="2"/>
      <c r="G109" s="2"/>
      <c r="H109" s="2"/>
      <c r="I109" s="2"/>
      <c r="J109" s="2"/>
    </row>
    <row r="110" spans="1:10" ht="13.8" x14ac:dyDescent="0.3">
      <c r="A110" s="11" t="s">
        <v>285</v>
      </c>
      <c r="E110" s="2">
        <v>13062</v>
      </c>
      <c r="F110" s="2">
        <v>9163</v>
      </c>
      <c r="G110" s="2">
        <v>11287</v>
      </c>
      <c r="H110" s="2">
        <v>11287</v>
      </c>
      <c r="I110" s="2">
        <v>11287</v>
      </c>
      <c r="J110" s="2">
        <v>11287</v>
      </c>
    </row>
    <row r="111" spans="1:10" x14ac:dyDescent="0.25">
      <c r="A111" s="8" t="s">
        <v>1691</v>
      </c>
      <c r="D111" s="2">
        <v>3500</v>
      </c>
      <c r="E111" s="2"/>
      <c r="F111" s="2"/>
      <c r="G111" s="2"/>
      <c r="H111" s="2"/>
      <c r="I111" s="2"/>
      <c r="J111" s="2"/>
    </row>
    <row r="112" spans="1:10" x14ac:dyDescent="0.25">
      <c r="A112" s="8" t="s">
        <v>1335</v>
      </c>
      <c r="D112" s="2">
        <v>1600</v>
      </c>
      <c r="E112" s="2"/>
      <c r="F112" s="2"/>
      <c r="G112" s="2"/>
      <c r="H112" s="2"/>
      <c r="I112" s="2"/>
      <c r="J112" s="2"/>
    </row>
    <row r="113" spans="1:10" x14ac:dyDescent="0.25">
      <c r="A113" s="8" t="s">
        <v>1978</v>
      </c>
      <c r="D113" s="2">
        <v>2900</v>
      </c>
      <c r="E113" s="2"/>
      <c r="F113" s="2"/>
      <c r="G113" s="2"/>
      <c r="H113" s="2"/>
      <c r="I113" s="2"/>
      <c r="J113" s="2"/>
    </row>
    <row r="114" spans="1:10" x14ac:dyDescent="0.25">
      <c r="A114" s="8" t="s">
        <v>1336</v>
      </c>
      <c r="D114" s="2">
        <v>1550</v>
      </c>
      <c r="E114" s="2"/>
      <c r="F114" s="19"/>
      <c r="G114" s="19"/>
      <c r="H114" s="19"/>
      <c r="I114" s="19"/>
      <c r="J114" s="19"/>
    </row>
    <row r="115" spans="1:10" x14ac:dyDescent="0.25">
      <c r="A115" s="8" t="s">
        <v>1337</v>
      </c>
      <c r="B115" s="30"/>
      <c r="D115" s="19">
        <v>1737</v>
      </c>
      <c r="E115" s="2"/>
      <c r="F115" s="2"/>
      <c r="G115" s="2"/>
      <c r="H115" s="2"/>
      <c r="I115" s="2"/>
      <c r="J115" s="2"/>
    </row>
    <row r="116" spans="1:10" x14ac:dyDescent="0.25">
      <c r="D116" s="2">
        <f>SUM(D111:D115)</f>
        <v>11287</v>
      </c>
      <c r="E116" s="2"/>
      <c r="F116" s="2"/>
      <c r="G116" s="2"/>
      <c r="H116" s="2"/>
      <c r="I116" s="2"/>
      <c r="J116" s="2"/>
    </row>
    <row r="117" spans="1:10" x14ac:dyDescent="0.25">
      <c r="A117" s="8" t="s">
        <v>417</v>
      </c>
      <c r="D117" s="2" t="s">
        <v>417</v>
      </c>
      <c r="E117" s="2"/>
      <c r="F117" s="2"/>
      <c r="G117" s="2"/>
      <c r="H117" s="2"/>
      <c r="I117" s="2"/>
      <c r="J117" s="2"/>
    </row>
    <row r="118" spans="1:10" ht="13.8" x14ac:dyDescent="0.3">
      <c r="A118" s="11" t="s">
        <v>13</v>
      </c>
      <c r="E118" s="2">
        <v>452</v>
      </c>
      <c r="F118" s="2">
        <v>452</v>
      </c>
      <c r="G118" s="2">
        <v>484</v>
      </c>
      <c r="H118" s="2">
        <v>484</v>
      </c>
      <c r="I118" s="2">
        <v>484</v>
      </c>
      <c r="J118" s="2">
        <v>484</v>
      </c>
    </row>
    <row r="119" spans="1:10" x14ac:dyDescent="0.25">
      <c r="A119" s="8" t="s">
        <v>653</v>
      </c>
      <c r="D119" s="2">
        <v>484</v>
      </c>
      <c r="E119" s="2"/>
      <c r="F119" s="2"/>
      <c r="G119" s="2"/>
      <c r="H119" s="2"/>
      <c r="I119" s="2"/>
      <c r="J119" s="2"/>
    </row>
    <row r="120" spans="1:10" x14ac:dyDescent="0.25">
      <c r="E120" s="2"/>
      <c r="F120" s="2"/>
      <c r="G120" s="2"/>
      <c r="H120" s="2"/>
      <c r="I120" s="2"/>
      <c r="J120" s="2"/>
    </row>
    <row r="121" spans="1:10" ht="13.8" x14ac:dyDescent="0.3">
      <c r="A121" s="11" t="s">
        <v>14</v>
      </c>
      <c r="E121" s="2">
        <v>375</v>
      </c>
      <c r="F121" s="2">
        <v>360</v>
      </c>
      <c r="G121" s="2">
        <v>375</v>
      </c>
      <c r="H121" s="2">
        <v>375</v>
      </c>
      <c r="I121" s="2">
        <v>375</v>
      </c>
      <c r="J121" s="2">
        <v>375</v>
      </c>
    </row>
    <row r="122" spans="1:10" x14ac:dyDescent="0.25">
      <c r="A122" s="8" t="s">
        <v>524</v>
      </c>
      <c r="B122" s="2">
        <v>150</v>
      </c>
      <c r="C122" s="13">
        <v>2.5</v>
      </c>
      <c r="D122" s="2">
        <f>ROUND(B122*C122,0)</f>
        <v>375</v>
      </c>
      <c r="F122" s="2"/>
      <c r="G122" s="2"/>
      <c r="H122" s="2"/>
      <c r="I122" s="2"/>
      <c r="J122" s="2"/>
    </row>
    <row r="123" spans="1:10" x14ac:dyDescent="0.25">
      <c r="E123" s="2"/>
      <c r="F123" s="2"/>
      <c r="G123" s="2"/>
      <c r="H123" s="2"/>
      <c r="I123" s="2"/>
      <c r="J123" s="2"/>
    </row>
    <row r="124" spans="1:10" ht="13.8" x14ac:dyDescent="0.3">
      <c r="A124" s="11" t="s">
        <v>966</v>
      </c>
      <c r="D124" s="9" t="s">
        <v>417</v>
      </c>
      <c r="E124" s="2">
        <v>4221</v>
      </c>
      <c r="F124" s="2">
        <v>3520</v>
      </c>
      <c r="G124" s="2">
        <v>3420</v>
      </c>
      <c r="H124" s="2">
        <v>3420</v>
      </c>
      <c r="I124" s="2">
        <v>3420</v>
      </c>
      <c r="J124" s="2">
        <v>3420</v>
      </c>
    </row>
    <row r="125" spans="1:10" x14ac:dyDescent="0.25">
      <c r="A125" s="8" t="s">
        <v>977</v>
      </c>
      <c r="C125" s="2"/>
      <c r="D125" s="2">
        <v>2400</v>
      </c>
      <c r="E125" s="2"/>
      <c r="F125" s="19"/>
      <c r="G125" s="19"/>
      <c r="H125" s="19"/>
      <c r="I125" s="19"/>
      <c r="J125" s="19"/>
    </row>
    <row r="126" spans="1:10" ht="15" x14ac:dyDescent="0.4">
      <c r="A126" s="8" t="s">
        <v>322</v>
      </c>
      <c r="C126" s="12"/>
      <c r="D126" s="19">
        <v>1019.76</v>
      </c>
      <c r="E126" s="2"/>
      <c r="F126" s="2"/>
      <c r="G126" s="2"/>
      <c r="H126" s="2"/>
      <c r="I126" s="2"/>
      <c r="J126" s="2"/>
    </row>
    <row r="127" spans="1:10" x14ac:dyDescent="0.25">
      <c r="A127" s="8" t="s">
        <v>1279</v>
      </c>
      <c r="C127" s="2"/>
      <c r="D127" s="2">
        <f>SUM(D125:D126)</f>
        <v>3419.76</v>
      </c>
      <c r="E127" s="2"/>
      <c r="F127" s="2"/>
      <c r="G127" s="2"/>
      <c r="H127" s="2"/>
      <c r="I127" s="2"/>
      <c r="J127" s="2"/>
    </row>
    <row r="128" spans="1:10" x14ac:dyDescent="0.25">
      <c r="C128" s="2"/>
      <c r="E128" s="2"/>
      <c r="F128" s="2"/>
      <c r="G128" s="2"/>
      <c r="H128" s="2"/>
      <c r="I128" s="2"/>
      <c r="J128" s="2"/>
    </row>
    <row r="129" spans="1:10" ht="13.8" x14ac:dyDescent="0.3">
      <c r="A129" s="11" t="s">
        <v>1211</v>
      </c>
      <c r="C129" s="2"/>
      <c r="E129" s="2">
        <v>330</v>
      </c>
      <c r="F129" s="2">
        <v>330</v>
      </c>
      <c r="G129" s="2">
        <v>370</v>
      </c>
      <c r="H129" s="2">
        <v>370</v>
      </c>
      <c r="I129" s="2">
        <v>370</v>
      </c>
      <c r="J129" s="2">
        <v>370</v>
      </c>
    </row>
    <row r="130" spans="1:10" x14ac:dyDescent="0.25">
      <c r="A130" s="8" t="s">
        <v>1761</v>
      </c>
      <c r="B130" s="2" t="s">
        <v>417</v>
      </c>
      <c r="C130" s="2"/>
      <c r="D130" s="2">
        <v>270</v>
      </c>
      <c r="E130" s="2"/>
      <c r="F130" s="2"/>
      <c r="G130" s="2"/>
      <c r="H130" s="2"/>
      <c r="I130" s="2"/>
      <c r="J130" s="2"/>
    </row>
    <row r="131" spans="1:10" x14ac:dyDescent="0.25">
      <c r="A131" s="8" t="s">
        <v>45</v>
      </c>
      <c r="B131" s="2"/>
      <c r="C131" s="2"/>
      <c r="D131" s="2">
        <v>100</v>
      </c>
      <c r="E131" s="2"/>
      <c r="F131" s="2"/>
      <c r="G131" s="2"/>
      <c r="H131" s="2"/>
      <c r="I131" s="2"/>
      <c r="J131" s="2"/>
    </row>
    <row r="132" spans="1:10" ht="15" x14ac:dyDescent="0.4">
      <c r="A132" s="8" t="s">
        <v>334</v>
      </c>
      <c r="B132" s="2"/>
      <c r="C132" s="12"/>
      <c r="D132" s="12">
        <v>0</v>
      </c>
      <c r="E132" s="2"/>
      <c r="F132" s="2"/>
      <c r="G132" s="2"/>
      <c r="H132" s="2"/>
      <c r="I132" s="2"/>
      <c r="J132" s="2"/>
    </row>
    <row r="133" spans="1:10" x14ac:dyDescent="0.25">
      <c r="A133" s="8" t="s">
        <v>1279</v>
      </c>
      <c r="B133" s="2"/>
      <c r="C133" s="2"/>
      <c r="D133" s="2">
        <f>SUM(D130:D132)</f>
        <v>370</v>
      </c>
      <c r="E133" s="2"/>
      <c r="F133" s="2"/>
      <c r="G133" s="2"/>
      <c r="H133" s="2"/>
      <c r="I133" s="2"/>
      <c r="J133" s="2"/>
    </row>
    <row r="134" spans="1:10" x14ac:dyDescent="0.25">
      <c r="A134" s="8" t="s">
        <v>417</v>
      </c>
      <c r="C134" s="2"/>
      <c r="D134" s="2" t="s">
        <v>417</v>
      </c>
      <c r="E134" s="2"/>
      <c r="F134" s="2"/>
      <c r="G134" s="2"/>
      <c r="H134" s="2"/>
      <c r="I134" s="2"/>
      <c r="J134" s="2"/>
    </row>
    <row r="135" spans="1:10" ht="13.8" x14ac:dyDescent="0.3">
      <c r="A135" s="18" t="s">
        <v>1418</v>
      </c>
      <c r="C135" s="2"/>
      <c r="E135" s="2">
        <v>5589</v>
      </c>
      <c r="F135" s="2">
        <v>5293</v>
      </c>
      <c r="G135" s="2">
        <v>6578</v>
      </c>
      <c r="H135" s="2">
        <v>6184</v>
      </c>
      <c r="I135" s="2">
        <v>6184</v>
      </c>
      <c r="J135" s="2">
        <v>6184</v>
      </c>
    </row>
    <row r="136" spans="1:10" hidden="1" x14ac:dyDescent="0.25">
      <c r="A136" s="8" t="s">
        <v>1085</v>
      </c>
      <c r="C136" s="2"/>
      <c r="D136" s="2">
        <v>5293</v>
      </c>
      <c r="E136" s="2"/>
      <c r="F136" s="2"/>
      <c r="G136" s="2"/>
      <c r="H136" s="2"/>
      <c r="I136" s="2"/>
      <c r="J136" s="2"/>
    </row>
    <row r="137" spans="1:10" x14ac:dyDescent="0.25">
      <c r="C137" s="2"/>
      <c r="E137" s="2"/>
      <c r="F137" s="2"/>
      <c r="G137" s="2"/>
      <c r="H137" s="2"/>
      <c r="I137" s="2"/>
      <c r="J137" s="2"/>
    </row>
    <row r="138" spans="1:10" ht="13.8" x14ac:dyDescent="0.3">
      <c r="A138" s="11" t="s">
        <v>166</v>
      </c>
      <c r="C138" s="2"/>
      <c r="E138" s="2">
        <v>589</v>
      </c>
      <c r="F138" s="2">
        <v>550</v>
      </c>
      <c r="G138" s="2">
        <v>550</v>
      </c>
      <c r="H138" s="2">
        <v>550</v>
      </c>
      <c r="I138" s="2">
        <v>550</v>
      </c>
      <c r="J138" s="2">
        <v>550</v>
      </c>
    </row>
    <row r="139" spans="1:10" x14ac:dyDescent="0.25">
      <c r="A139" s="8" t="s">
        <v>639</v>
      </c>
      <c r="C139" s="2"/>
      <c r="D139" s="2">
        <v>550</v>
      </c>
      <c r="E139" s="2"/>
      <c r="F139" s="2"/>
      <c r="G139" s="2"/>
      <c r="H139" s="2"/>
      <c r="I139" s="2"/>
      <c r="J139" s="2"/>
    </row>
    <row r="140" spans="1:10" x14ac:dyDescent="0.25">
      <c r="A140" s="8" t="s">
        <v>417</v>
      </c>
      <c r="C140" s="2"/>
      <c r="D140" s="2" t="s">
        <v>417</v>
      </c>
      <c r="E140" s="2"/>
      <c r="F140" s="2"/>
      <c r="G140" s="2"/>
      <c r="H140" s="2"/>
      <c r="I140" s="2"/>
      <c r="J140" s="2"/>
    </row>
    <row r="141" spans="1:10" ht="13.8" x14ac:dyDescent="0.3">
      <c r="A141" s="11" t="s">
        <v>1101</v>
      </c>
      <c r="C141" s="9"/>
      <c r="D141" s="9" t="s">
        <v>417</v>
      </c>
      <c r="E141" s="2">
        <v>24744</v>
      </c>
      <c r="F141" s="2">
        <v>21230</v>
      </c>
      <c r="G141" s="2">
        <v>21230</v>
      </c>
      <c r="H141" s="2">
        <v>21230</v>
      </c>
      <c r="I141" s="2">
        <v>21230</v>
      </c>
      <c r="J141" s="2">
        <v>21230</v>
      </c>
    </row>
    <row r="142" spans="1:10" x14ac:dyDescent="0.25">
      <c r="A142" s="68" t="s">
        <v>632</v>
      </c>
      <c r="B142" s="7"/>
      <c r="C142" s="2"/>
      <c r="D142" s="2">
        <v>10490</v>
      </c>
      <c r="E142" s="2"/>
      <c r="F142" s="2"/>
      <c r="G142" s="2"/>
      <c r="H142" s="2"/>
      <c r="I142" s="2"/>
      <c r="J142" s="2"/>
    </row>
    <row r="143" spans="1:10" x14ac:dyDescent="0.25">
      <c r="A143" s="68" t="s">
        <v>108</v>
      </c>
      <c r="B143" s="7"/>
      <c r="C143" s="2"/>
      <c r="D143" s="2">
        <v>2240</v>
      </c>
      <c r="E143" s="2"/>
      <c r="F143" s="2"/>
      <c r="G143" s="2"/>
      <c r="H143" s="2"/>
      <c r="I143" s="2"/>
      <c r="J143" s="2"/>
    </row>
    <row r="144" spans="1:10" x14ac:dyDescent="0.25">
      <c r="A144" s="7" t="s">
        <v>517</v>
      </c>
      <c r="B144" s="7"/>
      <c r="C144" s="2"/>
      <c r="D144" s="2">
        <v>3000</v>
      </c>
      <c r="E144" s="2"/>
      <c r="F144" s="2"/>
      <c r="G144" s="2"/>
      <c r="H144" s="2"/>
      <c r="I144" s="2"/>
      <c r="J144" s="2"/>
    </row>
    <row r="145" spans="1:10" x14ac:dyDescent="0.25">
      <c r="A145" s="8" t="s">
        <v>1943</v>
      </c>
      <c r="C145" s="2" t="s">
        <v>417</v>
      </c>
      <c r="D145" s="2">
        <v>3500</v>
      </c>
      <c r="E145" s="2"/>
      <c r="F145" s="2"/>
      <c r="G145" s="2"/>
      <c r="H145" s="2"/>
      <c r="I145" s="2"/>
      <c r="J145" s="2"/>
    </row>
    <row r="146" spans="1:10" ht="17.399999999999999" x14ac:dyDescent="0.45">
      <c r="A146" s="8" t="s">
        <v>690</v>
      </c>
      <c r="C146" s="29"/>
      <c r="D146" s="12">
        <v>2000</v>
      </c>
      <c r="E146" s="2"/>
      <c r="F146" s="2"/>
      <c r="G146" s="2"/>
      <c r="H146" s="2"/>
      <c r="I146" s="2"/>
      <c r="J146" s="2"/>
    </row>
    <row r="147" spans="1:10" x14ac:dyDescent="0.25">
      <c r="A147" s="8" t="s">
        <v>1279</v>
      </c>
      <c r="C147" s="2"/>
      <c r="D147" s="2">
        <f>SUM(D142:D146)</f>
        <v>21230</v>
      </c>
      <c r="E147" s="2"/>
      <c r="F147" s="2"/>
      <c r="G147" s="2"/>
      <c r="H147" s="2"/>
      <c r="I147" s="2"/>
      <c r="J147" s="2"/>
    </row>
    <row r="148" spans="1:10" x14ac:dyDescent="0.25">
      <c r="C148" s="2"/>
      <c r="E148" s="2"/>
      <c r="F148" s="2"/>
      <c r="G148" s="2"/>
      <c r="H148" s="2"/>
      <c r="I148" s="2"/>
      <c r="J148" s="2"/>
    </row>
    <row r="149" spans="1:10" ht="13.8" x14ac:dyDescent="0.3">
      <c r="A149" s="11" t="s">
        <v>953</v>
      </c>
      <c r="C149" s="2"/>
      <c r="E149" s="2">
        <v>15</v>
      </c>
      <c r="F149" s="2">
        <v>2000</v>
      </c>
      <c r="G149" s="2">
        <v>2000</v>
      </c>
      <c r="H149" s="2">
        <v>2000</v>
      </c>
      <c r="I149" s="2">
        <v>2000</v>
      </c>
      <c r="J149" s="2">
        <v>2000</v>
      </c>
    </row>
    <row r="150" spans="1:10" x14ac:dyDescent="0.25">
      <c r="A150" s="8" t="s">
        <v>77</v>
      </c>
      <c r="C150" s="2"/>
      <c r="D150" s="2">
        <v>2000</v>
      </c>
      <c r="E150" s="2"/>
      <c r="I150" s="209"/>
      <c r="J150" s="213"/>
    </row>
    <row r="151" spans="1:10" x14ac:dyDescent="0.25">
      <c r="C151" s="2"/>
      <c r="E151" s="2"/>
      <c r="F151" s="2"/>
      <c r="G151" s="2"/>
      <c r="H151" s="2"/>
      <c r="I151" s="2"/>
      <c r="J151" s="2"/>
    </row>
    <row r="152" spans="1:10" x14ac:dyDescent="0.25">
      <c r="C152" s="2"/>
      <c r="E152" s="2"/>
      <c r="F152" s="2"/>
      <c r="G152" s="2"/>
      <c r="H152" s="2"/>
      <c r="I152" s="2"/>
      <c r="J152" s="2"/>
    </row>
    <row r="153" spans="1:10" ht="13.8" x14ac:dyDescent="0.3">
      <c r="A153" s="11" t="s">
        <v>1510</v>
      </c>
      <c r="C153" s="2"/>
      <c r="E153" s="2">
        <v>447</v>
      </c>
      <c r="F153" s="2">
        <v>400</v>
      </c>
      <c r="G153" s="2">
        <v>775</v>
      </c>
      <c r="H153" s="2">
        <v>775</v>
      </c>
      <c r="I153" s="2">
        <v>775</v>
      </c>
      <c r="J153" s="2">
        <v>775</v>
      </c>
    </row>
    <row r="154" spans="1:10" x14ac:dyDescent="0.25">
      <c r="A154" s="8" t="s">
        <v>634</v>
      </c>
      <c r="C154" s="2"/>
      <c r="D154" s="2">
        <v>575</v>
      </c>
      <c r="E154" s="2"/>
      <c r="F154" s="2"/>
      <c r="G154" s="2"/>
      <c r="H154" s="2"/>
      <c r="I154" s="2"/>
      <c r="J154" s="2"/>
    </row>
    <row r="155" spans="1:10" ht="15" x14ac:dyDescent="0.4">
      <c r="A155" s="8" t="s">
        <v>78</v>
      </c>
      <c r="C155" s="12"/>
      <c r="D155" s="12">
        <v>200</v>
      </c>
      <c r="E155" s="2"/>
      <c r="F155" s="2"/>
      <c r="G155" s="2"/>
      <c r="H155" s="2"/>
      <c r="I155" s="2"/>
      <c r="J155" s="2"/>
    </row>
    <row r="156" spans="1:10" x14ac:dyDescent="0.25">
      <c r="A156" s="8" t="s">
        <v>1279</v>
      </c>
      <c r="C156" s="2"/>
      <c r="D156" s="2">
        <f>SUM(D154:D155)</f>
        <v>775</v>
      </c>
      <c r="E156" s="2"/>
      <c r="I156" s="209"/>
      <c r="J156" s="213"/>
    </row>
    <row r="157" spans="1:10" x14ac:dyDescent="0.25">
      <c r="C157" s="2"/>
      <c r="E157" s="2"/>
      <c r="F157" s="2"/>
      <c r="G157" s="2"/>
      <c r="H157" s="2"/>
      <c r="I157" s="2"/>
      <c r="J157" s="2"/>
    </row>
    <row r="158" spans="1:10" ht="13.8" x14ac:dyDescent="0.3">
      <c r="A158" s="11" t="s">
        <v>1326</v>
      </c>
      <c r="C158" s="2"/>
      <c r="E158" s="2">
        <v>400</v>
      </c>
      <c r="F158" s="2">
        <v>400</v>
      </c>
      <c r="G158" s="2">
        <v>400</v>
      </c>
      <c r="H158" s="2">
        <v>400</v>
      </c>
      <c r="I158" s="2">
        <v>400</v>
      </c>
      <c r="J158" s="2">
        <v>400</v>
      </c>
    </row>
    <row r="159" spans="1:10" x14ac:dyDescent="0.25">
      <c r="A159" s="8" t="s">
        <v>1165</v>
      </c>
      <c r="C159" s="2"/>
      <c r="D159" s="2">
        <v>400</v>
      </c>
      <c r="E159" s="2"/>
      <c r="F159" s="2"/>
      <c r="G159" s="2"/>
      <c r="H159" s="2"/>
      <c r="I159" s="2"/>
      <c r="J159" s="2"/>
    </row>
    <row r="160" spans="1:10" x14ac:dyDescent="0.25">
      <c r="C160" s="2"/>
      <c r="E160" s="2"/>
      <c r="F160" s="2"/>
      <c r="G160" s="2"/>
      <c r="H160" s="2"/>
      <c r="I160" s="2"/>
      <c r="J160" s="2"/>
    </row>
    <row r="161" spans="1:10" ht="13.8" x14ac:dyDescent="0.3">
      <c r="A161" s="11" t="s">
        <v>1166</v>
      </c>
      <c r="C161" s="2"/>
      <c r="E161" s="2">
        <v>200</v>
      </c>
      <c r="F161" s="2">
        <v>500</v>
      </c>
      <c r="G161" s="2">
        <v>500</v>
      </c>
      <c r="H161" s="2">
        <v>500</v>
      </c>
      <c r="I161" s="2">
        <v>500</v>
      </c>
      <c r="J161" s="2">
        <v>500</v>
      </c>
    </row>
    <row r="162" spans="1:10" x14ac:dyDescent="0.25">
      <c r="A162" s="8" t="s">
        <v>1402</v>
      </c>
      <c r="C162" s="2"/>
      <c r="D162" s="2">
        <v>500</v>
      </c>
      <c r="E162" s="2"/>
      <c r="F162" s="2"/>
      <c r="G162" s="2"/>
      <c r="H162" s="2"/>
      <c r="I162" s="2"/>
      <c r="J162" s="2"/>
    </row>
    <row r="163" spans="1:10" x14ac:dyDescent="0.25">
      <c r="A163" s="8" t="s">
        <v>417</v>
      </c>
      <c r="C163" s="2"/>
      <c r="D163" s="2" t="s">
        <v>417</v>
      </c>
      <c r="E163" s="2"/>
      <c r="F163" s="2"/>
      <c r="G163" s="2"/>
      <c r="H163" s="2"/>
      <c r="I163" s="2"/>
      <c r="J163" s="2"/>
    </row>
    <row r="164" spans="1:10" ht="13.8" x14ac:dyDescent="0.3">
      <c r="A164" s="11" t="s">
        <v>1403</v>
      </c>
      <c r="C164" s="2"/>
      <c r="E164" s="2">
        <v>10433</v>
      </c>
      <c r="F164" s="2">
        <v>200</v>
      </c>
      <c r="G164" s="2">
        <v>200</v>
      </c>
      <c r="H164" s="2">
        <v>200</v>
      </c>
      <c r="I164" s="2">
        <v>200</v>
      </c>
      <c r="J164" s="2">
        <v>200</v>
      </c>
    </row>
    <row r="165" spans="1:10" x14ac:dyDescent="0.25">
      <c r="A165" s="8" t="s">
        <v>633</v>
      </c>
      <c r="C165" s="2"/>
      <c r="D165" s="2">
        <v>200</v>
      </c>
      <c r="E165" s="2"/>
      <c r="F165" s="2"/>
      <c r="G165" s="2"/>
      <c r="H165" s="2"/>
      <c r="I165" s="2"/>
      <c r="J165" s="2"/>
    </row>
    <row r="166" spans="1:10" x14ac:dyDescent="0.25">
      <c r="D166" s="9" t="s">
        <v>417</v>
      </c>
      <c r="E166" s="2"/>
      <c r="F166" s="2"/>
      <c r="G166" s="2"/>
      <c r="H166" s="2"/>
      <c r="I166" s="2"/>
      <c r="J166" s="2"/>
    </row>
    <row r="167" spans="1:10" ht="13.8" x14ac:dyDescent="0.3">
      <c r="A167" s="11" t="s">
        <v>789</v>
      </c>
      <c r="D167" s="8"/>
      <c r="E167" s="2">
        <v>72000</v>
      </c>
      <c r="F167" s="17">
        <v>72000</v>
      </c>
      <c r="G167" s="17">
        <v>64052</v>
      </c>
      <c r="H167" s="17">
        <v>64052</v>
      </c>
      <c r="I167" s="17">
        <v>64052</v>
      </c>
      <c r="J167" s="17">
        <v>64052</v>
      </c>
    </row>
    <row r="168" spans="1:10" ht="13.8" x14ac:dyDescent="0.3">
      <c r="A168" s="11"/>
      <c r="B168" s="20" t="s">
        <v>1684</v>
      </c>
      <c r="C168" s="20" t="s">
        <v>1874</v>
      </c>
      <c r="D168" s="20" t="s">
        <v>1944</v>
      </c>
      <c r="E168" s="2"/>
      <c r="F168" s="17"/>
      <c r="G168" s="17"/>
      <c r="H168" s="17"/>
      <c r="I168" s="17"/>
      <c r="J168" s="17"/>
    </row>
    <row r="169" spans="1:10" x14ac:dyDescent="0.25">
      <c r="A169" s="21" t="s">
        <v>1484</v>
      </c>
      <c r="B169" s="2">
        <v>26011</v>
      </c>
      <c r="C169" s="2">
        <v>28006</v>
      </c>
      <c r="D169" s="2">
        <v>25617.18</v>
      </c>
      <c r="E169" s="2"/>
      <c r="I169" s="209"/>
      <c r="J169" s="213"/>
    </row>
    <row r="170" spans="1:10" x14ac:dyDescent="0.25">
      <c r="A170" s="8" t="s">
        <v>790</v>
      </c>
      <c r="B170" s="2">
        <v>115157</v>
      </c>
      <c r="C170" s="2">
        <v>115157</v>
      </c>
      <c r="D170" s="2">
        <v>161814</v>
      </c>
      <c r="E170" s="2"/>
      <c r="I170" s="209"/>
      <c r="J170" s="213"/>
    </row>
    <row r="171" spans="1:10" x14ac:dyDescent="0.25">
      <c r="A171" s="8" t="s">
        <v>793</v>
      </c>
      <c r="B171" s="2">
        <v>92901</v>
      </c>
      <c r="C171" s="2">
        <v>92019</v>
      </c>
      <c r="D171" s="2">
        <v>89000</v>
      </c>
      <c r="E171" s="2"/>
      <c r="I171" s="209"/>
      <c r="J171" s="213"/>
    </row>
    <row r="172" spans="1:10" x14ac:dyDescent="0.25">
      <c r="A172" s="8" t="s">
        <v>794</v>
      </c>
      <c r="B172" s="17">
        <v>50528</v>
      </c>
      <c r="C172" s="17">
        <v>50640</v>
      </c>
      <c r="D172" s="17">
        <v>50176</v>
      </c>
      <c r="E172" s="2"/>
      <c r="F172" s="17"/>
      <c r="G172" s="17"/>
      <c r="H172" s="17"/>
      <c r="I172" s="17"/>
      <c r="J172" s="17"/>
    </row>
    <row r="173" spans="1:10" x14ac:dyDescent="0.25">
      <c r="A173" s="8" t="s">
        <v>1071</v>
      </c>
      <c r="B173" s="17">
        <v>78860</v>
      </c>
      <c r="C173" s="17">
        <v>73120</v>
      </c>
      <c r="D173" s="17">
        <v>86111</v>
      </c>
      <c r="E173" s="2"/>
      <c r="F173" s="17"/>
      <c r="G173" s="17"/>
      <c r="H173" s="17"/>
      <c r="I173" s="17"/>
      <c r="J173" s="17"/>
    </row>
    <row r="174" spans="1:10" x14ac:dyDescent="0.25">
      <c r="A174" s="8" t="s">
        <v>795</v>
      </c>
      <c r="B174" s="17">
        <v>30258</v>
      </c>
      <c r="C174" s="17">
        <v>31771</v>
      </c>
      <c r="D174" s="17">
        <v>32700</v>
      </c>
      <c r="E174" s="2"/>
      <c r="F174" s="17"/>
      <c r="G174" s="17"/>
      <c r="H174" s="17"/>
      <c r="I174" s="17"/>
      <c r="J174" s="17"/>
    </row>
    <row r="175" spans="1:10" x14ac:dyDescent="0.25">
      <c r="A175" s="8" t="s">
        <v>1207</v>
      </c>
      <c r="B175" s="17">
        <v>29920</v>
      </c>
      <c r="C175" s="17">
        <v>24150</v>
      </c>
      <c r="D175" s="17">
        <v>24696</v>
      </c>
      <c r="E175" s="2"/>
      <c r="F175" s="17"/>
      <c r="G175" s="17"/>
      <c r="H175" s="17"/>
      <c r="I175" s="17"/>
      <c r="J175" s="17"/>
    </row>
    <row r="176" spans="1:10" ht="15" x14ac:dyDescent="0.4">
      <c r="A176" s="8" t="s">
        <v>934</v>
      </c>
      <c r="B176" s="83">
        <v>10950</v>
      </c>
      <c r="C176" s="83">
        <v>12385</v>
      </c>
      <c r="D176" s="83">
        <v>15141</v>
      </c>
      <c r="E176" s="2"/>
      <c r="F176" s="83"/>
      <c r="G176" s="83"/>
      <c r="H176" s="83"/>
      <c r="I176" s="210"/>
      <c r="J176" s="214"/>
    </row>
    <row r="177" spans="1:10" x14ac:dyDescent="0.25">
      <c r="A177" s="8" t="s">
        <v>796</v>
      </c>
      <c r="B177" s="17">
        <f>SUM(B169:B176)</f>
        <v>434585</v>
      </c>
      <c r="C177" s="17">
        <f>SUM(C169:C176)</f>
        <v>427248</v>
      </c>
      <c r="D177" s="17">
        <f>SUM(D169:D176)</f>
        <v>485255.18</v>
      </c>
      <c r="E177" s="2"/>
      <c r="F177" s="17"/>
      <c r="G177" s="17"/>
      <c r="H177" s="17"/>
      <c r="I177" s="17"/>
      <c r="J177" s="17"/>
    </row>
    <row r="178" spans="1:10" ht="15" x14ac:dyDescent="0.4">
      <c r="A178" s="8" t="s">
        <v>797</v>
      </c>
      <c r="B178" s="83">
        <v>-361608</v>
      </c>
      <c r="C178" s="83">
        <f>-425236+72000</f>
        <v>-353236</v>
      </c>
      <c r="D178" s="83">
        <v>-421203</v>
      </c>
      <c r="E178" s="2"/>
      <c r="F178" s="83"/>
      <c r="G178" s="83"/>
      <c r="H178" s="83"/>
      <c r="I178" s="210"/>
      <c r="J178" s="214"/>
    </row>
    <row r="179" spans="1:10" x14ac:dyDescent="0.25">
      <c r="A179" s="8" t="s">
        <v>798</v>
      </c>
      <c r="B179" s="17">
        <f>B177+B178</f>
        <v>72977</v>
      </c>
      <c r="C179" s="17">
        <f>C177+C178</f>
        <v>74012</v>
      </c>
      <c r="D179" s="17">
        <f>D177+D178</f>
        <v>64052.179999999993</v>
      </c>
      <c r="E179" s="2"/>
      <c r="F179" s="17"/>
      <c r="G179" s="17"/>
      <c r="H179" s="17"/>
      <c r="I179" s="17"/>
      <c r="J179" s="17"/>
    </row>
    <row r="180" spans="1:10" ht="15" x14ac:dyDescent="0.4">
      <c r="A180" s="8" t="s">
        <v>1342</v>
      </c>
      <c r="B180" s="83">
        <v>0</v>
      </c>
      <c r="C180" s="83">
        <v>-2012</v>
      </c>
      <c r="D180" s="83">
        <v>0</v>
      </c>
      <c r="E180" s="2"/>
      <c r="F180" s="83"/>
      <c r="G180" s="83"/>
      <c r="H180" s="83"/>
      <c r="I180" s="210"/>
      <c r="J180" s="214"/>
    </row>
    <row r="181" spans="1:10" x14ac:dyDescent="0.25">
      <c r="A181" s="8" t="s">
        <v>1343</v>
      </c>
      <c r="B181" s="17">
        <f>+B179+B180</f>
        <v>72977</v>
      </c>
      <c r="C181" s="17">
        <f>+C179+C180</f>
        <v>72000</v>
      </c>
      <c r="D181" s="17">
        <f>+D179+D180</f>
        <v>64052.179999999993</v>
      </c>
      <c r="E181" s="2"/>
      <c r="F181" s="17"/>
      <c r="G181" s="17"/>
      <c r="H181" s="17"/>
      <c r="I181" s="17"/>
      <c r="J181" s="17"/>
    </row>
    <row r="182" spans="1:10" x14ac:dyDescent="0.25">
      <c r="A182" s="8" t="s">
        <v>716</v>
      </c>
      <c r="B182" s="17"/>
      <c r="C182" s="17"/>
      <c r="D182" s="17"/>
      <c r="E182" s="2"/>
      <c r="F182" s="17"/>
      <c r="G182" s="17"/>
      <c r="H182" s="17"/>
      <c r="I182" s="17"/>
      <c r="J182" s="17"/>
    </row>
    <row r="183" spans="1:10" x14ac:dyDescent="0.25">
      <c r="A183" s="8" t="s">
        <v>1499</v>
      </c>
      <c r="B183" s="31">
        <v>-977</v>
      </c>
      <c r="C183" s="31">
        <v>0</v>
      </c>
      <c r="D183" s="31">
        <v>0</v>
      </c>
      <c r="E183" s="2"/>
      <c r="F183" s="31"/>
      <c r="G183" s="31"/>
      <c r="H183" s="31"/>
      <c r="I183" s="31"/>
      <c r="J183" s="31"/>
    </row>
    <row r="184" spans="1:10" x14ac:dyDescent="0.25">
      <c r="B184" s="17">
        <f>SUM(B181:B183)</f>
        <v>72000</v>
      </c>
      <c r="C184" s="17">
        <f>SUM(C181:C183)</f>
        <v>72000</v>
      </c>
      <c r="D184" s="17">
        <f>SUM(D181:D183)</f>
        <v>64052.179999999993</v>
      </c>
      <c r="E184" s="2"/>
      <c r="F184" s="17"/>
      <c r="G184" s="17"/>
      <c r="H184" s="17"/>
      <c r="I184" s="17"/>
      <c r="J184" s="17"/>
    </row>
    <row r="185" spans="1:10" x14ac:dyDescent="0.25">
      <c r="B185" s="2"/>
      <c r="C185" s="2"/>
      <c r="D185" s="31"/>
      <c r="E185" s="2"/>
      <c r="F185" s="17"/>
      <c r="G185" s="17"/>
      <c r="H185" s="17"/>
      <c r="I185" s="17"/>
      <c r="J185" s="17"/>
    </row>
    <row r="186" spans="1:10" ht="13.8" x14ac:dyDescent="0.3">
      <c r="A186" s="11" t="s">
        <v>822</v>
      </c>
      <c r="B186" s="32" t="s">
        <v>417</v>
      </c>
      <c r="C186" s="32" t="s">
        <v>417</v>
      </c>
      <c r="D186" s="17"/>
      <c r="E186" s="2">
        <v>36718</v>
      </c>
      <c r="F186" s="2">
        <v>40000</v>
      </c>
      <c r="G186" s="2">
        <v>40000</v>
      </c>
      <c r="H186" s="2">
        <v>40000</v>
      </c>
      <c r="I186" s="2">
        <v>40000</v>
      </c>
      <c r="J186" s="2">
        <v>40000</v>
      </c>
    </row>
    <row r="187" spans="1:10" x14ac:dyDescent="0.25">
      <c r="A187" s="8" t="s">
        <v>1762</v>
      </c>
      <c r="B187" s="2" t="s">
        <v>417</v>
      </c>
      <c r="C187" s="2" t="s">
        <v>417</v>
      </c>
      <c r="D187" s="2">
        <v>40000</v>
      </c>
      <c r="E187" s="2"/>
      <c r="F187" s="2"/>
      <c r="G187" s="2"/>
      <c r="H187" s="2"/>
      <c r="I187" s="2"/>
      <c r="J187" s="2"/>
    </row>
    <row r="188" spans="1:10" x14ac:dyDescent="0.25">
      <c r="E188" s="2"/>
      <c r="F188" s="2"/>
      <c r="G188" s="2"/>
      <c r="H188" s="2"/>
      <c r="I188" s="2"/>
      <c r="J188" s="2"/>
    </row>
    <row r="189" spans="1:10" ht="13.8" x14ac:dyDescent="0.3">
      <c r="A189" s="11" t="s">
        <v>425</v>
      </c>
      <c r="E189" s="2">
        <v>1000</v>
      </c>
      <c r="F189" s="2">
        <v>1000</v>
      </c>
      <c r="G189" s="2">
        <v>1000</v>
      </c>
      <c r="H189" s="2">
        <v>1000</v>
      </c>
      <c r="I189" s="2">
        <v>1000</v>
      </c>
      <c r="J189" s="2">
        <v>1000</v>
      </c>
    </row>
    <row r="190" spans="1:10" x14ac:dyDescent="0.25">
      <c r="A190" s="8" t="s">
        <v>426</v>
      </c>
      <c r="D190" s="2">
        <v>1000</v>
      </c>
      <c r="E190" s="2"/>
      <c r="F190" s="2"/>
      <c r="G190" s="2"/>
      <c r="H190" s="2"/>
      <c r="I190" s="2"/>
      <c r="J190" s="2"/>
    </row>
    <row r="191" spans="1:10" x14ac:dyDescent="0.25">
      <c r="E191" s="2"/>
      <c r="F191" s="2"/>
      <c r="G191" s="2"/>
      <c r="H191" s="2"/>
      <c r="I191" s="2"/>
      <c r="J191" s="2"/>
    </row>
    <row r="192" spans="1:10" ht="13.8" x14ac:dyDescent="0.3">
      <c r="A192" s="11" t="s">
        <v>680</v>
      </c>
      <c r="D192" s="9" t="s">
        <v>417</v>
      </c>
      <c r="E192" s="2">
        <v>11224</v>
      </c>
      <c r="F192" s="2">
        <v>12750</v>
      </c>
      <c r="G192" s="2">
        <v>12700</v>
      </c>
      <c r="H192" s="2">
        <v>12700</v>
      </c>
      <c r="I192" s="2">
        <v>12700</v>
      </c>
      <c r="J192" s="2">
        <v>12700</v>
      </c>
    </row>
    <row r="193" spans="1:10" x14ac:dyDescent="0.25">
      <c r="A193" s="8" t="s">
        <v>681</v>
      </c>
      <c r="C193" s="2"/>
      <c r="D193" s="2">
        <v>1000</v>
      </c>
      <c r="E193" s="2"/>
      <c r="I193" s="209"/>
      <c r="J193" s="213"/>
    </row>
    <row r="194" spans="1:10" x14ac:dyDescent="0.25">
      <c r="A194" s="8" t="s">
        <v>79</v>
      </c>
      <c r="C194" s="2"/>
      <c r="D194" s="2">
        <v>0</v>
      </c>
      <c r="E194" s="2"/>
      <c r="I194" s="209"/>
      <c r="J194" s="213"/>
    </row>
    <row r="195" spans="1:10" x14ac:dyDescent="0.25">
      <c r="A195" s="8" t="s">
        <v>80</v>
      </c>
      <c r="C195" s="2"/>
      <c r="D195" s="2">
        <v>2000</v>
      </c>
      <c r="E195" s="2"/>
      <c r="I195" s="209"/>
      <c r="J195" s="213"/>
    </row>
    <row r="196" spans="1:10" x14ac:dyDescent="0.25">
      <c r="A196" s="8" t="s">
        <v>81</v>
      </c>
      <c r="C196" s="2"/>
      <c r="D196" s="2">
        <v>1000</v>
      </c>
      <c r="E196" s="2"/>
      <c r="F196" s="2"/>
      <c r="G196" s="2"/>
      <c r="H196" s="2"/>
      <c r="I196" s="2"/>
      <c r="J196" s="2"/>
    </row>
    <row r="197" spans="1:10" x14ac:dyDescent="0.25">
      <c r="A197" s="8" t="s">
        <v>82</v>
      </c>
      <c r="C197" s="2"/>
      <c r="D197" s="2">
        <v>1000</v>
      </c>
      <c r="E197" s="2"/>
      <c r="F197" s="2"/>
      <c r="G197" s="2"/>
      <c r="H197" s="2"/>
      <c r="I197" s="2"/>
      <c r="J197" s="2"/>
    </row>
    <row r="198" spans="1:10" x14ac:dyDescent="0.25">
      <c r="A198" s="8" t="s">
        <v>1763</v>
      </c>
      <c r="C198" s="2"/>
      <c r="D198" s="2">
        <v>1000</v>
      </c>
      <c r="E198" s="2"/>
      <c r="F198" s="2"/>
      <c r="G198" s="2"/>
      <c r="H198" s="2"/>
      <c r="I198" s="2"/>
      <c r="J198" s="2"/>
    </row>
    <row r="199" spans="1:10" x14ac:dyDescent="0.25">
      <c r="A199" s="8" t="s">
        <v>83</v>
      </c>
      <c r="C199" s="2"/>
      <c r="D199" s="2">
        <v>0</v>
      </c>
      <c r="E199" s="2"/>
      <c r="F199" s="2"/>
      <c r="G199" s="2"/>
      <c r="H199" s="2"/>
      <c r="I199" s="2"/>
      <c r="J199" s="2"/>
    </row>
    <row r="200" spans="1:10" x14ac:dyDescent="0.25">
      <c r="A200" s="8" t="s">
        <v>84</v>
      </c>
      <c r="C200" s="2"/>
      <c r="D200" s="2">
        <v>1700</v>
      </c>
      <c r="E200" s="2"/>
      <c r="F200" s="2"/>
      <c r="G200" s="2"/>
      <c r="H200" s="2"/>
      <c r="I200" s="2"/>
      <c r="J200" s="2"/>
    </row>
    <row r="201" spans="1:10" ht="15" x14ac:dyDescent="0.4">
      <c r="A201" s="8" t="s">
        <v>1139</v>
      </c>
      <c r="C201" s="2"/>
      <c r="D201" s="12">
        <v>5000</v>
      </c>
      <c r="E201" s="2"/>
      <c r="F201" s="2"/>
      <c r="G201" s="2"/>
      <c r="H201" s="2"/>
      <c r="I201" s="2"/>
      <c r="J201" s="2"/>
    </row>
    <row r="202" spans="1:10" x14ac:dyDescent="0.25">
      <c r="A202" s="7" t="s">
        <v>1383</v>
      </c>
      <c r="C202" s="2"/>
      <c r="D202" s="2">
        <f>SUM(D193:D201)</f>
        <v>12700</v>
      </c>
      <c r="E202" s="2"/>
      <c r="F202" s="2"/>
      <c r="G202" s="2"/>
      <c r="H202" s="2"/>
      <c r="I202" s="2"/>
      <c r="J202" s="2"/>
    </row>
    <row r="203" spans="1:10" x14ac:dyDescent="0.25">
      <c r="A203" s="7"/>
      <c r="C203" s="2"/>
      <c r="E203" s="2"/>
      <c r="F203" s="2"/>
      <c r="G203" s="2"/>
      <c r="H203" s="2"/>
      <c r="I203" s="2"/>
      <c r="J203" s="2"/>
    </row>
    <row r="204" spans="1:10" ht="13.8" x14ac:dyDescent="0.3">
      <c r="A204" s="11" t="s">
        <v>491</v>
      </c>
      <c r="E204" s="2">
        <v>8220.5</v>
      </c>
      <c r="F204" s="2">
        <v>7500</v>
      </c>
      <c r="G204" s="2">
        <v>7500</v>
      </c>
      <c r="H204" s="2">
        <v>7500</v>
      </c>
      <c r="I204" s="2">
        <v>7500</v>
      </c>
      <c r="J204" s="2">
        <v>7500</v>
      </c>
    </row>
    <row r="205" spans="1:10" x14ac:dyDescent="0.25">
      <c r="A205" s="8" t="s">
        <v>492</v>
      </c>
      <c r="B205" s="8" t="s">
        <v>417</v>
      </c>
      <c r="C205" s="2"/>
      <c r="D205" s="2">
        <v>7500</v>
      </c>
      <c r="E205" s="2"/>
      <c r="F205" s="2"/>
      <c r="G205" s="2"/>
      <c r="H205" s="2"/>
      <c r="I205" s="2"/>
      <c r="J205" s="2"/>
    </row>
    <row r="206" spans="1:10" x14ac:dyDescent="0.25">
      <c r="D206" s="9" t="s">
        <v>417</v>
      </c>
      <c r="E206" s="2"/>
      <c r="F206" s="2"/>
      <c r="G206" s="2"/>
      <c r="H206" s="2"/>
      <c r="I206" s="2"/>
      <c r="J206" s="2"/>
    </row>
    <row r="207" spans="1:10" ht="13.8" x14ac:dyDescent="0.3">
      <c r="A207" s="11" t="s">
        <v>493</v>
      </c>
      <c r="D207" s="8"/>
      <c r="E207" s="2">
        <v>20202</v>
      </c>
      <c r="F207" s="2">
        <v>19901</v>
      </c>
      <c r="G207" s="2">
        <v>22074</v>
      </c>
      <c r="H207" s="2">
        <v>22074</v>
      </c>
      <c r="I207" s="2">
        <v>22074</v>
      </c>
      <c r="J207" s="2">
        <v>22074</v>
      </c>
    </row>
    <row r="208" spans="1:10" ht="15" x14ac:dyDescent="0.4">
      <c r="A208" s="11"/>
      <c r="B208" s="10" t="s">
        <v>1684</v>
      </c>
      <c r="C208" s="10" t="s">
        <v>1874</v>
      </c>
      <c r="D208" s="10" t="s">
        <v>1944</v>
      </c>
      <c r="E208" s="2"/>
      <c r="F208" s="2"/>
      <c r="G208" s="2"/>
      <c r="H208" s="2"/>
      <c r="I208" s="2"/>
      <c r="J208" s="2"/>
    </row>
    <row r="209" spans="1:10" ht="14.4" x14ac:dyDescent="0.3">
      <c r="A209" s="8" t="s">
        <v>1078</v>
      </c>
      <c r="B209" s="159">
        <v>100</v>
      </c>
      <c r="C209" s="159">
        <v>100</v>
      </c>
      <c r="D209" s="159">
        <v>168</v>
      </c>
      <c r="E209" s="2"/>
      <c r="I209" s="209"/>
      <c r="J209" s="213"/>
    </row>
    <row r="210" spans="1:10" x14ac:dyDescent="0.25">
      <c r="A210" s="8" t="s">
        <v>1436</v>
      </c>
      <c r="B210" s="150">
        <v>100</v>
      </c>
      <c r="C210" s="150">
        <v>100</v>
      </c>
      <c r="D210" s="150">
        <v>100</v>
      </c>
      <c r="E210" s="2"/>
      <c r="I210" s="209"/>
      <c r="J210" s="213"/>
    </row>
    <row r="211" spans="1:10" x14ac:dyDescent="0.25">
      <c r="A211" s="8" t="s">
        <v>1204</v>
      </c>
      <c r="B211" s="150">
        <v>400</v>
      </c>
      <c r="C211" s="150">
        <v>400</v>
      </c>
      <c r="D211" s="150">
        <v>400</v>
      </c>
      <c r="E211" s="2"/>
      <c r="I211" s="209"/>
      <c r="J211" s="213"/>
    </row>
    <row r="212" spans="1:10" x14ac:dyDescent="0.25">
      <c r="A212" s="8" t="s">
        <v>296</v>
      </c>
      <c r="B212" s="150">
        <v>200</v>
      </c>
      <c r="C212" s="150">
        <v>235</v>
      </c>
      <c r="D212" s="150">
        <v>650</v>
      </c>
      <c r="E212" s="2"/>
      <c r="F212" s="2"/>
      <c r="G212" s="2"/>
      <c r="H212" s="2"/>
      <c r="I212" s="2"/>
      <c r="J212" s="2"/>
    </row>
    <row r="213" spans="1:10" x14ac:dyDescent="0.25">
      <c r="A213" s="8" t="s">
        <v>1037</v>
      </c>
      <c r="B213" s="150">
        <v>5050</v>
      </c>
      <c r="C213" s="150">
        <v>5400</v>
      </c>
      <c r="D213" s="150">
        <v>6916</v>
      </c>
      <c r="E213" s="2"/>
      <c r="F213" s="2"/>
      <c r="G213" s="2"/>
      <c r="H213" s="2"/>
      <c r="I213" s="2"/>
      <c r="J213" s="2"/>
    </row>
    <row r="214" spans="1:10" x14ac:dyDescent="0.25">
      <c r="A214" s="8" t="s">
        <v>1401</v>
      </c>
      <c r="B214" s="150">
        <v>7600</v>
      </c>
      <c r="C214" s="150">
        <v>7600</v>
      </c>
      <c r="D214" s="150">
        <v>7500</v>
      </c>
      <c r="E214" s="2"/>
      <c r="F214" s="2"/>
      <c r="G214" s="2"/>
      <c r="H214" s="2"/>
      <c r="I214" s="2"/>
      <c r="J214" s="2"/>
    </row>
    <row r="215" spans="1:10" x14ac:dyDescent="0.25">
      <c r="A215" s="8" t="s">
        <v>1038</v>
      </c>
      <c r="B215" s="150">
        <v>100</v>
      </c>
      <c r="C215" s="150">
        <v>100</v>
      </c>
      <c r="D215" s="150">
        <v>500</v>
      </c>
      <c r="E215" s="2"/>
      <c r="F215" s="2"/>
      <c r="G215" s="2"/>
      <c r="H215" s="2"/>
      <c r="I215" s="2"/>
      <c r="J215" s="2"/>
    </row>
    <row r="216" spans="1:10" x14ac:dyDescent="0.25">
      <c r="A216" s="8" t="s">
        <v>1666</v>
      </c>
      <c r="B216" s="150">
        <v>2400</v>
      </c>
      <c r="C216" s="150">
        <v>2400</v>
      </c>
      <c r="D216" s="150">
        <v>2500</v>
      </c>
      <c r="E216" s="2"/>
      <c r="F216" s="2"/>
      <c r="G216" s="2"/>
      <c r="H216" s="2"/>
      <c r="I216" s="2"/>
      <c r="J216" s="2"/>
    </row>
    <row r="217" spans="1:10" x14ac:dyDescent="0.25">
      <c r="A217" s="8" t="s">
        <v>1137</v>
      </c>
      <c r="B217" s="150">
        <v>1500</v>
      </c>
      <c r="C217" s="150">
        <v>2400</v>
      </c>
      <c r="D217" s="150">
        <v>2500</v>
      </c>
      <c r="E217" s="2"/>
      <c r="F217" s="2"/>
      <c r="G217" s="2"/>
      <c r="H217" s="2"/>
      <c r="I217" s="2"/>
      <c r="J217" s="2"/>
    </row>
    <row r="218" spans="1:10" x14ac:dyDescent="0.25">
      <c r="A218" s="8" t="s">
        <v>1048</v>
      </c>
      <c r="B218" s="150">
        <v>600</v>
      </c>
      <c r="C218" s="150">
        <v>600</v>
      </c>
      <c r="D218" s="150">
        <v>700</v>
      </c>
      <c r="E218" s="2"/>
      <c r="F218" s="2"/>
      <c r="G218" s="2"/>
      <c r="H218" s="2"/>
      <c r="I218" s="2"/>
      <c r="J218" s="2"/>
    </row>
    <row r="219" spans="1:10" x14ac:dyDescent="0.25">
      <c r="A219" s="8" t="s">
        <v>1081</v>
      </c>
      <c r="B219" s="150">
        <v>350</v>
      </c>
      <c r="C219" s="150">
        <v>350</v>
      </c>
      <c r="D219" s="150">
        <v>500</v>
      </c>
      <c r="E219" s="2"/>
      <c r="F219" s="2"/>
      <c r="G219" s="2"/>
      <c r="H219" s="2"/>
      <c r="I219" s="2"/>
      <c r="J219" s="2"/>
    </row>
    <row r="220" spans="1:10" x14ac:dyDescent="0.25">
      <c r="A220" s="8" t="s">
        <v>879</v>
      </c>
      <c r="B220" s="150">
        <v>700</v>
      </c>
      <c r="C220" s="150">
        <v>800</v>
      </c>
      <c r="D220" s="150">
        <v>800</v>
      </c>
      <c r="E220" s="2"/>
      <c r="F220" s="2"/>
      <c r="G220" s="2"/>
      <c r="H220" s="2"/>
      <c r="I220" s="2"/>
      <c r="J220" s="2"/>
    </row>
    <row r="221" spans="1:10" x14ac:dyDescent="0.25">
      <c r="A221" s="8" t="s">
        <v>1667</v>
      </c>
      <c r="B221" s="150">
        <v>1100</v>
      </c>
      <c r="C221" s="150">
        <v>1800</v>
      </c>
      <c r="D221" s="150"/>
      <c r="E221" s="2"/>
      <c r="F221" s="2"/>
      <c r="G221" s="2"/>
      <c r="H221" s="2"/>
      <c r="I221" s="2"/>
      <c r="J221" s="2"/>
    </row>
    <row r="222" spans="1:10" ht="14.4" x14ac:dyDescent="0.3">
      <c r="A222" s="8" t="s">
        <v>336</v>
      </c>
      <c r="B222" s="159"/>
      <c r="C222" s="159">
        <v>25</v>
      </c>
      <c r="D222" s="159">
        <v>150</v>
      </c>
      <c r="E222" s="2"/>
      <c r="F222" s="2"/>
      <c r="G222" s="2"/>
      <c r="H222" s="2"/>
      <c r="I222" s="2"/>
      <c r="J222" s="2"/>
    </row>
    <row r="223" spans="1:10" ht="14.4" x14ac:dyDescent="0.3">
      <c r="A223" s="8" t="s">
        <v>1668</v>
      </c>
      <c r="B223" s="159"/>
      <c r="C223" s="159">
        <v>140</v>
      </c>
      <c r="D223" s="159">
        <v>140</v>
      </c>
      <c r="E223" s="2"/>
      <c r="F223" s="2"/>
      <c r="G223" s="2"/>
      <c r="H223" s="2"/>
      <c r="I223" s="2"/>
      <c r="J223" s="2"/>
    </row>
    <row r="224" spans="1:10" ht="14.4" x14ac:dyDescent="0.3">
      <c r="A224" s="8" t="s">
        <v>1039</v>
      </c>
      <c r="B224" s="159"/>
      <c r="C224" s="159">
        <v>5500</v>
      </c>
      <c r="D224" s="159">
        <v>3500</v>
      </c>
      <c r="E224" s="2"/>
      <c r="F224" s="2"/>
      <c r="G224" s="2"/>
      <c r="H224" s="2"/>
      <c r="I224" s="2"/>
      <c r="J224" s="2"/>
    </row>
    <row r="225" spans="1:10" x14ac:dyDescent="0.25">
      <c r="A225" s="8" t="s">
        <v>1040</v>
      </c>
      <c r="B225" s="150">
        <v>200</v>
      </c>
      <c r="C225" s="150">
        <v>250</v>
      </c>
      <c r="D225" s="150">
        <v>250</v>
      </c>
      <c r="E225" s="2"/>
      <c r="F225" s="2"/>
      <c r="G225" s="2"/>
      <c r="H225" s="2"/>
      <c r="I225" s="2"/>
      <c r="J225" s="2"/>
    </row>
    <row r="226" spans="1:10" x14ac:dyDescent="0.25">
      <c r="A226" s="8" t="s">
        <v>1205</v>
      </c>
      <c r="B226" s="150">
        <v>100</v>
      </c>
      <c r="C226" s="150">
        <v>100</v>
      </c>
      <c r="D226" s="150">
        <v>300</v>
      </c>
      <c r="E226" s="2"/>
      <c r="F226" s="2"/>
      <c r="G226" s="2"/>
      <c r="H226" s="2"/>
      <c r="I226" s="2"/>
      <c r="J226" s="2"/>
    </row>
    <row r="227" spans="1:10" x14ac:dyDescent="0.25">
      <c r="A227" s="8" t="s">
        <v>1669</v>
      </c>
      <c r="B227" s="150">
        <v>1600</v>
      </c>
      <c r="C227" s="150">
        <v>1600</v>
      </c>
      <c r="D227" s="150">
        <v>1700</v>
      </c>
      <c r="E227" s="2"/>
      <c r="F227" s="2"/>
      <c r="G227" s="2"/>
      <c r="H227" s="2"/>
      <c r="I227" s="2"/>
      <c r="J227" s="2"/>
    </row>
    <row r="228" spans="1:10" x14ac:dyDescent="0.25">
      <c r="A228" s="8" t="s">
        <v>1670</v>
      </c>
      <c r="B228" s="150">
        <v>800</v>
      </c>
      <c r="C228" s="150">
        <v>800</v>
      </c>
      <c r="D228" s="150">
        <v>800</v>
      </c>
      <c r="E228" s="2"/>
      <c r="F228" s="2"/>
      <c r="G228" s="2"/>
      <c r="H228" s="2"/>
      <c r="I228" s="2"/>
      <c r="J228" s="2"/>
    </row>
    <row r="229" spans="1:10" x14ac:dyDescent="0.25">
      <c r="A229" s="8" t="s">
        <v>1218</v>
      </c>
      <c r="B229" s="150">
        <v>1800</v>
      </c>
      <c r="C229" s="150">
        <v>11000</v>
      </c>
      <c r="D229" s="150">
        <v>7500</v>
      </c>
      <c r="E229" s="2"/>
      <c r="F229" s="2"/>
      <c r="G229" s="2"/>
      <c r="H229" s="2"/>
      <c r="I229" s="2"/>
      <c r="J229" s="2"/>
    </row>
    <row r="230" spans="1:10" ht="15" x14ac:dyDescent="0.25">
      <c r="A230" s="8" t="s">
        <v>970</v>
      </c>
      <c r="B230" s="152">
        <v>12000</v>
      </c>
      <c r="C230" s="152">
        <v>12000</v>
      </c>
      <c r="D230" s="152">
        <v>12000</v>
      </c>
      <c r="E230" s="2"/>
      <c r="F230" s="2"/>
      <c r="G230" s="2"/>
      <c r="H230" s="2"/>
      <c r="I230" s="2"/>
      <c r="J230" s="2"/>
    </row>
    <row r="231" spans="1:10" x14ac:dyDescent="0.25">
      <c r="A231" s="8" t="s">
        <v>796</v>
      </c>
      <c r="B231" s="150">
        <v>36700</v>
      </c>
      <c r="C231" s="150">
        <f>SUM(C209:C230)</f>
        <v>53700</v>
      </c>
      <c r="D231" s="150">
        <f>SUM(D209:D230)</f>
        <v>49574</v>
      </c>
      <c r="E231" s="2"/>
      <c r="F231" s="2"/>
      <c r="G231" s="2"/>
      <c r="H231" s="2"/>
      <c r="I231" s="2"/>
      <c r="J231" s="2"/>
    </row>
    <row r="232" spans="1:10" x14ac:dyDescent="0.25">
      <c r="A232" s="8" t="s">
        <v>717</v>
      </c>
      <c r="B232" s="149">
        <v>-24140</v>
      </c>
      <c r="C232" s="149">
        <v>-26798.82</v>
      </c>
      <c r="D232" s="149">
        <v>-27500</v>
      </c>
      <c r="E232" s="2"/>
      <c r="F232" s="2"/>
      <c r="G232" s="2"/>
      <c r="H232" s="2"/>
      <c r="I232" s="2"/>
      <c r="J232" s="2"/>
    </row>
    <row r="233" spans="1:10" ht="15" x14ac:dyDescent="0.4">
      <c r="A233" s="8" t="s">
        <v>1499</v>
      </c>
      <c r="B233" s="151">
        <v>0</v>
      </c>
      <c r="C233" s="151">
        <v>-7000</v>
      </c>
      <c r="D233" s="151">
        <v>0</v>
      </c>
      <c r="E233" s="2"/>
      <c r="F233" s="2"/>
      <c r="G233" s="2"/>
      <c r="H233" s="2"/>
      <c r="I233" s="2"/>
      <c r="J233" s="2"/>
    </row>
    <row r="234" spans="1:10" x14ac:dyDescent="0.25">
      <c r="A234" s="8" t="s">
        <v>777</v>
      </c>
      <c r="B234" s="149">
        <v>12560</v>
      </c>
      <c r="C234" s="149">
        <f>SUM(C231:C233)</f>
        <v>19901.18</v>
      </c>
      <c r="D234" s="149">
        <f>SUM(D231:D233)</f>
        <v>22074</v>
      </c>
      <c r="E234" s="2"/>
      <c r="F234" s="2"/>
      <c r="G234" s="2"/>
      <c r="H234" s="2"/>
      <c r="I234" s="2"/>
      <c r="J234" s="2"/>
    </row>
    <row r="235" spans="1:10" x14ac:dyDescent="0.25">
      <c r="B235" s="2"/>
      <c r="C235" s="2"/>
      <c r="D235" s="149"/>
      <c r="E235" s="2"/>
      <c r="F235" s="2"/>
      <c r="G235" s="2"/>
      <c r="H235" s="2"/>
      <c r="I235" s="2"/>
      <c r="J235" s="2"/>
    </row>
    <row r="236" spans="1:10" ht="13.8" x14ac:dyDescent="0.3">
      <c r="A236" s="11" t="s">
        <v>428</v>
      </c>
      <c r="B236" s="2"/>
      <c r="C236" s="2"/>
      <c r="E236" s="2">
        <v>3480</v>
      </c>
      <c r="F236" s="2">
        <v>3480</v>
      </c>
      <c r="G236" s="2">
        <v>3480</v>
      </c>
      <c r="H236" s="2">
        <v>3480</v>
      </c>
      <c r="I236" s="2">
        <v>3480</v>
      </c>
      <c r="J236" s="2">
        <v>3480</v>
      </c>
    </row>
    <row r="237" spans="1:10" x14ac:dyDescent="0.25">
      <c r="A237" s="8" t="s">
        <v>1887</v>
      </c>
      <c r="B237" s="9"/>
      <c r="C237" s="2"/>
      <c r="D237" s="2">
        <v>3480</v>
      </c>
      <c r="E237" s="2"/>
      <c r="F237" s="2"/>
      <c r="G237" s="2"/>
      <c r="H237" s="2"/>
      <c r="I237" s="2"/>
      <c r="J237" s="2"/>
    </row>
    <row r="238" spans="1:10" x14ac:dyDescent="0.25">
      <c r="B238" s="9"/>
      <c r="C238" s="2"/>
      <c r="E238" s="2"/>
      <c r="F238" s="2"/>
      <c r="G238" s="2"/>
      <c r="H238" s="2"/>
      <c r="I238" s="2"/>
      <c r="J238" s="2"/>
    </row>
    <row r="239" spans="1:10" x14ac:dyDescent="0.25">
      <c r="A239" s="78" t="s">
        <v>942</v>
      </c>
      <c r="B239" s="2"/>
      <c r="C239" s="2"/>
      <c r="E239" s="2">
        <v>97616</v>
      </c>
      <c r="F239" s="2">
        <v>3000</v>
      </c>
      <c r="G239" s="2">
        <v>17400</v>
      </c>
      <c r="H239" s="2">
        <v>10400</v>
      </c>
      <c r="I239" s="2">
        <v>10400</v>
      </c>
      <c r="J239" s="2">
        <v>10400</v>
      </c>
    </row>
    <row r="240" spans="1:10" x14ac:dyDescent="0.25">
      <c r="A240" s="25" t="s">
        <v>1764</v>
      </c>
      <c r="B240" s="2">
        <v>8500</v>
      </c>
      <c r="C240" s="2">
        <v>0</v>
      </c>
      <c r="D240" s="2">
        <v>0</v>
      </c>
      <c r="E240" s="2"/>
      <c r="F240" s="2"/>
      <c r="G240" s="2"/>
      <c r="H240" s="2"/>
      <c r="I240" s="2"/>
      <c r="J240" s="2"/>
    </row>
    <row r="241" spans="1:10" x14ac:dyDescent="0.25">
      <c r="A241" s="25" t="s">
        <v>1867</v>
      </c>
      <c r="B241" s="2">
        <v>25000</v>
      </c>
      <c r="C241" s="2">
        <v>0</v>
      </c>
      <c r="D241" s="2">
        <v>0</v>
      </c>
      <c r="E241" s="2"/>
      <c r="F241" s="2"/>
      <c r="G241" s="2"/>
      <c r="H241" s="2"/>
      <c r="I241" s="2"/>
      <c r="J241" s="2"/>
    </row>
    <row r="242" spans="1:10" x14ac:dyDescent="0.25">
      <c r="A242" s="25" t="s">
        <v>1989</v>
      </c>
      <c r="B242" s="2">
        <v>0</v>
      </c>
      <c r="C242" s="2">
        <v>0</v>
      </c>
      <c r="D242" s="2">
        <v>2400</v>
      </c>
      <c r="E242" s="2"/>
      <c r="F242" s="2"/>
      <c r="G242" s="2"/>
      <c r="H242" s="2"/>
      <c r="I242" s="2"/>
      <c r="J242" s="2"/>
    </row>
    <row r="243" spans="1:10" x14ac:dyDescent="0.25">
      <c r="A243" s="25" t="s">
        <v>1990</v>
      </c>
      <c r="B243" s="2">
        <v>0</v>
      </c>
      <c r="C243" s="2">
        <v>0</v>
      </c>
      <c r="D243" s="2">
        <v>8000</v>
      </c>
      <c r="E243" s="2"/>
      <c r="F243" s="2"/>
      <c r="G243" s="2"/>
      <c r="H243" s="2"/>
      <c r="I243" s="2"/>
      <c r="J243" s="2"/>
    </row>
    <row r="244" spans="1:10" ht="15" x14ac:dyDescent="0.4">
      <c r="A244" s="25" t="s">
        <v>1868</v>
      </c>
      <c r="B244" s="12">
        <v>6900</v>
      </c>
      <c r="C244" s="12">
        <v>3000</v>
      </c>
      <c r="D244" s="12">
        <v>0</v>
      </c>
      <c r="E244" s="2"/>
      <c r="F244" s="2"/>
      <c r="G244" s="2"/>
      <c r="H244" s="2"/>
      <c r="I244" s="2"/>
      <c r="J244" s="2"/>
    </row>
    <row r="245" spans="1:10" hidden="1" x14ac:dyDescent="0.25">
      <c r="A245" s="88"/>
      <c r="B245" s="2">
        <f>SUM(B240:B244)</f>
        <v>40400</v>
      </c>
      <c r="C245" s="2">
        <f>SUM(C240:C244)</f>
        <v>3000</v>
      </c>
      <c r="D245" s="2">
        <f>SUM(D240:D244)</f>
        <v>10400</v>
      </c>
      <c r="E245" s="2"/>
      <c r="F245" s="2"/>
      <c r="G245" s="2"/>
      <c r="H245" s="2"/>
      <c r="I245" s="2"/>
      <c r="J245" s="2"/>
    </row>
    <row r="246" spans="1:10" hidden="1" x14ac:dyDescent="0.25">
      <c r="A246" s="88"/>
      <c r="B246" s="2"/>
      <c r="C246" s="2"/>
      <c r="E246" s="2"/>
      <c r="F246" s="2"/>
      <c r="G246" s="2"/>
      <c r="H246" s="2"/>
      <c r="I246" s="2"/>
      <c r="J246" s="2"/>
    </row>
    <row r="247" spans="1:10" ht="13.8" hidden="1" x14ac:dyDescent="0.3">
      <c r="A247" s="11" t="s">
        <v>428</v>
      </c>
      <c r="B247" s="2"/>
      <c r="C247" s="2"/>
      <c r="E247" s="2"/>
      <c r="F247" s="2"/>
      <c r="G247" s="2"/>
      <c r="H247" s="2"/>
      <c r="I247" s="2"/>
      <c r="J247" s="2"/>
    </row>
    <row r="248" spans="1:10" hidden="1" x14ac:dyDescent="0.25">
      <c r="B248" s="2"/>
      <c r="C248" s="2"/>
      <c r="E248" s="2"/>
      <c r="F248" s="2"/>
      <c r="G248" s="2"/>
      <c r="H248" s="2"/>
      <c r="I248" s="2"/>
      <c r="J248" s="2"/>
    </row>
    <row r="249" spans="1:10" ht="15" hidden="1" x14ac:dyDescent="0.4">
      <c r="A249" s="11" t="s">
        <v>1465</v>
      </c>
      <c r="B249" s="9"/>
      <c r="C249" s="9" t="s">
        <v>417</v>
      </c>
      <c r="D249" s="9" t="s">
        <v>417</v>
      </c>
      <c r="E249" s="12"/>
      <c r="F249" s="12"/>
      <c r="G249" s="12"/>
      <c r="H249" s="12"/>
      <c r="I249" s="12"/>
      <c r="J249" s="12"/>
    </row>
    <row r="250" spans="1:10" hidden="1" x14ac:dyDescent="0.25">
      <c r="A250" s="8" t="s">
        <v>431</v>
      </c>
      <c r="B250" s="2"/>
      <c r="C250" s="2">
        <v>0</v>
      </c>
      <c r="D250" s="2">
        <v>0</v>
      </c>
      <c r="E250" s="2"/>
      <c r="F250" s="2"/>
      <c r="G250" s="2"/>
      <c r="H250" s="2"/>
      <c r="I250" s="2"/>
      <c r="J250" s="2"/>
    </row>
    <row r="251" spans="1:10" ht="15" hidden="1" x14ac:dyDescent="0.4">
      <c r="A251" s="8" t="s">
        <v>907</v>
      </c>
      <c r="B251" s="12"/>
      <c r="C251" s="12">
        <v>0</v>
      </c>
      <c r="D251" s="12">
        <v>0</v>
      </c>
      <c r="E251" s="2"/>
      <c r="F251" s="2"/>
      <c r="G251" s="2"/>
      <c r="H251" s="2"/>
      <c r="I251" s="2"/>
      <c r="J251" s="2"/>
    </row>
    <row r="252" spans="1:10" hidden="1" x14ac:dyDescent="0.25">
      <c r="A252" s="8" t="s">
        <v>1279</v>
      </c>
      <c r="B252" s="2"/>
      <c r="C252" s="2">
        <f>SUM(C250:C251)</f>
        <v>0</v>
      </c>
      <c r="D252" s="2">
        <f>SUM(D250:D251)</f>
        <v>0</v>
      </c>
      <c r="E252" s="2"/>
      <c r="F252" s="2"/>
      <c r="G252" s="2"/>
      <c r="H252" s="2"/>
      <c r="I252" s="2"/>
      <c r="J252" s="2"/>
    </row>
    <row r="253" spans="1:10" x14ac:dyDescent="0.25">
      <c r="B253" s="2">
        <f>SUM(B245)</f>
        <v>40400</v>
      </c>
      <c r="C253" s="2">
        <f>SUM(C245)</f>
        <v>3000</v>
      </c>
      <c r="D253" s="2">
        <f>SUM(D245)</f>
        <v>10400</v>
      </c>
      <c r="E253" s="2"/>
      <c r="F253" s="2"/>
      <c r="G253" s="2"/>
      <c r="H253" s="2"/>
      <c r="I253" s="2"/>
      <c r="J253" s="2"/>
    </row>
    <row r="254" spans="1:10" x14ac:dyDescent="0.25">
      <c r="B254" s="2"/>
      <c r="C254" s="2"/>
      <c r="E254" s="2"/>
      <c r="F254" s="2"/>
      <c r="G254" s="2"/>
      <c r="H254" s="2"/>
      <c r="I254" s="2"/>
      <c r="J254" s="2"/>
    </row>
    <row r="255" spans="1:10" ht="13.8" x14ac:dyDescent="0.3">
      <c r="A255" s="11" t="s">
        <v>2232</v>
      </c>
      <c r="B255" s="2"/>
      <c r="C255" s="2"/>
      <c r="E255" s="2"/>
      <c r="F255" s="2"/>
      <c r="G255" s="2">
        <v>50000</v>
      </c>
      <c r="H255" s="2">
        <v>50000</v>
      </c>
      <c r="I255" s="2">
        <v>50000</v>
      </c>
      <c r="J255" s="2">
        <v>50000</v>
      </c>
    </row>
    <row r="256" spans="1:10" x14ac:dyDescent="0.25">
      <c r="A256" s="8" t="s">
        <v>2226</v>
      </c>
      <c r="B256" s="2"/>
      <c r="C256" s="2"/>
      <c r="D256" s="2">
        <v>50000</v>
      </c>
      <c r="E256" s="2"/>
      <c r="F256" s="2"/>
      <c r="G256" s="2"/>
      <c r="H256" s="2"/>
      <c r="I256" s="2"/>
      <c r="J256" s="2"/>
    </row>
    <row r="257" spans="1:10" x14ac:dyDescent="0.25">
      <c r="B257" s="2"/>
      <c r="C257" s="2"/>
      <c r="E257" s="2"/>
      <c r="F257" s="2"/>
      <c r="G257" s="2"/>
      <c r="H257" s="2"/>
      <c r="I257" s="2"/>
      <c r="J257" s="2"/>
    </row>
    <row r="258" spans="1:10" x14ac:dyDescent="0.25">
      <c r="A258" s="8" t="s">
        <v>1366</v>
      </c>
      <c r="C258" s="2"/>
      <c r="E258" s="2">
        <f t="shared" ref="E258:J258" si="2">SUM(E6:E255)</f>
        <v>463199.61</v>
      </c>
      <c r="F258" s="2">
        <f t="shared" si="2"/>
        <v>373584</v>
      </c>
      <c r="G258" s="2">
        <f t="shared" si="2"/>
        <v>517227</v>
      </c>
      <c r="H258" s="2">
        <f t="shared" si="2"/>
        <v>504079</v>
      </c>
      <c r="I258" s="2">
        <f t="shared" si="2"/>
        <v>504079</v>
      </c>
      <c r="J258" s="2">
        <f t="shared" si="2"/>
        <v>507026</v>
      </c>
    </row>
    <row r="259" spans="1:10" x14ac:dyDescent="0.25">
      <c r="C259" s="2"/>
      <c r="E259" s="2"/>
      <c r="F259" s="2"/>
      <c r="G259" s="2"/>
      <c r="H259" s="2"/>
      <c r="I259" s="2"/>
      <c r="J259" s="2"/>
    </row>
    <row r="260" spans="1:10" x14ac:dyDescent="0.25">
      <c r="A260" s="8" t="s">
        <v>1001</v>
      </c>
      <c r="E260" s="2">
        <f t="shared" ref="E260:J260" si="3">SUM(E6:E72)</f>
        <v>115697.51</v>
      </c>
      <c r="F260" s="2">
        <f t="shared" si="3"/>
        <v>132813</v>
      </c>
      <c r="G260" s="2">
        <f t="shared" si="3"/>
        <v>206107</v>
      </c>
      <c r="H260" s="2">
        <f t="shared" si="3"/>
        <v>201353</v>
      </c>
      <c r="I260" s="2">
        <f t="shared" si="3"/>
        <v>201353</v>
      </c>
      <c r="J260" s="2">
        <f t="shared" si="3"/>
        <v>204300</v>
      </c>
    </row>
    <row r="261" spans="1:10" x14ac:dyDescent="0.25">
      <c r="A261" s="8" t="s">
        <v>975</v>
      </c>
      <c r="E261" s="2">
        <f t="shared" ref="E261:J261" si="4">SUM(E74:E234)</f>
        <v>246406.1</v>
      </c>
      <c r="F261" s="2">
        <f t="shared" si="4"/>
        <v>234291</v>
      </c>
      <c r="G261" s="2">
        <f t="shared" si="4"/>
        <v>240240</v>
      </c>
      <c r="H261" s="2">
        <f t="shared" si="4"/>
        <v>238846</v>
      </c>
      <c r="I261" s="2">
        <f t="shared" si="4"/>
        <v>238846</v>
      </c>
      <c r="J261" s="2">
        <f t="shared" si="4"/>
        <v>238846</v>
      </c>
    </row>
    <row r="262" spans="1:10" ht="15" x14ac:dyDescent="0.4">
      <c r="A262" s="8" t="s">
        <v>976</v>
      </c>
      <c r="E262" s="12">
        <f t="shared" ref="E262:J262" si="5">SUM(E236:E255)</f>
        <v>101096</v>
      </c>
      <c r="F262" s="12">
        <f t="shared" si="5"/>
        <v>6480</v>
      </c>
      <c r="G262" s="12">
        <f t="shared" si="5"/>
        <v>70880</v>
      </c>
      <c r="H262" s="12">
        <f t="shared" si="5"/>
        <v>63880</v>
      </c>
      <c r="I262" s="12">
        <f t="shared" si="5"/>
        <v>63880</v>
      </c>
      <c r="J262" s="12">
        <f t="shared" si="5"/>
        <v>63880</v>
      </c>
    </row>
    <row r="263" spans="1:10" x14ac:dyDescent="0.25">
      <c r="A263" s="8" t="s">
        <v>1279</v>
      </c>
      <c r="E263" s="2">
        <f t="shared" ref="E263:H263" si="6">SUM(E260:E262)</f>
        <v>463199.61</v>
      </c>
      <c r="F263" s="2">
        <f t="shared" si="6"/>
        <v>373584</v>
      </c>
      <c r="G263" s="2">
        <f t="shared" si="6"/>
        <v>517227</v>
      </c>
      <c r="H263" s="2">
        <f t="shared" si="6"/>
        <v>504079</v>
      </c>
      <c r="I263" s="2">
        <f>SUM(I260:I262)</f>
        <v>504079</v>
      </c>
      <c r="J263" s="2">
        <f>SUM(J260:J262)</f>
        <v>507026</v>
      </c>
    </row>
    <row r="264" spans="1:10" x14ac:dyDescent="0.25">
      <c r="I264" s="209"/>
      <c r="J264" s="213"/>
    </row>
    <row r="265" spans="1:10" x14ac:dyDescent="0.25">
      <c r="F265" s="2"/>
      <c r="I265" s="209"/>
      <c r="J265" s="213"/>
    </row>
    <row r="266" spans="1:10" x14ac:dyDescent="0.25">
      <c r="I266" s="209"/>
      <c r="J266" s="213"/>
    </row>
    <row r="267" spans="1:10" x14ac:dyDescent="0.25">
      <c r="I267" s="209"/>
      <c r="J267" s="213"/>
    </row>
    <row r="268" spans="1:10" x14ac:dyDescent="0.25">
      <c r="E268" s="2"/>
      <c r="I268" s="209"/>
      <c r="J268" s="213"/>
    </row>
    <row r="269" spans="1:10" x14ac:dyDescent="0.25">
      <c r="J269" s="213"/>
    </row>
    <row r="270" spans="1:10" x14ac:dyDescent="0.25">
      <c r="J270" s="213"/>
    </row>
    <row r="271" spans="1:10" x14ac:dyDescent="0.25">
      <c r="J271" s="213"/>
    </row>
    <row r="272" spans="1:10" x14ac:dyDescent="0.25">
      <c r="J272" s="213"/>
    </row>
    <row r="273" spans="10:10" x14ac:dyDescent="0.25">
      <c r="J273" s="213"/>
    </row>
    <row r="274" spans="10:10" x14ac:dyDescent="0.25">
      <c r="J274" s="213"/>
    </row>
    <row r="275" spans="10:10" x14ac:dyDescent="0.25">
      <c r="J275" s="213"/>
    </row>
    <row r="276" spans="10:10" x14ac:dyDescent="0.25">
      <c r="J276" s="213"/>
    </row>
    <row r="277" spans="10:10" x14ac:dyDescent="0.25">
      <c r="J277" s="213"/>
    </row>
    <row r="278" spans="10:10" x14ac:dyDescent="0.25">
      <c r="J278" s="213"/>
    </row>
    <row r="279" spans="10:10" x14ac:dyDescent="0.25">
      <c r="J279" s="213"/>
    </row>
    <row r="280" spans="10:10" x14ac:dyDescent="0.25">
      <c r="J280" s="213"/>
    </row>
    <row r="281" spans="10:10" x14ac:dyDescent="0.25">
      <c r="J281" s="213"/>
    </row>
    <row r="282" spans="10:10" x14ac:dyDescent="0.25">
      <c r="J282" s="213"/>
    </row>
    <row r="283" spans="10:10" x14ac:dyDescent="0.25">
      <c r="J283" s="213"/>
    </row>
    <row r="284" spans="10:10" x14ac:dyDescent="0.25">
      <c r="J284" s="213"/>
    </row>
    <row r="285" spans="10:10" x14ac:dyDescent="0.25">
      <c r="J285" s="213"/>
    </row>
    <row r="286" spans="10:10" x14ac:dyDescent="0.25">
      <c r="J286" s="213"/>
    </row>
    <row r="287" spans="10:10" x14ac:dyDescent="0.25">
      <c r="J287" s="213"/>
    </row>
    <row r="288" spans="10:10" x14ac:dyDescent="0.25">
      <c r="J288" s="213"/>
    </row>
    <row r="289" spans="10:10" x14ac:dyDescent="0.25">
      <c r="J289" s="213"/>
    </row>
    <row r="290" spans="10:10" x14ac:dyDescent="0.25">
      <c r="J290" s="213"/>
    </row>
  </sheetData>
  <mergeCells count="1">
    <mergeCell ref="A1:J1"/>
  </mergeCells>
  <phoneticPr fontId="0" type="noConversion"/>
  <printOptions gridLines="1"/>
  <pageMargins left="0.75" right="0.16" top="0.51" bottom="0.22" header="0.5" footer="0"/>
  <pageSetup scale="80" fitToHeight="16" orientation="landscape" r:id="rId1"/>
  <headerFooter alignWithMargins="0"/>
  <rowBreaks count="3" manualBreakCount="3">
    <brk id="77" max="9" man="1"/>
    <brk id="166" max="9" man="1"/>
    <brk id="206" max="9"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275"/>
  <sheetViews>
    <sheetView view="pageBreakPreview" topLeftCell="A224" zoomScaleNormal="100" zoomScaleSheetLayoutView="100" workbookViewId="0">
      <selection activeCell="B234" sqref="B234"/>
    </sheetView>
  </sheetViews>
  <sheetFormatPr defaultRowHeight="13.2" x14ac:dyDescent="0.25"/>
  <cols>
    <col min="1" max="1" width="51.6640625" style="8" bestFit="1" customWidth="1"/>
    <col min="2" max="2" width="8.88671875" style="8" customWidth="1"/>
    <col min="3" max="3" width="9.44140625" style="8" bestFit="1" customWidth="1"/>
    <col min="4" max="4" width="8.88671875" style="8" customWidth="1"/>
    <col min="5" max="7" width="10.88671875" style="8" customWidth="1"/>
    <col min="8" max="8" width="14" style="8" bestFit="1" customWidth="1"/>
    <col min="9" max="10" width="10.88671875" style="8" customWidth="1"/>
    <col min="11" max="11" width="0" style="8" hidden="1" customWidth="1"/>
    <col min="12" max="16384" width="8.88671875" style="8"/>
  </cols>
  <sheetData>
    <row r="1" spans="1:12" x14ac:dyDescent="0.25">
      <c r="A1" s="217" t="s">
        <v>1972</v>
      </c>
      <c r="B1" s="218"/>
      <c r="C1" s="218"/>
      <c r="D1" s="218"/>
      <c r="E1" s="218"/>
      <c r="F1" s="218"/>
      <c r="G1" s="218"/>
      <c r="H1" s="218"/>
      <c r="I1" s="218"/>
      <c r="J1" s="218"/>
    </row>
    <row r="2" spans="1:12" ht="17.399999999999999" x14ac:dyDescent="0.3">
      <c r="A2" s="202" t="s">
        <v>2248</v>
      </c>
      <c r="B2" s="202"/>
      <c r="C2" s="202"/>
      <c r="D2" s="202"/>
      <c r="E2" s="202"/>
      <c r="F2" s="202"/>
    </row>
    <row r="3" spans="1:12" x14ac:dyDescent="0.25">
      <c r="B3" s="2"/>
      <c r="C3" s="2"/>
      <c r="D3" s="2"/>
      <c r="E3" s="2"/>
      <c r="F3" s="2"/>
      <c r="I3" s="87"/>
      <c r="J3" s="155"/>
    </row>
    <row r="4" spans="1:12" x14ac:dyDescent="0.25">
      <c r="B4" s="2"/>
      <c r="C4" s="2"/>
      <c r="D4" s="2"/>
      <c r="E4" s="9" t="s">
        <v>251</v>
      </c>
      <c r="F4" s="9" t="s">
        <v>252</v>
      </c>
      <c r="G4" s="9" t="s">
        <v>73</v>
      </c>
      <c r="H4" s="9" t="s">
        <v>430</v>
      </c>
      <c r="I4" s="2" t="s">
        <v>330</v>
      </c>
      <c r="J4" s="2" t="s">
        <v>364</v>
      </c>
    </row>
    <row r="5" spans="1:12" ht="15" x14ac:dyDescent="0.4">
      <c r="B5" s="2"/>
      <c r="C5" s="2"/>
      <c r="D5" s="2"/>
      <c r="E5" s="10" t="s">
        <v>1684</v>
      </c>
      <c r="F5" s="10" t="s">
        <v>1874</v>
      </c>
      <c r="G5" s="10" t="s">
        <v>1944</v>
      </c>
      <c r="H5" s="10" t="s">
        <v>1944</v>
      </c>
      <c r="I5" s="10" t="s">
        <v>1944</v>
      </c>
      <c r="J5" s="10" t="s">
        <v>1944</v>
      </c>
    </row>
    <row r="6" spans="1:12" ht="13.8" x14ac:dyDescent="0.3">
      <c r="A6" s="118" t="s">
        <v>432</v>
      </c>
      <c r="B6" s="113"/>
      <c r="C6" s="113"/>
      <c r="D6" s="113"/>
      <c r="E6" s="113">
        <v>204744</v>
      </c>
      <c r="F6" s="113">
        <v>217581</v>
      </c>
      <c r="G6" s="113">
        <v>297644</v>
      </c>
      <c r="H6" s="113">
        <v>297644</v>
      </c>
      <c r="I6" s="113">
        <v>301960</v>
      </c>
      <c r="J6" s="113">
        <v>301960</v>
      </c>
      <c r="L6" s="2"/>
    </row>
    <row r="7" spans="1:12" x14ac:dyDescent="0.25">
      <c r="A7" s="114" t="s">
        <v>111</v>
      </c>
      <c r="B7" s="113">
        <v>52</v>
      </c>
      <c r="C7" s="113">
        <v>1370</v>
      </c>
      <c r="D7" s="113">
        <f>+B7*C7</f>
        <v>71240</v>
      </c>
      <c r="E7" s="113"/>
      <c r="F7" s="113"/>
      <c r="G7" s="113"/>
      <c r="H7" s="113"/>
      <c r="I7" s="113"/>
      <c r="J7" s="113"/>
      <c r="L7" s="2"/>
    </row>
    <row r="8" spans="1:12" x14ac:dyDescent="0.25">
      <c r="A8" s="114" t="s">
        <v>112</v>
      </c>
      <c r="B8" s="113">
        <v>52</v>
      </c>
      <c r="C8" s="113">
        <v>893</v>
      </c>
      <c r="D8" s="113">
        <f>+B8*C8</f>
        <v>46436</v>
      </c>
      <c r="E8" s="113"/>
      <c r="F8" s="113"/>
      <c r="G8" s="113"/>
      <c r="H8" s="113"/>
      <c r="I8" s="113"/>
      <c r="J8" s="113"/>
      <c r="L8" s="2"/>
    </row>
    <row r="9" spans="1:12" x14ac:dyDescent="0.25">
      <c r="A9" s="114" t="s">
        <v>1951</v>
      </c>
      <c r="B9" s="113">
        <v>52</v>
      </c>
      <c r="C9" s="113">
        <v>910</v>
      </c>
      <c r="D9" s="113">
        <f>+B9*C9</f>
        <v>47320</v>
      </c>
      <c r="E9" s="113"/>
      <c r="F9" s="113"/>
      <c r="G9" s="113"/>
      <c r="H9" s="113"/>
      <c r="I9" s="113"/>
      <c r="J9" s="113"/>
      <c r="L9" s="2"/>
    </row>
    <row r="10" spans="1:12" x14ac:dyDescent="0.25">
      <c r="A10" s="113" t="s">
        <v>1925</v>
      </c>
      <c r="B10" s="113">
        <v>52</v>
      </c>
      <c r="C10" s="113">
        <v>892</v>
      </c>
      <c r="D10" s="113">
        <f>+B10*C10</f>
        <v>46384</v>
      </c>
      <c r="E10" s="113"/>
      <c r="I10" s="209"/>
      <c r="J10" s="213"/>
      <c r="L10" s="2"/>
    </row>
    <row r="11" spans="1:12" x14ac:dyDescent="0.25">
      <c r="A11" s="114" t="s">
        <v>2066</v>
      </c>
      <c r="B11" s="113">
        <v>52</v>
      </c>
      <c r="C11" s="113">
        <v>833</v>
      </c>
      <c r="D11" s="113">
        <f>ROUND(B11*C11,0)</f>
        <v>43316</v>
      </c>
      <c r="E11" s="113"/>
      <c r="I11" s="209"/>
      <c r="J11" s="213"/>
      <c r="L11" s="2"/>
    </row>
    <row r="12" spans="1:12" x14ac:dyDescent="0.25">
      <c r="A12" s="114" t="s">
        <v>2068</v>
      </c>
      <c r="B12" s="113">
        <v>52</v>
      </c>
      <c r="C12" s="113">
        <v>857</v>
      </c>
      <c r="D12" s="113">
        <f>ROUND(B12*C12,0)</f>
        <v>44564</v>
      </c>
      <c r="E12" s="113"/>
      <c r="I12" s="209"/>
      <c r="J12" s="213"/>
      <c r="L12" s="2"/>
    </row>
    <row r="13" spans="1:12" ht="15" x14ac:dyDescent="0.4">
      <c r="A13" s="114" t="s">
        <v>995</v>
      </c>
      <c r="B13" s="113"/>
      <c r="C13" s="113"/>
      <c r="D13" s="116">
        <v>2700</v>
      </c>
      <c r="E13" s="113"/>
      <c r="F13" s="113"/>
      <c r="G13" s="113"/>
      <c r="H13" s="113"/>
      <c r="I13" s="113"/>
      <c r="J13" s="113"/>
      <c r="L13" s="2"/>
    </row>
    <row r="14" spans="1:12" x14ac:dyDescent="0.25">
      <c r="A14" s="114" t="s">
        <v>1279</v>
      </c>
      <c r="B14" s="113"/>
      <c r="C14" s="113"/>
      <c r="D14" s="113">
        <f>SUM(D7:D13)</f>
        <v>301960</v>
      </c>
      <c r="E14" s="113"/>
      <c r="F14" s="113"/>
      <c r="G14" s="113"/>
      <c r="H14" s="113"/>
      <c r="I14" s="113"/>
      <c r="J14" s="113"/>
      <c r="L14" s="2"/>
    </row>
    <row r="15" spans="1:12" x14ac:dyDescent="0.25">
      <c r="A15" s="114"/>
      <c r="B15" s="113"/>
      <c r="C15" s="113"/>
      <c r="D15" s="113"/>
      <c r="E15" s="113"/>
      <c r="F15" s="114"/>
      <c r="G15" s="114"/>
      <c r="H15" s="114"/>
      <c r="I15" s="114"/>
      <c r="J15" s="114"/>
      <c r="L15" s="2"/>
    </row>
    <row r="16" spans="1:12" ht="13.8" x14ac:dyDescent="0.3">
      <c r="A16" s="118" t="s">
        <v>1059</v>
      </c>
      <c r="B16" s="113"/>
      <c r="C16" s="113"/>
      <c r="D16" s="113"/>
      <c r="E16" s="113">
        <v>288653</v>
      </c>
      <c r="F16" s="113">
        <v>343444</v>
      </c>
      <c r="G16" s="113">
        <v>260706</v>
      </c>
      <c r="H16" s="113">
        <v>260706</v>
      </c>
      <c r="I16" s="113">
        <v>265937</v>
      </c>
      <c r="J16" s="113">
        <v>265937</v>
      </c>
      <c r="L16" s="2"/>
    </row>
    <row r="17" spans="1:12" x14ac:dyDescent="0.25">
      <c r="A17" s="114" t="s">
        <v>1060</v>
      </c>
      <c r="B17" s="113" t="s">
        <v>417</v>
      </c>
      <c r="C17" s="113" t="s">
        <v>417</v>
      </c>
      <c r="D17" s="113" t="s">
        <v>417</v>
      </c>
      <c r="E17" s="113"/>
      <c r="F17" s="113"/>
      <c r="G17" s="113"/>
      <c r="H17" s="113"/>
      <c r="I17" s="113"/>
      <c r="J17" s="113"/>
      <c r="L17" s="2"/>
    </row>
    <row r="18" spans="1:12" x14ac:dyDescent="0.25">
      <c r="A18" s="114" t="s">
        <v>1378</v>
      </c>
      <c r="B18" s="113">
        <v>52</v>
      </c>
      <c r="C18" s="113">
        <v>811</v>
      </c>
      <c r="D18" s="113">
        <f>ROUND(B18*C18,0)</f>
        <v>42172</v>
      </c>
      <c r="E18" s="113"/>
      <c r="F18" s="113"/>
      <c r="G18" s="113"/>
      <c r="H18" s="113"/>
      <c r="I18" s="113"/>
      <c r="J18" s="113"/>
      <c r="L18" s="2"/>
    </row>
    <row r="19" spans="1:12" x14ac:dyDescent="0.25">
      <c r="A19" s="114" t="s">
        <v>2067</v>
      </c>
      <c r="B19" s="113">
        <v>52</v>
      </c>
      <c r="C19" s="113">
        <v>826</v>
      </c>
      <c r="D19" s="113">
        <f>ROUND(B19*C19,0)</f>
        <v>42952</v>
      </c>
      <c r="E19" s="113"/>
      <c r="F19" s="113"/>
      <c r="G19" s="113"/>
      <c r="H19" s="113"/>
      <c r="I19" s="113"/>
      <c r="J19" s="113"/>
      <c r="L19" s="2"/>
    </row>
    <row r="20" spans="1:12" x14ac:dyDescent="0.25">
      <c r="A20" s="113" t="s">
        <v>1928</v>
      </c>
      <c r="B20" s="113">
        <v>52</v>
      </c>
      <c r="C20" s="113">
        <v>667</v>
      </c>
      <c r="D20" s="113">
        <f>ROUND(B20*C20,0)</f>
        <v>34684</v>
      </c>
      <c r="E20" s="113"/>
      <c r="F20" s="113"/>
      <c r="G20" s="113"/>
      <c r="H20" s="113"/>
      <c r="I20" s="113"/>
      <c r="J20" s="113"/>
      <c r="L20" s="2"/>
    </row>
    <row r="21" spans="1:12" x14ac:dyDescent="0.25">
      <c r="A21" s="114" t="s">
        <v>995</v>
      </c>
      <c r="B21" s="113"/>
      <c r="C21" s="113"/>
      <c r="D21" s="113">
        <v>500</v>
      </c>
      <c r="E21" s="113"/>
      <c r="F21" s="113"/>
      <c r="G21" s="113"/>
      <c r="H21" s="113"/>
      <c r="I21" s="113"/>
      <c r="J21" s="113"/>
      <c r="L21" s="2"/>
    </row>
    <row r="22" spans="1:12" x14ac:dyDescent="0.25">
      <c r="A22" s="114" t="s">
        <v>1451</v>
      </c>
      <c r="B22" s="113" t="s">
        <v>417</v>
      </c>
      <c r="C22" s="113" t="s">
        <v>417</v>
      </c>
      <c r="D22" s="113" t="s">
        <v>417</v>
      </c>
      <c r="E22" s="113"/>
      <c r="F22" s="113"/>
      <c r="G22" s="113"/>
      <c r="H22" s="113"/>
      <c r="I22" s="113"/>
      <c r="J22" s="113"/>
      <c r="L22" s="2"/>
    </row>
    <row r="23" spans="1:12" x14ac:dyDescent="0.25">
      <c r="A23" s="126" t="s">
        <v>2069</v>
      </c>
      <c r="B23" s="113">
        <v>832</v>
      </c>
      <c r="C23" s="148">
        <v>12.24</v>
      </c>
      <c r="D23" s="113">
        <f t="shared" ref="D23:D37" si="0">ROUND(B23*C23,0)</f>
        <v>10184</v>
      </c>
      <c r="E23" s="113"/>
      <c r="I23" s="209"/>
      <c r="J23" s="213"/>
      <c r="L23" s="2"/>
    </row>
    <row r="24" spans="1:12" x14ac:dyDescent="0.25">
      <c r="A24" s="114" t="s">
        <v>2233</v>
      </c>
      <c r="B24" s="113">
        <v>1040</v>
      </c>
      <c r="C24" s="148">
        <v>12.58</v>
      </c>
      <c r="D24" s="113">
        <f t="shared" si="0"/>
        <v>13083</v>
      </c>
      <c r="E24" s="113"/>
      <c r="F24" s="126"/>
      <c r="G24" s="126"/>
      <c r="H24" s="126"/>
      <c r="I24" s="126"/>
      <c r="J24" s="126"/>
      <c r="L24" s="2"/>
    </row>
    <row r="25" spans="1:12" x14ac:dyDescent="0.25">
      <c r="A25" s="126" t="s">
        <v>1926</v>
      </c>
      <c r="B25" s="113">
        <v>200</v>
      </c>
      <c r="C25" s="148">
        <v>11.22</v>
      </c>
      <c r="D25" s="113">
        <f t="shared" si="0"/>
        <v>2244</v>
      </c>
      <c r="E25" s="113"/>
      <c r="I25" s="209"/>
      <c r="J25" s="213"/>
      <c r="L25" s="2"/>
    </row>
    <row r="26" spans="1:12" x14ac:dyDescent="0.25">
      <c r="A26" s="126" t="s">
        <v>1927</v>
      </c>
      <c r="B26" s="113">
        <v>884</v>
      </c>
      <c r="C26" s="115">
        <v>17.739999999999998</v>
      </c>
      <c r="D26" s="113">
        <f t="shared" si="0"/>
        <v>15682</v>
      </c>
      <c r="E26" s="113"/>
      <c r="I26" s="209"/>
      <c r="J26" s="213"/>
      <c r="L26" s="2"/>
    </row>
    <row r="27" spans="1:12" x14ac:dyDescent="0.25">
      <c r="A27" s="114" t="s">
        <v>113</v>
      </c>
      <c r="B27" s="113">
        <v>936</v>
      </c>
      <c r="C27" s="115">
        <v>12.24</v>
      </c>
      <c r="D27" s="113">
        <f t="shared" si="0"/>
        <v>11457</v>
      </c>
      <c r="E27" s="113"/>
      <c r="F27" s="126"/>
      <c r="G27" s="126"/>
      <c r="H27" s="126"/>
      <c r="I27" s="126"/>
      <c r="J27" s="126"/>
      <c r="L27" s="2"/>
    </row>
    <row r="28" spans="1:12" x14ac:dyDescent="0.25">
      <c r="A28" s="114" t="s">
        <v>113</v>
      </c>
      <c r="B28" s="113">
        <v>1040</v>
      </c>
      <c r="C28" s="115">
        <v>13.16</v>
      </c>
      <c r="D28" s="113">
        <f t="shared" si="0"/>
        <v>13686</v>
      </c>
      <c r="E28" s="113"/>
      <c r="F28" s="126"/>
      <c r="G28" s="126"/>
      <c r="H28" s="126"/>
      <c r="I28" s="126"/>
      <c r="J28" s="126"/>
      <c r="L28" s="2"/>
    </row>
    <row r="29" spans="1:12" x14ac:dyDescent="0.25">
      <c r="A29" s="114" t="s">
        <v>113</v>
      </c>
      <c r="B29" s="113">
        <v>728</v>
      </c>
      <c r="C29" s="115">
        <v>12.58</v>
      </c>
      <c r="D29" s="113">
        <f t="shared" si="0"/>
        <v>9158</v>
      </c>
      <c r="E29" s="113"/>
      <c r="F29" s="126"/>
      <c r="G29" s="126"/>
      <c r="H29" s="126"/>
      <c r="I29" s="126"/>
      <c r="J29" s="126"/>
      <c r="L29" s="2"/>
    </row>
    <row r="30" spans="1:12" x14ac:dyDescent="0.25">
      <c r="A30" s="114" t="s">
        <v>113</v>
      </c>
      <c r="B30" s="113">
        <v>676</v>
      </c>
      <c r="C30" s="115">
        <v>12.24</v>
      </c>
      <c r="D30" s="113">
        <f t="shared" si="0"/>
        <v>8274</v>
      </c>
      <c r="E30" s="113"/>
      <c r="F30" s="126"/>
      <c r="G30" s="126"/>
      <c r="H30" s="126"/>
      <c r="I30" s="126"/>
      <c r="J30" s="126"/>
      <c r="L30" s="2"/>
    </row>
    <row r="31" spans="1:12" x14ac:dyDescent="0.25">
      <c r="A31" s="113" t="s">
        <v>1928</v>
      </c>
      <c r="B31" s="113">
        <v>0</v>
      </c>
      <c r="C31" s="115">
        <v>16.66</v>
      </c>
      <c r="D31" s="113">
        <f t="shared" si="0"/>
        <v>0</v>
      </c>
      <c r="E31" s="113"/>
      <c r="F31" s="126"/>
      <c r="G31" s="126"/>
      <c r="H31" s="126"/>
      <c r="I31" s="126"/>
      <c r="J31" s="126"/>
      <c r="L31" s="2"/>
    </row>
    <row r="32" spans="1:12" x14ac:dyDescent="0.25">
      <c r="A32" s="126" t="s">
        <v>1929</v>
      </c>
      <c r="B32" s="113">
        <v>1040</v>
      </c>
      <c r="C32" s="115">
        <v>13.26</v>
      </c>
      <c r="D32" s="113">
        <f t="shared" si="0"/>
        <v>13790</v>
      </c>
      <c r="E32" s="113"/>
      <c r="I32" s="209"/>
      <c r="J32" s="213"/>
      <c r="L32" s="2"/>
    </row>
    <row r="33" spans="1:12" x14ac:dyDescent="0.25">
      <c r="A33" s="114" t="s">
        <v>114</v>
      </c>
      <c r="B33" s="113">
        <v>780</v>
      </c>
      <c r="C33" s="115">
        <v>12.24</v>
      </c>
      <c r="D33" s="113">
        <f t="shared" si="0"/>
        <v>9547</v>
      </c>
      <c r="E33" s="113"/>
      <c r="F33" s="126"/>
      <c r="G33" s="126"/>
      <c r="H33" s="126"/>
      <c r="I33" s="126"/>
      <c r="J33" s="126"/>
      <c r="L33" s="2"/>
    </row>
    <row r="34" spans="1:12" x14ac:dyDescent="0.25">
      <c r="A34" s="114" t="s">
        <v>114</v>
      </c>
      <c r="B34" s="113">
        <v>728</v>
      </c>
      <c r="C34" s="115">
        <v>10</v>
      </c>
      <c r="D34" s="113">
        <f t="shared" si="0"/>
        <v>7280</v>
      </c>
      <c r="E34" s="113"/>
      <c r="F34" s="126"/>
      <c r="G34" s="126"/>
      <c r="H34" s="126"/>
      <c r="I34" s="126"/>
      <c r="J34" s="126"/>
      <c r="L34" s="2"/>
    </row>
    <row r="35" spans="1:12" x14ac:dyDescent="0.25">
      <c r="A35" s="114" t="s">
        <v>115</v>
      </c>
      <c r="B35" s="113">
        <v>636</v>
      </c>
      <c r="C35" s="115">
        <v>10</v>
      </c>
      <c r="D35" s="113">
        <f t="shared" si="0"/>
        <v>6360</v>
      </c>
      <c r="E35" s="113"/>
      <c r="F35" s="126"/>
      <c r="G35" s="126"/>
      <c r="H35" s="126"/>
      <c r="I35" s="126"/>
      <c r="J35" s="126"/>
      <c r="L35" s="2"/>
    </row>
    <row r="36" spans="1:12" x14ac:dyDescent="0.25">
      <c r="A36" s="114" t="s">
        <v>116</v>
      </c>
      <c r="B36" s="113">
        <v>1219</v>
      </c>
      <c r="C36" s="115">
        <v>16.32</v>
      </c>
      <c r="D36" s="113">
        <f t="shared" si="0"/>
        <v>19894</v>
      </c>
      <c r="E36" s="113"/>
      <c r="F36" s="126"/>
      <c r="G36" s="126"/>
      <c r="H36" s="126"/>
      <c r="I36" s="126"/>
      <c r="J36" s="126"/>
      <c r="L36" s="2"/>
    </row>
    <row r="37" spans="1:12" x14ac:dyDescent="0.25">
      <c r="A37" s="114" t="s">
        <v>601</v>
      </c>
      <c r="B37" s="113">
        <v>300</v>
      </c>
      <c r="C37" s="115">
        <v>13.3</v>
      </c>
      <c r="D37" s="113">
        <f t="shared" si="0"/>
        <v>3990</v>
      </c>
      <c r="E37" s="113"/>
      <c r="F37" s="126"/>
      <c r="G37" s="126"/>
      <c r="H37" s="126"/>
      <c r="I37" s="126"/>
      <c r="J37" s="126"/>
      <c r="L37" s="2"/>
    </row>
    <row r="38" spans="1:12" ht="15" x14ac:dyDescent="0.4">
      <c r="A38" s="114" t="s">
        <v>2070</v>
      </c>
      <c r="B38" s="113"/>
      <c r="C38" s="115"/>
      <c r="D38" s="116">
        <v>1000</v>
      </c>
      <c r="E38" s="113"/>
      <c r="F38" s="126"/>
      <c r="G38" s="126"/>
      <c r="H38" s="126"/>
      <c r="I38" s="126"/>
      <c r="J38" s="126"/>
      <c r="L38" s="2"/>
    </row>
    <row r="39" spans="1:12" x14ac:dyDescent="0.25">
      <c r="A39" s="114" t="s">
        <v>1279</v>
      </c>
      <c r="B39" s="113"/>
      <c r="C39" s="113"/>
      <c r="D39" s="113">
        <f>SUM(D18:D38)</f>
        <v>265937</v>
      </c>
      <c r="E39" s="113"/>
      <c r="F39" s="113"/>
      <c r="G39" s="113"/>
      <c r="H39" s="113"/>
      <c r="I39" s="113"/>
      <c r="J39" s="113"/>
      <c r="L39" s="2"/>
    </row>
    <row r="40" spans="1:12" x14ac:dyDescent="0.25">
      <c r="B40" s="113"/>
      <c r="C40" s="113"/>
      <c r="D40" s="113"/>
      <c r="E40" s="113"/>
      <c r="F40" s="113"/>
      <c r="G40" s="113"/>
      <c r="H40" s="113"/>
      <c r="I40" s="113"/>
      <c r="J40" s="113"/>
      <c r="L40" s="2"/>
    </row>
    <row r="41" spans="1:12" x14ac:dyDescent="0.25">
      <c r="A41" s="114"/>
      <c r="B41" s="113" t="s">
        <v>417</v>
      </c>
      <c r="C41" s="113"/>
      <c r="D41" s="113" t="s">
        <v>417</v>
      </c>
      <c r="E41" s="113"/>
      <c r="F41" s="114"/>
      <c r="G41" s="114"/>
      <c r="H41" s="114"/>
      <c r="I41" s="114"/>
      <c r="J41" s="114"/>
      <c r="L41" s="2"/>
    </row>
    <row r="42" spans="1:12" ht="13.8" x14ac:dyDescent="0.3">
      <c r="A42" s="118" t="s">
        <v>602</v>
      </c>
      <c r="B42" s="114"/>
      <c r="C42" s="114"/>
      <c r="D42" s="113"/>
      <c r="E42" s="113">
        <v>28616</v>
      </c>
      <c r="F42" s="113">
        <v>34479</v>
      </c>
      <c r="G42" s="113">
        <v>33959</v>
      </c>
      <c r="H42" s="113">
        <v>33959</v>
      </c>
      <c r="I42" s="113">
        <v>34614</v>
      </c>
      <c r="J42" s="113">
        <v>34614</v>
      </c>
      <c r="L42" s="2"/>
    </row>
    <row r="43" spans="1:12" x14ac:dyDescent="0.25">
      <c r="A43" s="114" t="s">
        <v>117</v>
      </c>
      <c r="B43" s="113">
        <v>1040</v>
      </c>
      <c r="C43" s="115">
        <v>19.02</v>
      </c>
      <c r="D43" s="113">
        <f>ROUND(B43*C43,0)</f>
        <v>19781</v>
      </c>
      <c r="E43" s="113"/>
      <c r="F43" s="113"/>
      <c r="G43" s="113"/>
      <c r="H43" s="113"/>
      <c r="I43" s="113"/>
      <c r="J43" s="113"/>
      <c r="L43" s="2"/>
    </row>
    <row r="44" spans="1:12" x14ac:dyDescent="0.25">
      <c r="A44" s="114" t="s">
        <v>1054</v>
      </c>
      <c r="B44" s="113">
        <v>1040</v>
      </c>
      <c r="C44" s="115">
        <v>12.82</v>
      </c>
      <c r="D44" s="113">
        <f>ROUND(B44*C44,0)</f>
        <v>13333</v>
      </c>
      <c r="E44" s="113"/>
      <c r="F44" s="113"/>
      <c r="G44" s="113"/>
      <c r="H44" s="113"/>
      <c r="I44" s="113"/>
      <c r="J44" s="113"/>
      <c r="L44" s="2"/>
    </row>
    <row r="45" spans="1:12" ht="15" x14ac:dyDescent="0.4">
      <c r="A45" s="113" t="s">
        <v>1930</v>
      </c>
      <c r="B45" s="113">
        <v>100</v>
      </c>
      <c r="C45" s="115">
        <v>15</v>
      </c>
      <c r="D45" s="116">
        <f>ROUND(B45*C45,0)</f>
        <v>1500</v>
      </c>
      <c r="E45" s="113"/>
      <c r="I45" s="209"/>
      <c r="J45" s="213"/>
      <c r="L45" s="2"/>
    </row>
    <row r="46" spans="1:12" x14ac:dyDescent="0.25">
      <c r="A46" s="114" t="s">
        <v>1279</v>
      </c>
      <c r="B46" s="113"/>
      <c r="C46" s="113"/>
      <c r="D46" s="113">
        <f>SUM(D43:D45)</f>
        <v>34614</v>
      </c>
      <c r="E46" s="113"/>
      <c r="F46" s="113"/>
      <c r="G46" s="113"/>
      <c r="H46" s="113"/>
      <c r="I46" s="113"/>
      <c r="J46" s="113"/>
      <c r="L46" s="2"/>
    </row>
    <row r="47" spans="1:12" x14ac:dyDescent="0.25">
      <c r="A47" s="114"/>
      <c r="B47" s="113"/>
      <c r="C47" s="115"/>
      <c r="D47" s="113"/>
      <c r="E47" s="113"/>
      <c r="F47" s="113"/>
      <c r="G47" s="113"/>
      <c r="H47" s="113"/>
      <c r="I47" s="113"/>
      <c r="J47" s="113"/>
      <c r="L47" s="2"/>
    </row>
    <row r="48" spans="1:12" ht="13.8" x14ac:dyDescent="0.3">
      <c r="A48" s="118" t="s">
        <v>1329</v>
      </c>
      <c r="B48" s="114"/>
      <c r="C48" s="114"/>
      <c r="D48" s="113"/>
      <c r="E48" s="113">
        <v>39284</v>
      </c>
      <c r="F48" s="113">
        <v>45556</v>
      </c>
      <c r="G48" s="113">
        <v>45312</v>
      </c>
      <c r="H48" s="113">
        <v>45312</v>
      </c>
      <c r="I48" s="113">
        <v>46092</v>
      </c>
      <c r="J48" s="113">
        <v>46092</v>
      </c>
      <c r="L48" s="2"/>
    </row>
    <row r="49" spans="1:12" hidden="1" x14ac:dyDescent="0.25">
      <c r="A49" s="129">
        <v>8103</v>
      </c>
      <c r="B49" s="113">
        <f>+D14</f>
        <v>301960</v>
      </c>
      <c r="C49" s="114">
        <v>7.6499999999999999E-2</v>
      </c>
      <c r="D49" s="113">
        <f>ROUND(B49*C49,0)</f>
        <v>23100</v>
      </c>
      <c r="E49" s="113"/>
      <c r="F49" s="113"/>
      <c r="G49" s="113"/>
      <c r="H49" s="113"/>
      <c r="I49" s="113"/>
      <c r="J49" s="113"/>
      <c r="L49" s="2"/>
    </row>
    <row r="50" spans="1:12" hidden="1" x14ac:dyDescent="0.25">
      <c r="A50" s="120" t="s">
        <v>831</v>
      </c>
      <c r="B50" s="113">
        <f>+D39</f>
        <v>265937</v>
      </c>
      <c r="C50" s="114">
        <v>7.6499999999999999E-2</v>
      </c>
      <c r="D50" s="113">
        <f>ROUND(B50*C50,0)</f>
        <v>20344</v>
      </c>
      <c r="E50" s="113"/>
      <c r="F50" s="113"/>
      <c r="G50" s="113"/>
      <c r="H50" s="113"/>
      <c r="I50" s="113"/>
      <c r="J50" s="113"/>
      <c r="L50" s="2"/>
    </row>
    <row r="51" spans="1:12" ht="15" hidden="1" x14ac:dyDescent="0.4">
      <c r="A51" s="120" t="s">
        <v>201</v>
      </c>
      <c r="B51" s="113">
        <f>+D46</f>
        <v>34614</v>
      </c>
      <c r="C51" s="114">
        <v>7.6499999999999999E-2</v>
      </c>
      <c r="D51" s="116">
        <f>ROUND(B51*C51,0)</f>
        <v>2648</v>
      </c>
      <c r="E51" s="113"/>
      <c r="F51" s="113"/>
      <c r="G51" s="113"/>
      <c r="H51" s="113"/>
      <c r="I51" s="113"/>
      <c r="J51" s="113"/>
      <c r="L51" s="2"/>
    </row>
    <row r="52" spans="1:12" hidden="1" x14ac:dyDescent="0.25">
      <c r="A52" s="114" t="s">
        <v>1279</v>
      </c>
      <c r="B52" s="114"/>
      <c r="C52" s="114"/>
      <c r="D52" s="113">
        <f>SUM(D49:D51)</f>
        <v>46092</v>
      </c>
      <c r="E52" s="113"/>
      <c r="F52" s="113"/>
      <c r="G52" s="113"/>
      <c r="H52" s="113"/>
      <c r="I52" s="113"/>
      <c r="J52" s="113"/>
      <c r="L52" s="2"/>
    </row>
    <row r="53" spans="1:12" x14ac:dyDescent="0.25">
      <c r="A53" s="114"/>
      <c r="B53" s="114"/>
      <c r="C53" s="114"/>
      <c r="D53" s="113"/>
      <c r="E53" s="113"/>
      <c r="F53" s="113"/>
      <c r="G53" s="113"/>
      <c r="H53" s="113"/>
      <c r="I53" s="113"/>
      <c r="J53" s="113"/>
      <c r="L53" s="2"/>
    </row>
    <row r="54" spans="1:12" ht="13.8" x14ac:dyDescent="0.3">
      <c r="A54" s="118" t="s">
        <v>1330</v>
      </c>
      <c r="B54" s="114"/>
      <c r="C54" s="114"/>
      <c r="D54" s="113"/>
      <c r="E54" s="113">
        <v>39432</v>
      </c>
      <c r="F54" s="113">
        <v>43813</v>
      </c>
      <c r="G54" s="113">
        <v>50491</v>
      </c>
      <c r="H54" s="113">
        <v>50491</v>
      </c>
      <c r="I54" s="113">
        <v>51305</v>
      </c>
      <c r="J54" s="113">
        <v>51305</v>
      </c>
      <c r="L54" s="2"/>
    </row>
    <row r="55" spans="1:12" hidden="1" x14ac:dyDescent="0.25">
      <c r="A55" s="129">
        <v>8103</v>
      </c>
      <c r="B55" s="113">
        <f>+D14</f>
        <v>301960</v>
      </c>
      <c r="C55" s="117">
        <v>0.1215</v>
      </c>
      <c r="D55" s="113">
        <f>ROUND(B55*C55,0)</f>
        <v>36688</v>
      </c>
      <c r="E55" s="113"/>
      <c r="F55" s="113"/>
      <c r="G55" s="113"/>
      <c r="H55" s="113"/>
      <c r="I55" s="113"/>
      <c r="J55" s="113"/>
      <c r="L55" s="2"/>
    </row>
    <row r="56" spans="1:12" hidden="1" x14ac:dyDescent="0.25">
      <c r="A56" s="114" t="s">
        <v>305</v>
      </c>
      <c r="B56" s="113">
        <f>SUM(D18:D21)</f>
        <v>120308</v>
      </c>
      <c r="C56" s="117">
        <v>0.1215</v>
      </c>
      <c r="D56" s="113">
        <f>ROUND(B56*C56,0)</f>
        <v>14617</v>
      </c>
      <c r="E56" s="113"/>
      <c r="F56" s="113"/>
      <c r="G56" s="113"/>
      <c r="H56" s="113"/>
      <c r="I56" s="113"/>
      <c r="J56" s="113"/>
      <c r="L56" s="2"/>
    </row>
    <row r="57" spans="1:12" ht="15" hidden="1" x14ac:dyDescent="0.4">
      <c r="A57" s="114" t="s">
        <v>306</v>
      </c>
      <c r="B57" s="113">
        <v>0</v>
      </c>
      <c r="C57" s="117">
        <v>0.1215</v>
      </c>
      <c r="D57" s="116">
        <v>0</v>
      </c>
      <c r="E57" s="113"/>
      <c r="F57" s="113"/>
      <c r="G57" s="113"/>
      <c r="H57" s="113"/>
      <c r="I57" s="113"/>
      <c r="J57" s="113"/>
      <c r="L57" s="2"/>
    </row>
    <row r="58" spans="1:12" hidden="1" x14ac:dyDescent="0.25">
      <c r="A58" s="114" t="s">
        <v>1279</v>
      </c>
      <c r="B58" s="114"/>
      <c r="C58" s="114"/>
      <c r="D58" s="113">
        <f>SUM(D55:D57)</f>
        <v>51305</v>
      </c>
      <c r="E58" s="113"/>
      <c r="F58" s="113"/>
      <c r="G58" s="113"/>
      <c r="H58" s="113"/>
      <c r="I58" s="113"/>
      <c r="J58" s="113"/>
      <c r="L58" s="2"/>
    </row>
    <row r="59" spans="1:12" x14ac:dyDescent="0.25">
      <c r="A59" s="114"/>
      <c r="B59" s="114"/>
      <c r="C59" s="114"/>
      <c r="D59" s="113"/>
      <c r="E59" s="113"/>
      <c r="F59" s="113"/>
      <c r="G59" s="113"/>
      <c r="H59" s="113"/>
      <c r="I59" s="113"/>
      <c r="J59" s="113"/>
      <c r="L59" s="2"/>
    </row>
    <row r="60" spans="1:12" ht="13.8" x14ac:dyDescent="0.3">
      <c r="A60" s="118" t="s">
        <v>1119</v>
      </c>
      <c r="B60" s="114"/>
      <c r="C60" s="114"/>
      <c r="D60" s="113"/>
      <c r="E60" s="113">
        <v>125402</v>
      </c>
      <c r="F60" s="113">
        <v>117600</v>
      </c>
      <c r="G60" s="113">
        <v>148500</v>
      </c>
      <c r="H60" s="113">
        <v>148500</v>
      </c>
      <c r="I60" s="113">
        <v>148500</v>
      </c>
      <c r="J60" s="113">
        <v>148500</v>
      </c>
      <c r="L60" s="2"/>
    </row>
    <row r="61" spans="1:12" x14ac:dyDescent="0.25">
      <c r="A61" s="114" t="s">
        <v>438</v>
      </c>
      <c r="B61" s="113">
        <v>9</v>
      </c>
      <c r="C61" s="113">
        <v>16500</v>
      </c>
      <c r="D61" s="113">
        <f>ROUND(B61*C61,0)</f>
        <v>148500</v>
      </c>
      <c r="E61" s="113"/>
      <c r="F61" s="113"/>
      <c r="G61" s="113"/>
      <c r="H61" s="113"/>
      <c r="I61" s="113"/>
      <c r="J61" s="113"/>
      <c r="L61" s="2"/>
    </row>
    <row r="62" spans="1:12" x14ac:dyDescent="0.25">
      <c r="A62" s="114"/>
      <c r="B62" s="114"/>
      <c r="C62" s="114"/>
      <c r="D62" s="113"/>
      <c r="E62" s="113"/>
      <c r="F62" s="113"/>
      <c r="G62" s="113"/>
      <c r="H62" s="113"/>
      <c r="I62" s="113"/>
      <c r="J62" s="113"/>
      <c r="L62" s="2"/>
    </row>
    <row r="63" spans="1:12" ht="13.8" x14ac:dyDescent="0.3">
      <c r="A63" s="118" t="s">
        <v>1120</v>
      </c>
      <c r="B63" s="114"/>
      <c r="C63" s="114"/>
      <c r="D63" s="113"/>
      <c r="E63" s="113">
        <v>7974</v>
      </c>
      <c r="F63" s="113">
        <v>9360</v>
      </c>
      <c r="G63" s="113">
        <v>10530</v>
      </c>
      <c r="H63" s="113">
        <v>10530</v>
      </c>
      <c r="I63" s="113">
        <v>10530</v>
      </c>
      <c r="J63" s="113">
        <v>10530</v>
      </c>
      <c r="L63" s="2"/>
    </row>
    <row r="64" spans="1:12" x14ac:dyDescent="0.25">
      <c r="A64" s="114" t="s">
        <v>438</v>
      </c>
      <c r="B64" s="113">
        <v>9</v>
      </c>
      <c r="C64" s="113">
        <v>1300</v>
      </c>
      <c r="D64" s="113">
        <f>ROUND(B64*C64,0)</f>
        <v>11700</v>
      </c>
      <c r="E64" s="113"/>
      <c r="F64" s="113"/>
      <c r="G64" s="113"/>
      <c r="H64" s="113"/>
      <c r="I64" s="113"/>
      <c r="J64" s="113"/>
      <c r="L64" s="2"/>
    </row>
    <row r="65" spans="1:12" ht="15" x14ac:dyDescent="0.4">
      <c r="A65" s="114" t="s">
        <v>245</v>
      </c>
      <c r="B65" s="113"/>
      <c r="C65" s="113"/>
      <c r="D65" s="116">
        <f>+C64*-0.1*B64</f>
        <v>-1170</v>
      </c>
      <c r="E65" s="113"/>
      <c r="F65" s="113"/>
      <c r="G65" s="113"/>
      <c r="H65" s="113"/>
      <c r="I65" s="113"/>
      <c r="J65" s="113"/>
      <c r="L65" s="2"/>
    </row>
    <row r="66" spans="1:12" x14ac:dyDescent="0.25">
      <c r="A66" s="114" t="s">
        <v>825</v>
      </c>
      <c r="B66" s="113"/>
      <c r="C66" s="113"/>
      <c r="D66" s="113">
        <f>SUM(D64:D65)</f>
        <v>10530</v>
      </c>
      <c r="E66" s="113"/>
      <c r="F66" s="113"/>
      <c r="G66" s="113"/>
      <c r="H66" s="113"/>
      <c r="I66" s="113"/>
      <c r="J66" s="113"/>
      <c r="L66" s="2"/>
    </row>
    <row r="67" spans="1:12" x14ac:dyDescent="0.25">
      <c r="A67" s="114"/>
      <c r="B67" s="114"/>
      <c r="C67" s="114"/>
      <c r="D67" s="113"/>
      <c r="E67" s="113"/>
      <c r="F67" s="113"/>
      <c r="G67" s="113"/>
      <c r="H67" s="113"/>
      <c r="I67" s="113"/>
      <c r="J67" s="113"/>
      <c r="L67" s="2"/>
    </row>
    <row r="68" spans="1:12" ht="13.8" x14ac:dyDescent="0.3">
      <c r="A68" s="118" t="s">
        <v>1501</v>
      </c>
      <c r="B68" s="114"/>
      <c r="C68" s="114"/>
      <c r="D68" s="113"/>
      <c r="E68" s="113">
        <v>800</v>
      </c>
      <c r="F68" s="113">
        <v>1080</v>
      </c>
      <c r="G68" s="113">
        <v>1215</v>
      </c>
      <c r="H68" s="113">
        <v>1215</v>
      </c>
      <c r="I68" s="113">
        <v>1215</v>
      </c>
      <c r="J68" s="113">
        <v>1215</v>
      </c>
      <c r="L68" s="2"/>
    </row>
    <row r="69" spans="1:12" hidden="1" x14ac:dyDescent="0.25">
      <c r="A69" s="114" t="s">
        <v>433</v>
      </c>
      <c r="B69" s="113">
        <v>1</v>
      </c>
      <c r="C69" s="113">
        <v>135</v>
      </c>
      <c r="D69" s="113">
        <f>ROUND(B69*C69,0)</f>
        <v>135</v>
      </c>
      <c r="E69" s="113"/>
      <c r="F69" s="114"/>
      <c r="G69" s="114"/>
      <c r="H69" s="114"/>
      <c r="I69" s="114"/>
      <c r="J69" s="114"/>
      <c r="L69" s="2"/>
    </row>
    <row r="70" spans="1:12" hidden="1" x14ac:dyDescent="0.25">
      <c r="A70" s="114" t="s">
        <v>1502</v>
      </c>
      <c r="B70" s="113">
        <v>5</v>
      </c>
      <c r="C70" s="113">
        <v>135</v>
      </c>
      <c r="D70" s="113">
        <f>ROUND(B70*C70,0)</f>
        <v>675</v>
      </c>
      <c r="E70" s="113"/>
      <c r="F70" s="114"/>
      <c r="G70" s="114"/>
      <c r="H70" s="114"/>
      <c r="I70" s="114"/>
      <c r="J70" s="114"/>
      <c r="L70" s="2"/>
    </row>
    <row r="71" spans="1:12" ht="15" hidden="1" x14ac:dyDescent="0.4">
      <c r="A71" s="114" t="s">
        <v>1083</v>
      </c>
      <c r="B71" s="113">
        <v>3</v>
      </c>
      <c r="C71" s="113">
        <v>135</v>
      </c>
      <c r="D71" s="116">
        <f>ROUND(B71*C71,0)</f>
        <v>405</v>
      </c>
      <c r="E71" s="113"/>
      <c r="F71" s="114"/>
      <c r="G71" s="114"/>
      <c r="H71" s="114"/>
      <c r="I71" s="114"/>
      <c r="J71" s="114"/>
      <c r="L71" s="2"/>
    </row>
    <row r="72" spans="1:12" hidden="1" x14ac:dyDescent="0.25">
      <c r="A72" s="114" t="s">
        <v>1279</v>
      </c>
      <c r="B72" s="114"/>
      <c r="C72" s="114"/>
      <c r="D72" s="113">
        <f>SUM(D69:D71)</f>
        <v>1215</v>
      </c>
      <c r="E72" s="113"/>
      <c r="F72" s="114"/>
      <c r="G72" s="114"/>
      <c r="H72" s="114"/>
      <c r="I72" s="114"/>
      <c r="J72" s="114"/>
      <c r="L72" s="2"/>
    </row>
    <row r="73" spans="1:12" x14ac:dyDescent="0.25">
      <c r="A73" s="114"/>
      <c r="B73" s="114"/>
      <c r="C73" s="114"/>
      <c r="D73" s="113"/>
      <c r="E73" s="113"/>
      <c r="F73" s="114"/>
      <c r="G73" s="114"/>
      <c r="H73" s="114"/>
      <c r="I73" s="114"/>
      <c r="J73" s="114"/>
      <c r="L73" s="2"/>
    </row>
    <row r="74" spans="1:12" ht="13.8" x14ac:dyDescent="0.3">
      <c r="A74" s="118" t="s">
        <v>486</v>
      </c>
      <c r="B74" s="114"/>
      <c r="C74" s="114"/>
      <c r="D74" s="113"/>
      <c r="E74" s="113">
        <v>3872</v>
      </c>
      <c r="F74" s="113">
        <v>4080</v>
      </c>
      <c r="G74" s="113">
        <v>4590</v>
      </c>
      <c r="H74" s="113">
        <v>4590</v>
      </c>
      <c r="I74" s="113">
        <v>4590</v>
      </c>
      <c r="J74" s="113">
        <v>4590</v>
      </c>
      <c r="L74" s="2"/>
    </row>
    <row r="75" spans="1:12" hidden="1" x14ac:dyDescent="0.25">
      <c r="A75" s="114" t="s">
        <v>850</v>
      </c>
      <c r="B75" s="113">
        <v>9</v>
      </c>
      <c r="C75" s="113">
        <v>510</v>
      </c>
      <c r="D75" s="113">
        <f>ROUND(B75*C75,0)</f>
        <v>4590</v>
      </c>
      <c r="E75" s="113"/>
      <c r="F75" s="113"/>
      <c r="G75" s="113"/>
      <c r="H75" s="113"/>
      <c r="I75" s="113"/>
      <c r="J75" s="113"/>
      <c r="L75" s="2"/>
    </row>
    <row r="76" spans="1:12" x14ac:dyDescent="0.25">
      <c r="A76" s="114"/>
      <c r="B76" s="114"/>
      <c r="C76" s="114"/>
      <c r="D76" s="113"/>
      <c r="E76" s="113"/>
      <c r="F76" s="113"/>
      <c r="G76" s="113"/>
      <c r="H76" s="113"/>
      <c r="I76" s="113"/>
      <c r="J76" s="113"/>
      <c r="L76" s="2"/>
    </row>
    <row r="77" spans="1:12" ht="13.8" x14ac:dyDescent="0.3">
      <c r="A77" s="118" t="s">
        <v>208</v>
      </c>
      <c r="B77" s="114"/>
      <c r="C77" s="114"/>
      <c r="D77" s="113"/>
      <c r="E77" s="113">
        <v>1255</v>
      </c>
      <c r="F77" s="113">
        <v>1574</v>
      </c>
      <c r="G77" s="113">
        <v>1594</v>
      </c>
      <c r="H77" s="113">
        <v>1591</v>
      </c>
      <c r="I77" s="113">
        <v>1619</v>
      </c>
      <c r="J77" s="113">
        <v>1619</v>
      </c>
      <c r="L77" s="2"/>
    </row>
    <row r="78" spans="1:12" hidden="1" x14ac:dyDescent="0.25">
      <c r="A78" s="120" t="s">
        <v>1511</v>
      </c>
      <c r="B78" s="113">
        <f>+B49</f>
        <v>301960</v>
      </c>
      <c r="C78" s="117">
        <v>1.6999999999999999E-3</v>
      </c>
      <c r="D78" s="113">
        <f>ROUND(B78*C78,0)</f>
        <v>513</v>
      </c>
      <c r="E78" s="113"/>
      <c r="F78" s="113"/>
      <c r="G78" s="113"/>
      <c r="H78" s="113"/>
      <c r="I78" s="113"/>
      <c r="J78" s="113"/>
      <c r="L78" s="2"/>
    </row>
    <row r="79" spans="1:12" hidden="1" x14ac:dyDescent="0.25">
      <c r="A79" s="120" t="s">
        <v>831</v>
      </c>
      <c r="B79" s="113">
        <f>+B50</f>
        <v>265937</v>
      </c>
      <c r="C79" s="117">
        <v>1.6999999999999999E-3</v>
      </c>
      <c r="D79" s="113">
        <f>ROUND(B79*C79,0)</f>
        <v>452</v>
      </c>
      <c r="E79" s="113"/>
      <c r="F79" s="113"/>
      <c r="G79" s="113"/>
      <c r="H79" s="113"/>
      <c r="I79" s="113"/>
      <c r="J79" s="113"/>
      <c r="L79" s="2"/>
    </row>
    <row r="80" spans="1:12" ht="15" hidden="1" x14ac:dyDescent="0.4">
      <c r="A80" s="120" t="s">
        <v>201</v>
      </c>
      <c r="B80" s="113">
        <f>SUM(D46)</f>
        <v>34614</v>
      </c>
      <c r="C80" s="117">
        <v>1.89E-2</v>
      </c>
      <c r="D80" s="116">
        <f>ROUND(B80*C80,0)</f>
        <v>654</v>
      </c>
      <c r="E80" s="113"/>
      <c r="F80" s="113"/>
      <c r="G80" s="113"/>
      <c r="H80" s="113"/>
      <c r="I80" s="113"/>
      <c r="J80" s="113"/>
      <c r="L80" s="2"/>
    </row>
    <row r="81" spans="1:12" hidden="1" x14ac:dyDescent="0.25">
      <c r="A81" s="114" t="s">
        <v>1279</v>
      </c>
      <c r="B81" s="114"/>
      <c r="C81" s="114"/>
      <c r="D81" s="113">
        <f>SUM(D78:D80)</f>
        <v>1619</v>
      </c>
      <c r="E81" s="113"/>
      <c r="F81" s="113"/>
      <c r="G81" s="113"/>
      <c r="H81" s="113"/>
      <c r="I81" s="113"/>
      <c r="J81" s="113"/>
      <c r="L81" s="2"/>
    </row>
    <row r="82" spans="1:12" x14ac:dyDescent="0.25">
      <c r="A82" s="114"/>
      <c r="B82" s="114"/>
      <c r="C82" s="114"/>
      <c r="D82" s="113"/>
      <c r="E82" s="113"/>
      <c r="F82" s="113"/>
      <c r="G82" s="113"/>
      <c r="H82" s="113"/>
      <c r="I82" s="113"/>
      <c r="J82" s="113"/>
      <c r="L82" s="2"/>
    </row>
    <row r="83" spans="1:12" ht="13.8" x14ac:dyDescent="0.3">
      <c r="A83" s="118" t="s">
        <v>209</v>
      </c>
      <c r="B83" s="114"/>
      <c r="C83" s="114"/>
      <c r="D83" s="113"/>
      <c r="E83" s="113">
        <v>655</v>
      </c>
      <c r="F83" s="113">
        <v>993</v>
      </c>
      <c r="G83" s="113">
        <v>654</v>
      </c>
      <c r="H83" s="113">
        <v>654</v>
      </c>
      <c r="I83" s="113">
        <v>693</v>
      </c>
      <c r="J83" s="113">
        <v>693</v>
      </c>
      <c r="L83" s="2"/>
    </row>
    <row r="84" spans="1:12" hidden="1" x14ac:dyDescent="0.25">
      <c r="A84" s="120" t="s">
        <v>1511</v>
      </c>
      <c r="B84" s="113">
        <v>4</v>
      </c>
      <c r="C84" s="113">
        <v>35</v>
      </c>
      <c r="D84" s="113">
        <f t="shared" ref="D84:D89" si="1">ROUND(B84*C84,0)</f>
        <v>140</v>
      </c>
      <c r="E84" s="113"/>
      <c r="F84" s="113"/>
      <c r="G84" s="113"/>
      <c r="H84" s="113"/>
      <c r="I84" s="113"/>
      <c r="J84" s="113"/>
      <c r="L84" s="2"/>
    </row>
    <row r="85" spans="1:12" hidden="1" x14ac:dyDescent="0.25">
      <c r="A85" s="120" t="s">
        <v>305</v>
      </c>
      <c r="B85" s="113">
        <v>4</v>
      </c>
      <c r="C85" s="113">
        <v>35</v>
      </c>
      <c r="D85" s="113">
        <f t="shared" si="1"/>
        <v>140</v>
      </c>
      <c r="E85" s="113"/>
      <c r="F85" s="113"/>
      <c r="G85" s="113"/>
      <c r="H85" s="113"/>
      <c r="I85" s="113"/>
      <c r="J85" s="113"/>
      <c r="L85" s="2"/>
    </row>
    <row r="86" spans="1:12" hidden="1" x14ac:dyDescent="0.25">
      <c r="A86" s="114" t="s">
        <v>314</v>
      </c>
      <c r="B86" s="113">
        <v>2</v>
      </c>
      <c r="C86" s="113">
        <v>35</v>
      </c>
      <c r="D86" s="113">
        <f t="shared" si="1"/>
        <v>70</v>
      </c>
      <c r="E86" s="113"/>
      <c r="F86" s="113"/>
      <c r="G86" s="113"/>
      <c r="H86" s="113"/>
      <c r="I86" s="113"/>
      <c r="J86" s="113"/>
      <c r="L86" s="2"/>
    </row>
    <row r="87" spans="1:12" hidden="1" x14ac:dyDescent="0.25">
      <c r="A87" s="114" t="s">
        <v>613</v>
      </c>
      <c r="B87" s="113">
        <f>+D23+D24+D27+D29+D30+D33+D34+D35+D37+D32+D25+D38+D28</f>
        <v>110053</v>
      </c>
      <c r="C87" s="117">
        <v>2.5000000000000001E-3</v>
      </c>
      <c r="D87" s="113">
        <f t="shared" si="1"/>
        <v>275</v>
      </c>
      <c r="E87" s="113"/>
      <c r="F87" s="113"/>
      <c r="G87" s="113"/>
      <c r="H87" s="113"/>
      <c r="I87" s="113"/>
      <c r="J87" s="113"/>
      <c r="L87" s="2"/>
    </row>
    <row r="88" spans="1:12" hidden="1" x14ac:dyDescent="0.25">
      <c r="A88" s="114" t="s">
        <v>306</v>
      </c>
      <c r="B88" s="113">
        <v>1</v>
      </c>
      <c r="C88" s="113">
        <v>35</v>
      </c>
      <c r="D88" s="113">
        <f t="shared" si="1"/>
        <v>35</v>
      </c>
      <c r="E88" s="113"/>
      <c r="F88" s="113"/>
      <c r="G88" s="113"/>
      <c r="H88" s="113"/>
      <c r="I88" s="113"/>
      <c r="J88" s="113"/>
      <c r="L88" s="2"/>
    </row>
    <row r="89" spans="1:12" ht="15" hidden="1" x14ac:dyDescent="0.4">
      <c r="A89" s="120" t="s">
        <v>282</v>
      </c>
      <c r="B89" s="113">
        <f>+D44</f>
        <v>13333</v>
      </c>
      <c r="C89" s="117">
        <v>2.5000000000000001E-3</v>
      </c>
      <c r="D89" s="116">
        <f t="shared" si="1"/>
        <v>33</v>
      </c>
      <c r="E89" s="113"/>
      <c r="F89" s="114"/>
      <c r="G89" s="114"/>
      <c r="H89" s="114"/>
      <c r="I89" s="114"/>
      <c r="J89" s="114"/>
      <c r="L89" s="2"/>
    </row>
    <row r="90" spans="1:12" hidden="1" x14ac:dyDescent="0.25">
      <c r="A90" s="114" t="s">
        <v>1279</v>
      </c>
      <c r="B90" s="114"/>
      <c r="C90" s="114"/>
      <c r="D90" s="113">
        <f>SUM(D84:D89)</f>
        <v>693</v>
      </c>
      <c r="E90" s="113"/>
      <c r="F90" s="114"/>
      <c r="G90" s="114"/>
      <c r="H90" s="114"/>
      <c r="I90" s="114"/>
      <c r="J90" s="114"/>
      <c r="L90" s="2"/>
    </row>
    <row r="91" spans="1:12" x14ac:dyDescent="0.25">
      <c r="A91" s="114"/>
      <c r="B91" s="114"/>
      <c r="C91" s="114"/>
      <c r="D91" s="113"/>
      <c r="E91" s="113"/>
      <c r="F91" s="114"/>
      <c r="G91" s="114"/>
      <c r="H91" s="114"/>
      <c r="I91" s="114"/>
      <c r="J91" s="114"/>
      <c r="L91" s="2"/>
    </row>
    <row r="92" spans="1:12" ht="13.8" x14ac:dyDescent="0.3">
      <c r="A92" s="118" t="s">
        <v>1931</v>
      </c>
      <c r="B92" s="114"/>
      <c r="C92" s="114"/>
      <c r="D92" s="113"/>
      <c r="E92" s="113">
        <v>0</v>
      </c>
      <c r="F92" s="114">
        <v>1500</v>
      </c>
      <c r="G92" s="114">
        <v>1500</v>
      </c>
      <c r="H92" s="114">
        <v>1500</v>
      </c>
      <c r="I92" s="114">
        <v>1500</v>
      </c>
      <c r="J92" s="114">
        <v>1500</v>
      </c>
      <c r="L92" s="2"/>
    </row>
    <row r="93" spans="1:12" hidden="1" x14ac:dyDescent="0.25">
      <c r="A93" s="114" t="s">
        <v>196</v>
      </c>
      <c r="B93" s="114"/>
      <c r="C93" s="114"/>
      <c r="D93" s="113"/>
      <c r="E93" s="113"/>
      <c r="I93" s="209"/>
      <c r="J93" s="213"/>
      <c r="L93" s="2">
        <f>+I93-J93</f>
        <v>0</v>
      </c>
    </row>
    <row r="94" spans="1:12" x14ac:dyDescent="0.25">
      <c r="A94" s="114"/>
      <c r="B94" s="114"/>
      <c r="C94" s="114"/>
      <c r="D94" s="113"/>
      <c r="E94" s="113"/>
      <c r="F94" s="114"/>
      <c r="G94" s="114"/>
      <c r="H94" s="114"/>
      <c r="I94" s="114"/>
      <c r="J94" s="114"/>
      <c r="L94" s="2"/>
    </row>
    <row r="95" spans="1:12" ht="13.8" x14ac:dyDescent="0.3">
      <c r="A95" s="118" t="s">
        <v>283</v>
      </c>
      <c r="B95" s="114"/>
      <c r="C95" s="114"/>
      <c r="D95" s="113"/>
      <c r="E95" s="113">
        <v>8113</v>
      </c>
      <c r="F95" s="113">
        <v>6800</v>
      </c>
      <c r="G95" s="113">
        <v>6800</v>
      </c>
      <c r="H95" s="113">
        <v>6800</v>
      </c>
      <c r="I95" s="113">
        <v>6800</v>
      </c>
      <c r="J95" s="113">
        <v>6800</v>
      </c>
      <c r="L95" s="2"/>
    </row>
    <row r="96" spans="1:12" x14ac:dyDescent="0.25">
      <c r="A96" s="119" t="s">
        <v>546</v>
      </c>
      <c r="B96" s="119"/>
      <c r="C96" s="113"/>
      <c r="D96" s="113">
        <v>2000</v>
      </c>
      <c r="E96" s="113"/>
      <c r="F96" s="113"/>
      <c r="G96" s="113"/>
      <c r="H96" s="113"/>
      <c r="I96" s="113"/>
      <c r="J96" s="113"/>
      <c r="L96" s="2"/>
    </row>
    <row r="97" spans="1:12" x14ac:dyDescent="0.25">
      <c r="A97" s="119" t="s">
        <v>547</v>
      </c>
      <c r="B97" s="119"/>
      <c r="C97" s="113"/>
      <c r="D97" s="113">
        <v>2800</v>
      </c>
      <c r="E97" s="113"/>
      <c r="F97" s="113"/>
      <c r="G97" s="113"/>
      <c r="H97" s="113"/>
      <c r="I97" s="113"/>
      <c r="J97" s="113"/>
      <c r="L97" s="2"/>
    </row>
    <row r="98" spans="1:12" ht="15" x14ac:dyDescent="0.4">
      <c r="A98" s="119" t="s">
        <v>249</v>
      </c>
      <c r="B98" s="119"/>
      <c r="C98" s="116"/>
      <c r="D98" s="116">
        <v>2000</v>
      </c>
      <c r="E98" s="113"/>
      <c r="F98" s="113"/>
      <c r="G98" s="113"/>
      <c r="H98" s="113"/>
      <c r="I98" s="113"/>
      <c r="J98" s="113"/>
      <c r="L98" s="2"/>
    </row>
    <row r="99" spans="1:12" x14ac:dyDescent="0.25">
      <c r="A99" s="119" t="s">
        <v>1279</v>
      </c>
      <c r="B99" s="119"/>
      <c r="C99" s="113"/>
      <c r="D99" s="113">
        <f>SUM(D96:D98)</f>
        <v>6800</v>
      </c>
      <c r="E99" s="113"/>
      <c r="F99" s="113"/>
      <c r="G99" s="113"/>
      <c r="H99" s="113"/>
      <c r="I99" s="113"/>
      <c r="J99" s="113"/>
      <c r="L99" s="2"/>
    </row>
    <row r="100" spans="1:12" x14ac:dyDescent="0.25">
      <c r="A100" s="119"/>
      <c r="B100" s="119"/>
      <c r="C100" s="113"/>
      <c r="D100" s="113"/>
      <c r="E100" s="113"/>
      <c r="F100" s="113"/>
      <c r="G100" s="113"/>
      <c r="H100" s="113"/>
      <c r="I100" s="113"/>
      <c r="J100" s="113"/>
      <c r="L100" s="2"/>
    </row>
    <row r="101" spans="1:12" ht="13.8" x14ac:dyDescent="0.3">
      <c r="A101" s="118" t="s">
        <v>25</v>
      </c>
      <c r="B101" s="114"/>
      <c r="C101" s="113" t="s">
        <v>417</v>
      </c>
      <c r="D101" s="113" t="s">
        <v>417</v>
      </c>
      <c r="E101" s="113">
        <v>4211</v>
      </c>
      <c r="F101" s="113">
        <v>3000</v>
      </c>
      <c r="G101" s="113">
        <v>4000</v>
      </c>
      <c r="H101" s="113">
        <v>4000</v>
      </c>
      <c r="I101" s="113">
        <v>4000</v>
      </c>
      <c r="J101" s="113">
        <v>4000</v>
      </c>
    </row>
    <row r="102" spans="1:12" x14ac:dyDescent="0.25">
      <c r="A102" s="114" t="s">
        <v>1048</v>
      </c>
      <c r="B102" s="114"/>
      <c r="C102" s="113"/>
      <c r="D102" s="113">
        <v>4000</v>
      </c>
      <c r="E102" s="113"/>
      <c r="F102" s="113"/>
      <c r="G102" s="113"/>
      <c r="H102" s="113"/>
      <c r="I102" s="113"/>
      <c r="J102" s="113"/>
    </row>
    <row r="103" spans="1:12" x14ac:dyDescent="0.25">
      <c r="A103" s="114" t="s">
        <v>417</v>
      </c>
      <c r="B103" s="114"/>
      <c r="C103" s="113"/>
      <c r="D103" s="113" t="s">
        <v>417</v>
      </c>
      <c r="E103" s="113"/>
      <c r="F103" s="113"/>
      <c r="G103" s="113"/>
      <c r="H103" s="113"/>
      <c r="I103" s="113"/>
      <c r="J103" s="113"/>
    </row>
    <row r="104" spans="1:12" ht="13.8" x14ac:dyDescent="0.3">
      <c r="A104" s="118" t="s">
        <v>250</v>
      </c>
      <c r="B104" s="114"/>
      <c r="C104" s="113"/>
      <c r="D104" s="113"/>
      <c r="E104" s="113">
        <v>1100</v>
      </c>
      <c r="F104" s="113">
        <v>750</v>
      </c>
      <c r="G104" s="113">
        <v>875</v>
      </c>
      <c r="H104" s="113">
        <v>875</v>
      </c>
      <c r="I104" s="113">
        <v>875</v>
      </c>
      <c r="J104" s="113">
        <v>875</v>
      </c>
    </row>
    <row r="105" spans="1:12" x14ac:dyDescent="0.25">
      <c r="A105" s="114" t="s">
        <v>1680</v>
      </c>
      <c r="B105" s="114"/>
      <c r="C105" s="113"/>
      <c r="D105" s="113">
        <v>875</v>
      </c>
      <c r="E105" s="113"/>
      <c r="F105" s="113"/>
      <c r="G105" s="113"/>
      <c r="H105" s="113"/>
      <c r="I105" s="113"/>
      <c r="J105" s="113"/>
    </row>
    <row r="106" spans="1:12" x14ac:dyDescent="0.25">
      <c r="A106" s="114"/>
      <c r="B106" s="114"/>
      <c r="C106" s="113"/>
      <c r="E106" s="113"/>
      <c r="F106" s="113"/>
      <c r="G106" s="113"/>
      <c r="H106" s="113"/>
      <c r="I106" s="113"/>
      <c r="J106" s="113"/>
    </row>
    <row r="107" spans="1:12" ht="13.8" x14ac:dyDescent="0.3">
      <c r="A107" s="118" t="s">
        <v>1421</v>
      </c>
      <c r="B107" s="114"/>
      <c r="C107" s="113"/>
      <c r="D107" s="113" t="s">
        <v>417</v>
      </c>
      <c r="E107" s="113">
        <v>12551</v>
      </c>
      <c r="F107" s="113">
        <v>14575</v>
      </c>
      <c r="G107" s="113">
        <v>14250</v>
      </c>
      <c r="H107" s="113">
        <v>14250</v>
      </c>
      <c r="I107" s="113">
        <v>14250</v>
      </c>
      <c r="J107" s="113">
        <v>14250</v>
      </c>
    </row>
    <row r="108" spans="1:12" x14ac:dyDescent="0.25">
      <c r="A108" s="114" t="s">
        <v>1422</v>
      </c>
      <c r="B108" s="114"/>
      <c r="C108" s="113"/>
      <c r="D108" s="113">
        <v>14250</v>
      </c>
      <c r="E108" s="113"/>
      <c r="F108" s="113"/>
      <c r="G108" s="113"/>
      <c r="H108" s="113"/>
      <c r="I108" s="113"/>
      <c r="J108" s="113"/>
    </row>
    <row r="109" spans="1:12" x14ac:dyDescent="0.25">
      <c r="A109" s="114" t="s">
        <v>417</v>
      </c>
      <c r="B109" s="114"/>
      <c r="C109" s="114"/>
      <c r="D109" s="113" t="s">
        <v>417</v>
      </c>
      <c r="E109" s="113"/>
      <c r="F109" s="113"/>
      <c r="G109" s="113"/>
      <c r="H109" s="113"/>
      <c r="I109" s="113"/>
      <c r="J109" s="113"/>
    </row>
    <row r="110" spans="1:12" ht="13.8" x14ac:dyDescent="0.3">
      <c r="A110" s="118" t="s">
        <v>413</v>
      </c>
      <c r="B110" s="114"/>
      <c r="C110" s="114"/>
      <c r="D110" s="113"/>
      <c r="E110" s="113">
        <v>6031</v>
      </c>
      <c r="F110" s="113">
        <v>6962</v>
      </c>
      <c r="G110" s="113">
        <v>6000</v>
      </c>
      <c r="H110" s="113">
        <v>6000</v>
      </c>
      <c r="I110" s="113">
        <v>6000</v>
      </c>
      <c r="J110" s="113">
        <v>6000</v>
      </c>
    </row>
    <row r="111" spans="1:12" x14ac:dyDescent="0.25">
      <c r="A111" s="114" t="s">
        <v>1422</v>
      </c>
      <c r="B111" s="114"/>
      <c r="C111" s="114"/>
      <c r="D111" s="113">
        <v>6000</v>
      </c>
      <c r="E111" s="113"/>
      <c r="F111" s="113"/>
      <c r="G111" s="113"/>
      <c r="H111" s="113"/>
      <c r="I111" s="113"/>
      <c r="J111" s="113"/>
    </row>
    <row r="112" spans="1:12" x14ac:dyDescent="0.25">
      <c r="A112" s="114"/>
      <c r="B112" s="114"/>
      <c r="C112" s="114"/>
      <c r="D112" s="113"/>
      <c r="E112" s="113"/>
      <c r="F112" s="113"/>
      <c r="G112" s="113"/>
      <c r="H112" s="113"/>
      <c r="I112" s="113"/>
      <c r="J112" s="113"/>
    </row>
    <row r="113" spans="1:10" ht="13.8" x14ac:dyDescent="0.3">
      <c r="A113" s="118" t="s">
        <v>1208</v>
      </c>
      <c r="B113" s="114"/>
      <c r="C113" s="114"/>
      <c r="D113" s="113"/>
      <c r="E113" s="113">
        <v>1220</v>
      </c>
      <c r="F113" s="113">
        <v>1540</v>
      </c>
      <c r="G113" s="113">
        <v>1325</v>
      </c>
      <c r="H113" s="113">
        <v>1325</v>
      </c>
      <c r="I113" s="113">
        <v>1325</v>
      </c>
      <c r="J113" s="113">
        <v>1325</v>
      </c>
    </row>
    <row r="114" spans="1:10" x14ac:dyDescent="0.25">
      <c r="A114" s="114" t="s">
        <v>1422</v>
      </c>
      <c r="B114" s="114"/>
      <c r="C114" s="113"/>
      <c r="D114" s="113">
        <v>1325</v>
      </c>
      <c r="E114" s="113"/>
      <c r="F114" s="113"/>
      <c r="G114" s="113"/>
      <c r="H114" s="113"/>
      <c r="I114" s="113"/>
      <c r="J114" s="113"/>
    </row>
    <row r="115" spans="1:10" x14ac:dyDescent="0.25">
      <c r="A115" s="114"/>
      <c r="B115" s="114"/>
      <c r="C115" s="113"/>
      <c r="D115" s="113"/>
      <c r="E115" s="113"/>
      <c r="F115" s="113"/>
      <c r="G115" s="113"/>
      <c r="H115" s="113"/>
      <c r="I115" s="113"/>
      <c r="J115" s="113"/>
    </row>
    <row r="116" spans="1:10" ht="13.8" x14ac:dyDescent="0.3">
      <c r="A116" s="118" t="s">
        <v>1209</v>
      </c>
      <c r="B116" s="114"/>
      <c r="C116" s="113"/>
      <c r="D116" s="113"/>
      <c r="E116" s="113">
        <v>226</v>
      </c>
      <c r="F116" s="113">
        <v>226</v>
      </c>
      <c r="G116" s="113">
        <v>242</v>
      </c>
      <c r="H116" s="113">
        <v>242</v>
      </c>
      <c r="I116" s="113">
        <v>242</v>
      </c>
      <c r="J116" s="113">
        <v>242</v>
      </c>
    </row>
    <row r="117" spans="1:10" x14ac:dyDescent="0.25">
      <c r="A117" s="114" t="s">
        <v>1422</v>
      </c>
      <c r="B117" s="114"/>
      <c r="C117" s="113"/>
      <c r="D117" s="113">
        <v>242</v>
      </c>
      <c r="E117" s="113"/>
      <c r="F117" s="113"/>
      <c r="G117" s="113"/>
      <c r="H117" s="113"/>
      <c r="I117" s="113"/>
      <c r="J117" s="113"/>
    </row>
    <row r="118" spans="1:10" x14ac:dyDescent="0.25">
      <c r="A118" s="114"/>
      <c r="B118" s="114"/>
      <c r="C118" s="113"/>
      <c r="D118" s="113"/>
      <c r="E118" s="113"/>
      <c r="F118" s="113"/>
      <c r="G118" s="113"/>
      <c r="H118" s="113"/>
      <c r="I118" s="113"/>
      <c r="J118" s="113"/>
    </row>
    <row r="119" spans="1:10" ht="13.8" x14ac:dyDescent="0.3">
      <c r="A119" s="118" t="s">
        <v>1952</v>
      </c>
      <c r="B119" s="114"/>
      <c r="C119" s="113"/>
      <c r="D119" s="113"/>
      <c r="E119" s="113">
        <v>6761</v>
      </c>
      <c r="F119" s="113">
        <v>5600</v>
      </c>
      <c r="G119" s="113">
        <v>5600</v>
      </c>
      <c r="H119" s="113">
        <v>5600</v>
      </c>
      <c r="I119" s="113">
        <v>5600</v>
      </c>
      <c r="J119" s="113">
        <v>5600</v>
      </c>
    </row>
    <row r="120" spans="1:10" x14ac:dyDescent="0.25">
      <c r="A120" s="120" t="s">
        <v>1953</v>
      </c>
      <c r="B120" s="114"/>
      <c r="C120" s="113"/>
      <c r="D120" s="113">
        <v>2975</v>
      </c>
      <c r="E120" s="113"/>
      <c r="F120" s="113"/>
      <c r="G120" s="113"/>
      <c r="H120" s="113"/>
      <c r="I120" s="113"/>
      <c r="J120" s="113"/>
    </row>
    <row r="121" spans="1:10" x14ac:dyDescent="0.25">
      <c r="A121" s="114" t="s">
        <v>2234</v>
      </c>
      <c r="B121" s="114"/>
      <c r="C121" s="113"/>
      <c r="D121" s="113"/>
      <c r="E121" s="113"/>
      <c r="F121" s="113"/>
      <c r="G121" s="113"/>
      <c r="H121" s="113"/>
      <c r="I121" s="113"/>
      <c r="J121" s="113"/>
    </row>
    <row r="122" spans="1:10" x14ac:dyDescent="0.25">
      <c r="A122" s="120" t="s">
        <v>1954</v>
      </c>
      <c r="B122" s="114"/>
      <c r="C122" s="113"/>
      <c r="D122" s="113">
        <v>749</v>
      </c>
      <c r="E122" s="113"/>
      <c r="F122" s="113"/>
      <c r="G122" s="113"/>
      <c r="H122" s="113"/>
      <c r="I122" s="113"/>
      <c r="J122" s="113"/>
    </row>
    <row r="123" spans="1:10" x14ac:dyDescent="0.25">
      <c r="A123" s="114" t="s">
        <v>1106</v>
      </c>
      <c r="B123" s="114"/>
      <c r="C123" s="113"/>
      <c r="D123" s="113">
        <v>736</v>
      </c>
      <c r="E123" s="113"/>
      <c r="F123" s="113"/>
      <c r="G123" s="113"/>
      <c r="H123" s="113"/>
      <c r="I123" s="113"/>
      <c r="J123" s="113"/>
    </row>
    <row r="124" spans="1:10" x14ac:dyDescent="0.25">
      <c r="A124" s="114" t="s">
        <v>1371</v>
      </c>
      <c r="B124" s="114"/>
      <c r="C124" s="113"/>
      <c r="D124" s="113">
        <v>417</v>
      </c>
      <c r="E124" s="113"/>
      <c r="F124" s="113"/>
      <c r="G124" s="113"/>
      <c r="H124" s="113"/>
      <c r="I124" s="113"/>
      <c r="J124" s="113"/>
    </row>
    <row r="125" spans="1:10" ht="15" x14ac:dyDescent="0.4">
      <c r="A125" s="114" t="s">
        <v>1955</v>
      </c>
      <c r="B125" s="114"/>
      <c r="C125" s="116"/>
      <c r="D125" s="116">
        <v>723</v>
      </c>
      <c r="E125" s="113"/>
      <c r="F125" s="113"/>
      <c r="G125" s="113"/>
      <c r="H125" s="113"/>
      <c r="I125" s="113"/>
      <c r="J125" s="113"/>
    </row>
    <row r="126" spans="1:10" x14ac:dyDescent="0.25">
      <c r="A126" s="114" t="s">
        <v>1279</v>
      </c>
      <c r="B126" s="114"/>
      <c r="C126" s="113"/>
      <c r="D126" s="113">
        <f>SUM(D120:D125)</f>
        <v>5600</v>
      </c>
      <c r="E126" s="113"/>
      <c r="F126" s="113"/>
      <c r="G126" s="113"/>
      <c r="H126" s="113"/>
      <c r="I126" s="113"/>
      <c r="J126" s="113"/>
    </row>
    <row r="127" spans="1:10" x14ac:dyDescent="0.25">
      <c r="A127" s="114"/>
      <c r="B127" s="114"/>
      <c r="C127" s="113"/>
      <c r="D127" s="113"/>
      <c r="E127" s="113"/>
      <c r="F127" s="113"/>
      <c r="G127" s="113"/>
      <c r="H127" s="113"/>
      <c r="I127" s="113"/>
      <c r="J127" s="113"/>
    </row>
    <row r="128" spans="1:10" ht="13.8" x14ac:dyDescent="0.3">
      <c r="A128" s="118" t="s">
        <v>1301</v>
      </c>
      <c r="B128" s="114"/>
      <c r="C128" s="113"/>
      <c r="D128" s="113"/>
      <c r="E128" s="113">
        <v>554</v>
      </c>
      <c r="F128" s="113">
        <v>1000</v>
      </c>
      <c r="G128" s="113">
        <v>1000</v>
      </c>
      <c r="H128" s="113">
        <v>1000</v>
      </c>
      <c r="I128" s="113">
        <v>1000</v>
      </c>
      <c r="J128" s="113">
        <v>1000</v>
      </c>
    </row>
    <row r="129" spans="1:10" x14ac:dyDescent="0.25">
      <c r="A129" s="114" t="s">
        <v>1302</v>
      </c>
      <c r="B129" s="114"/>
      <c r="C129" s="113"/>
      <c r="D129" s="113">
        <v>280</v>
      </c>
      <c r="E129" s="113"/>
      <c r="F129" s="113"/>
      <c r="G129" s="113"/>
      <c r="H129" s="113"/>
      <c r="I129" s="113"/>
      <c r="J129" s="113"/>
    </row>
    <row r="130" spans="1:10" x14ac:dyDescent="0.25">
      <c r="A130" s="114" t="s">
        <v>1303</v>
      </c>
      <c r="B130" s="114"/>
      <c r="C130" s="113"/>
      <c r="D130" s="113">
        <v>210</v>
      </c>
      <c r="E130" s="113"/>
      <c r="F130" s="113"/>
      <c r="G130" s="113"/>
      <c r="H130" s="113"/>
      <c r="I130" s="113"/>
      <c r="J130" s="113"/>
    </row>
    <row r="131" spans="1:10" x14ac:dyDescent="0.25">
      <c r="A131" s="114" t="s">
        <v>1304</v>
      </c>
      <c r="B131" s="114"/>
      <c r="C131" s="113"/>
      <c r="D131" s="113">
        <v>410</v>
      </c>
      <c r="E131" s="113"/>
      <c r="F131" s="113"/>
      <c r="G131" s="113"/>
      <c r="H131" s="113"/>
      <c r="I131" s="113"/>
      <c r="J131" s="113"/>
    </row>
    <row r="132" spans="1:10" ht="15" x14ac:dyDescent="0.4">
      <c r="A132" s="114" t="s">
        <v>1034</v>
      </c>
      <c r="B132" s="114"/>
      <c r="C132" s="113"/>
      <c r="D132" s="116">
        <v>100</v>
      </c>
      <c r="E132" s="113"/>
      <c r="F132" s="113"/>
      <c r="G132" s="113"/>
      <c r="H132" s="113"/>
      <c r="I132" s="113"/>
      <c r="J132" s="113"/>
    </row>
    <row r="133" spans="1:10" x14ac:dyDescent="0.25">
      <c r="A133" s="114" t="s">
        <v>1279</v>
      </c>
      <c r="B133" s="114"/>
      <c r="C133" s="113"/>
      <c r="D133" s="113">
        <f>SUM(D129:D132)</f>
        <v>1000</v>
      </c>
      <c r="E133" s="113"/>
      <c r="F133" s="113"/>
      <c r="G133" s="113"/>
      <c r="H133" s="113"/>
      <c r="I133" s="113"/>
      <c r="J133" s="113"/>
    </row>
    <row r="134" spans="1:10" x14ac:dyDescent="0.25">
      <c r="A134" s="114" t="s">
        <v>417</v>
      </c>
      <c r="B134" s="113" t="s">
        <v>417</v>
      </c>
      <c r="C134" s="113"/>
      <c r="D134" s="113" t="s">
        <v>417</v>
      </c>
      <c r="E134" s="113"/>
      <c r="F134" s="113"/>
      <c r="G134" s="113"/>
      <c r="H134" s="113"/>
      <c r="I134" s="113"/>
      <c r="J134" s="113"/>
    </row>
    <row r="135" spans="1:10" ht="13.8" x14ac:dyDescent="0.3">
      <c r="A135" s="121" t="s">
        <v>521</v>
      </c>
      <c r="B135" s="114"/>
      <c r="C135" s="113"/>
      <c r="D135" s="113"/>
      <c r="E135" s="113">
        <v>9575</v>
      </c>
      <c r="F135" s="113">
        <v>10953</v>
      </c>
      <c r="G135" s="113">
        <v>11270</v>
      </c>
      <c r="H135" s="113">
        <v>10593</v>
      </c>
      <c r="I135" s="113">
        <v>10593</v>
      </c>
      <c r="J135" s="113">
        <v>10593</v>
      </c>
    </row>
    <row r="136" spans="1:10" hidden="1" x14ac:dyDescent="0.25">
      <c r="A136" s="114" t="s">
        <v>1515</v>
      </c>
      <c r="B136" s="114"/>
      <c r="C136" s="113"/>
      <c r="D136" s="113">
        <v>10953</v>
      </c>
      <c r="E136" s="113"/>
      <c r="F136" s="113"/>
      <c r="G136" s="113"/>
      <c r="H136" s="113"/>
      <c r="I136" s="113"/>
      <c r="J136" s="113"/>
    </row>
    <row r="137" spans="1:10" x14ac:dyDescent="0.25">
      <c r="A137" s="114"/>
      <c r="B137" s="114"/>
      <c r="C137" s="113"/>
      <c r="D137" s="113"/>
      <c r="E137" s="113"/>
      <c r="F137" s="113"/>
      <c r="G137" s="113"/>
      <c r="H137" s="113"/>
      <c r="I137" s="113"/>
      <c r="J137" s="113"/>
    </row>
    <row r="138" spans="1:10" ht="13.8" x14ac:dyDescent="0.3">
      <c r="A138" s="118" t="s">
        <v>1222</v>
      </c>
      <c r="B138" s="114"/>
      <c r="C138" s="113"/>
      <c r="D138" s="113"/>
      <c r="E138" s="113">
        <v>5949</v>
      </c>
      <c r="F138" s="113">
        <v>5000</v>
      </c>
      <c r="G138" s="113">
        <v>6000</v>
      </c>
      <c r="H138" s="113">
        <v>6000</v>
      </c>
      <c r="I138" s="113">
        <v>6000</v>
      </c>
      <c r="J138" s="113">
        <v>6000</v>
      </c>
    </row>
    <row r="139" spans="1:10" x14ac:dyDescent="0.25">
      <c r="A139" s="114" t="s">
        <v>1681</v>
      </c>
      <c r="B139" s="114"/>
      <c r="C139" s="113"/>
      <c r="D139" s="113">
        <v>3150</v>
      </c>
      <c r="E139" s="113"/>
      <c r="F139" s="113"/>
      <c r="G139" s="113"/>
      <c r="H139" s="113"/>
      <c r="I139" s="113"/>
      <c r="J139" s="113"/>
    </row>
    <row r="140" spans="1:10" ht="15" x14ac:dyDescent="0.4">
      <c r="A140" s="114" t="s">
        <v>1682</v>
      </c>
      <c r="B140" s="114"/>
      <c r="C140" s="116"/>
      <c r="D140" s="116">
        <v>2850</v>
      </c>
      <c r="E140" s="113"/>
      <c r="F140" s="113"/>
      <c r="G140" s="113"/>
      <c r="H140" s="113"/>
      <c r="I140" s="113"/>
      <c r="J140" s="113"/>
    </row>
    <row r="141" spans="1:10" x14ac:dyDescent="0.25">
      <c r="A141" s="114" t="s">
        <v>273</v>
      </c>
      <c r="B141" s="114"/>
      <c r="C141" s="113"/>
      <c r="D141" s="113">
        <f>SUM(D139:D140)</f>
        <v>6000</v>
      </c>
      <c r="E141" s="113"/>
      <c r="F141" s="113"/>
      <c r="G141" s="113"/>
      <c r="H141" s="113"/>
      <c r="I141" s="113"/>
      <c r="J141" s="113"/>
    </row>
    <row r="142" spans="1:10" x14ac:dyDescent="0.25">
      <c r="A142" s="114"/>
      <c r="B142" s="114"/>
      <c r="C142" s="113"/>
      <c r="D142" s="113"/>
      <c r="E142" s="113"/>
      <c r="F142" s="113"/>
      <c r="G142" s="113"/>
      <c r="H142" s="113"/>
      <c r="I142" s="113"/>
      <c r="J142" s="113"/>
    </row>
    <row r="143" spans="1:10" ht="13.8" x14ac:dyDescent="0.3">
      <c r="A143" s="118" t="s">
        <v>446</v>
      </c>
      <c r="B143" s="114"/>
      <c r="C143" s="113"/>
      <c r="D143" s="113"/>
      <c r="E143" s="113">
        <v>20005.7</v>
      </c>
      <c r="F143" s="113">
        <v>17370</v>
      </c>
      <c r="G143" s="113">
        <v>17797</v>
      </c>
      <c r="H143" s="113">
        <v>17797</v>
      </c>
      <c r="I143" s="113">
        <v>17797</v>
      </c>
      <c r="J143" s="113">
        <v>17797</v>
      </c>
    </row>
    <row r="144" spans="1:10" x14ac:dyDescent="0.25">
      <c r="A144" s="114" t="s">
        <v>296</v>
      </c>
      <c r="B144" s="114"/>
      <c r="C144" s="113"/>
      <c r="D144" s="113">
        <v>1000</v>
      </c>
      <c r="E144" s="113"/>
      <c r="F144" s="113"/>
      <c r="G144" s="113"/>
      <c r="H144" s="113"/>
      <c r="I144" s="113"/>
      <c r="J144" s="113"/>
    </row>
    <row r="145" spans="1:10" x14ac:dyDescent="0.25">
      <c r="A145" s="114" t="s">
        <v>447</v>
      </c>
      <c r="B145" s="114"/>
      <c r="C145" s="113"/>
      <c r="D145" s="113">
        <v>1600</v>
      </c>
      <c r="E145" s="113"/>
      <c r="F145" s="113"/>
      <c r="G145" s="113"/>
      <c r="H145" s="113"/>
      <c r="I145" s="113"/>
      <c r="J145" s="113"/>
    </row>
    <row r="146" spans="1:10" x14ac:dyDescent="0.25">
      <c r="A146" s="114" t="s">
        <v>448</v>
      </c>
      <c r="B146" s="114"/>
      <c r="C146" s="113"/>
      <c r="D146" s="113">
        <v>2600</v>
      </c>
      <c r="E146" s="113"/>
      <c r="F146" s="113"/>
      <c r="G146" s="113"/>
      <c r="H146" s="113"/>
      <c r="I146" s="113"/>
      <c r="J146" s="113"/>
    </row>
    <row r="147" spans="1:10" x14ac:dyDescent="0.25">
      <c r="A147" s="114" t="s">
        <v>656</v>
      </c>
      <c r="B147" s="114"/>
      <c r="C147" s="113"/>
      <c r="D147" s="113">
        <v>3400</v>
      </c>
      <c r="E147" s="113"/>
      <c r="F147" s="113"/>
      <c r="G147" s="113"/>
      <c r="H147" s="113"/>
      <c r="I147" s="113"/>
      <c r="J147" s="113"/>
    </row>
    <row r="148" spans="1:10" x14ac:dyDescent="0.25">
      <c r="A148" s="114" t="s">
        <v>807</v>
      </c>
      <c r="B148" s="114"/>
      <c r="C148" s="113"/>
      <c r="D148" s="113">
        <v>2000</v>
      </c>
      <c r="E148" s="113"/>
      <c r="F148" s="113"/>
      <c r="G148" s="113"/>
      <c r="H148" s="113"/>
      <c r="I148" s="113"/>
      <c r="J148" s="113"/>
    </row>
    <row r="149" spans="1:10" x14ac:dyDescent="0.25">
      <c r="A149" s="114" t="s">
        <v>234</v>
      </c>
      <c r="B149" s="114"/>
      <c r="C149" s="113"/>
      <c r="D149" s="113">
        <v>1632</v>
      </c>
      <c r="E149" s="113"/>
      <c r="F149" s="113"/>
      <c r="G149" s="113"/>
      <c r="H149" s="113"/>
      <c r="I149" s="113"/>
      <c r="J149" s="113"/>
    </row>
    <row r="150" spans="1:10" x14ac:dyDescent="0.25">
      <c r="A150" s="114" t="s">
        <v>1296</v>
      </c>
      <c r="B150" s="114"/>
      <c r="C150" s="113"/>
      <c r="D150" s="113">
        <v>1500</v>
      </c>
      <c r="E150" s="113"/>
      <c r="F150" s="113"/>
      <c r="G150" s="113"/>
      <c r="H150" s="113"/>
      <c r="I150" s="113"/>
      <c r="J150" s="113"/>
    </row>
    <row r="151" spans="1:10" x14ac:dyDescent="0.25">
      <c r="A151" s="114" t="s">
        <v>302</v>
      </c>
      <c r="B151" s="114"/>
      <c r="C151" s="113"/>
      <c r="D151" s="113">
        <v>360</v>
      </c>
      <c r="E151" s="113"/>
      <c r="F151" s="113"/>
      <c r="G151" s="113"/>
      <c r="H151" s="113"/>
      <c r="I151" s="113"/>
      <c r="J151" s="113"/>
    </row>
    <row r="152" spans="1:10" x14ac:dyDescent="0.25">
      <c r="A152" s="114" t="s">
        <v>424</v>
      </c>
      <c r="B152" s="114"/>
      <c r="C152" s="113"/>
      <c r="D152" s="113">
        <v>1600</v>
      </c>
      <c r="E152" s="113"/>
      <c r="F152" s="113"/>
      <c r="G152" s="113"/>
      <c r="H152" s="113"/>
      <c r="I152" s="113"/>
      <c r="J152" s="113"/>
    </row>
    <row r="153" spans="1:10" x14ac:dyDescent="0.25">
      <c r="A153" s="114" t="s">
        <v>303</v>
      </c>
      <c r="B153" s="114"/>
      <c r="C153" s="113"/>
      <c r="D153" s="113">
        <v>1200</v>
      </c>
      <c r="E153" s="113"/>
      <c r="F153" s="113"/>
      <c r="G153" s="113"/>
      <c r="H153" s="113"/>
      <c r="I153" s="113"/>
      <c r="J153" s="113"/>
    </row>
    <row r="154" spans="1:10" x14ac:dyDescent="0.25">
      <c r="A154" s="114" t="s">
        <v>358</v>
      </c>
      <c r="B154" s="114"/>
      <c r="C154" s="113"/>
      <c r="D154" s="113">
        <v>150</v>
      </c>
      <c r="E154" s="113"/>
      <c r="F154" s="113"/>
      <c r="G154" s="113"/>
      <c r="H154" s="113"/>
      <c r="I154" s="113"/>
      <c r="J154" s="113"/>
    </row>
    <row r="155" spans="1:10" x14ac:dyDescent="0.25">
      <c r="A155" s="161" t="s">
        <v>1772</v>
      </c>
      <c r="B155" s="161"/>
      <c r="C155" s="160"/>
      <c r="D155" s="160"/>
      <c r="E155" s="160"/>
      <c r="F155" s="160"/>
      <c r="G155" s="160"/>
      <c r="H155" s="160"/>
      <c r="I155" s="160"/>
      <c r="J155" s="160"/>
    </row>
    <row r="156" spans="1:10" ht="15" x14ac:dyDescent="0.4">
      <c r="A156" s="114" t="s">
        <v>304</v>
      </c>
      <c r="B156" s="114"/>
      <c r="C156" s="116"/>
      <c r="D156" s="116">
        <v>755</v>
      </c>
      <c r="E156" s="113"/>
      <c r="F156" s="113"/>
      <c r="G156" s="113"/>
      <c r="H156" s="113"/>
      <c r="I156" s="113"/>
      <c r="J156" s="113"/>
    </row>
    <row r="157" spans="1:10" x14ac:dyDescent="0.25">
      <c r="A157" s="114" t="s">
        <v>1279</v>
      </c>
      <c r="B157" s="114"/>
      <c r="C157" s="113"/>
      <c r="D157" s="113">
        <f>SUM(D144:D156)</f>
        <v>17797</v>
      </c>
      <c r="E157" s="113"/>
      <c r="F157" s="113"/>
      <c r="G157" s="113"/>
      <c r="H157" s="113"/>
      <c r="I157" s="113"/>
      <c r="J157" s="113"/>
    </row>
    <row r="158" spans="1:10" x14ac:dyDescent="0.25">
      <c r="A158" s="114"/>
      <c r="B158" s="114"/>
      <c r="C158" s="113"/>
      <c r="D158" s="113"/>
      <c r="E158" s="113"/>
      <c r="F158" s="113"/>
      <c r="G158" s="113"/>
      <c r="H158" s="113"/>
      <c r="I158" s="113"/>
      <c r="J158" s="113"/>
    </row>
    <row r="159" spans="1:10" ht="13.8" x14ac:dyDescent="0.3">
      <c r="A159" s="118" t="s">
        <v>142</v>
      </c>
      <c r="B159" s="114"/>
      <c r="C159" s="113"/>
      <c r="D159" s="113"/>
      <c r="E159" s="113">
        <v>1469</v>
      </c>
      <c r="F159" s="113">
        <v>450</v>
      </c>
      <c r="G159" s="113">
        <v>450</v>
      </c>
      <c r="H159" s="113">
        <v>450</v>
      </c>
      <c r="I159" s="113">
        <v>450</v>
      </c>
      <c r="J159" s="113">
        <v>450</v>
      </c>
    </row>
    <row r="160" spans="1:10" x14ac:dyDescent="0.25">
      <c r="A160" s="114" t="s">
        <v>1055</v>
      </c>
      <c r="B160" s="114"/>
      <c r="C160" s="113"/>
      <c r="D160" s="113">
        <v>400</v>
      </c>
      <c r="E160" s="113"/>
      <c r="F160" s="113"/>
      <c r="G160" s="113"/>
      <c r="H160" s="113"/>
      <c r="I160" s="113"/>
      <c r="J160" s="113"/>
    </row>
    <row r="161" spans="1:10" ht="15" x14ac:dyDescent="0.4">
      <c r="A161" s="114" t="s">
        <v>1081</v>
      </c>
      <c r="B161" s="114"/>
      <c r="C161" s="116"/>
      <c r="D161" s="116">
        <v>50</v>
      </c>
      <c r="E161" s="113"/>
      <c r="F161" s="113"/>
      <c r="G161" s="113"/>
      <c r="H161" s="113"/>
      <c r="I161" s="113"/>
      <c r="J161" s="113"/>
    </row>
    <row r="162" spans="1:10" x14ac:dyDescent="0.25">
      <c r="A162" s="114" t="s">
        <v>1279</v>
      </c>
      <c r="B162" s="114"/>
      <c r="C162" s="113"/>
      <c r="D162" s="113">
        <f>SUM(D160:D161)</f>
        <v>450</v>
      </c>
      <c r="E162" s="113"/>
      <c r="F162" s="113"/>
      <c r="G162" s="113"/>
      <c r="H162" s="113"/>
      <c r="I162" s="113"/>
      <c r="J162" s="113"/>
    </row>
    <row r="163" spans="1:10" x14ac:dyDescent="0.25">
      <c r="A163" s="114"/>
      <c r="B163" s="114"/>
      <c r="C163" s="113"/>
      <c r="D163" s="113"/>
      <c r="E163" s="113"/>
      <c r="F163" s="113"/>
      <c r="G163" s="113"/>
      <c r="H163" s="113"/>
      <c r="I163" s="113"/>
      <c r="J163" s="113"/>
    </row>
    <row r="164" spans="1:10" ht="13.8" x14ac:dyDescent="0.3">
      <c r="A164" s="118" t="s">
        <v>435</v>
      </c>
      <c r="B164" s="114"/>
      <c r="C164" s="113"/>
      <c r="D164" s="113"/>
      <c r="E164" s="113">
        <v>2148</v>
      </c>
      <c r="F164" s="113">
        <v>1200</v>
      </c>
      <c r="G164" s="113">
        <v>2000</v>
      </c>
      <c r="H164" s="113">
        <v>2000</v>
      </c>
      <c r="I164" s="113">
        <v>2000</v>
      </c>
      <c r="J164" s="113">
        <v>2000</v>
      </c>
    </row>
    <row r="165" spans="1:10" x14ac:dyDescent="0.25">
      <c r="A165" s="114" t="s">
        <v>1572</v>
      </c>
      <c r="B165" s="114"/>
      <c r="C165" s="113"/>
      <c r="D165" s="113">
        <v>2000</v>
      </c>
      <c r="E165" s="113"/>
      <c r="F165" s="113"/>
      <c r="G165" s="113"/>
      <c r="H165" s="113"/>
      <c r="I165" s="113"/>
      <c r="J165" s="113"/>
    </row>
    <row r="166" spans="1:10" x14ac:dyDescent="0.25">
      <c r="A166" s="114"/>
      <c r="B166" s="114"/>
      <c r="C166" s="113"/>
      <c r="D166" s="113"/>
      <c r="E166" s="113"/>
      <c r="F166" s="113"/>
      <c r="G166" s="113"/>
      <c r="H166" s="113"/>
      <c r="I166" s="113"/>
      <c r="J166" s="113"/>
    </row>
    <row r="167" spans="1:10" ht="13.8" x14ac:dyDescent="0.3">
      <c r="A167" s="118" t="s">
        <v>792</v>
      </c>
      <c r="B167" s="114"/>
      <c r="C167" s="113"/>
      <c r="D167" s="113"/>
      <c r="E167" s="113">
        <f>144+49643</f>
        <v>49787</v>
      </c>
      <c r="F167" s="113">
        <v>42784</v>
      </c>
      <c r="G167" s="113">
        <v>39838</v>
      </c>
      <c r="H167" s="113">
        <v>39838</v>
      </c>
      <c r="I167" s="113">
        <v>39838</v>
      </c>
      <c r="J167" s="113">
        <v>39838</v>
      </c>
    </row>
    <row r="168" spans="1:10" x14ac:dyDescent="0.25">
      <c r="A168" s="114" t="s">
        <v>1591</v>
      </c>
      <c r="B168" s="114"/>
      <c r="C168" s="113"/>
      <c r="D168" s="113">
        <v>900</v>
      </c>
      <c r="E168" s="113"/>
      <c r="F168" s="113"/>
      <c r="G168" s="113"/>
      <c r="H168" s="113"/>
      <c r="I168" s="113"/>
      <c r="J168" s="113"/>
    </row>
    <row r="169" spans="1:10" x14ac:dyDescent="0.25">
      <c r="A169" s="114" t="s">
        <v>635</v>
      </c>
      <c r="B169" s="114"/>
      <c r="C169" s="113"/>
      <c r="D169" s="113">
        <v>240</v>
      </c>
      <c r="E169" s="113"/>
      <c r="F169" s="113"/>
      <c r="G169" s="113"/>
      <c r="H169" s="113"/>
      <c r="I169" s="113"/>
      <c r="J169" s="113"/>
    </row>
    <row r="170" spans="1:10" x14ac:dyDescent="0.25">
      <c r="A170" s="114" t="s">
        <v>2235</v>
      </c>
      <c r="B170" s="114"/>
      <c r="C170" s="113"/>
      <c r="D170" s="113">
        <v>2280</v>
      </c>
      <c r="E170" s="113"/>
      <c r="F170" s="113"/>
      <c r="G170" s="113"/>
      <c r="H170" s="113"/>
      <c r="I170" s="113"/>
      <c r="J170" s="113"/>
    </row>
    <row r="171" spans="1:10" x14ac:dyDescent="0.25">
      <c r="A171" s="114" t="s">
        <v>1956</v>
      </c>
      <c r="B171" s="114"/>
      <c r="C171" s="113"/>
      <c r="D171" s="113">
        <v>1500</v>
      </c>
      <c r="E171" s="113"/>
      <c r="F171" s="113"/>
      <c r="G171" s="113"/>
      <c r="H171" s="113"/>
      <c r="I171" s="113"/>
      <c r="J171" s="113"/>
    </row>
    <row r="172" spans="1:10" ht="15" x14ac:dyDescent="0.4">
      <c r="A172" s="113" t="s">
        <v>1592</v>
      </c>
      <c r="B172" s="114"/>
      <c r="C172" s="116"/>
      <c r="D172" s="19">
        <v>34918</v>
      </c>
      <c r="E172" s="113"/>
      <c r="G172" s="49"/>
      <c r="H172" s="49"/>
      <c r="I172" s="49"/>
      <c r="J172" s="49"/>
    </row>
    <row r="173" spans="1:10" x14ac:dyDescent="0.25">
      <c r="A173" s="114" t="s">
        <v>1279</v>
      </c>
      <c r="B173" s="114"/>
      <c r="C173" s="113"/>
      <c r="D173" s="113">
        <f>SUM(D168:D172)</f>
        <v>39838</v>
      </c>
      <c r="E173" s="113"/>
      <c r="F173" s="113"/>
      <c r="G173" s="113"/>
      <c r="H173" s="113"/>
      <c r="I173" s="113"/>
      <c r="J173" s="113"/>
    </row>
    <row r="174" spans="1:10" x14ac:dyDescent="0.25">
      <c r="A174" s="114"/>
      <c r="B174" s="114"/>
      <c r="C174" s="113"/>
      <c r="D174" s="113"/>
      <c r="E174" s="113"/>
      <c r="F174" s="113"/>
      <c r="G174" s="113"/>
      <c r="H174" s="113"/>
      <c r="I174" s="113"/>
      <c r="J174" s="113"/>
    </row>
    <row r="175" spans="1:10" ht="13.8" x14ac:dyDescent="0.3">
      <c r="A175" s="118" t="s">
        <v>180</v>
      </c>
      <c r="B175" s="114"/>
      <c r="C175" s="113"/>
      <c r="D175" s="113"/>
      <c r="E175" s="113">
        <v>4362</v>
      </c>
      <c r="F175" s="113">
        <v>5016</v>
      </c>
      <c r="G175" s="113">
        <v>4771</v>
      </c>
      <c r="H175" s="113">
        <v>4771</v>
      </c>
      <c r="I175" s="113">
        <v>4771</v>
      </c>
      <c r="J175" s="113">
        <v>4771</v>
      </c>
    </row>
    <row r="176" spans="1:10" x14ac:dyDescent="0.25">
      <c r="A176" s="114" t="s">
        <v>181</v>
      </c>
      <c r="B176" s="114"/>
      <c r="C176" s="113"/>
      <c r="D176" s="113">
        <v>150</v>
      </c>
      <c r="E176" s="113"/>
      <c r="F176" s="113"/>
      <c r="G176" s="113"/>
      <c r="H176" s="113"/>
      <c r="I176" s="113"/>
      <c r="J176" s="113"/>
    </row>
    <row r="177" spans="1:10" x14ac:dyDescent="0.25">
      <c r="A177" s="114" t="s">
        <v>233</v>
      </c>
      <c r="B177" s="114"/>
      <c r="C177" s="113"/>
      <c r="D177" s="113">
        <v>100</v>
      </c>
      <c r="E177" s="113"/>
      <c r="F177" s="113"/>
      <c r="G177" s="113"/>
      <c r="H177" s="113"/>
      <c r="I177" s="113"/>
      <c r="J177" s="113"/>
    </row>
    <row r="178" spans="1:10" x14ac:dyDescent="0.25">
      <c r="A178" s="114" t="s">
        <v>1593</v>
      </c>
      <c r="B178" s="114"/>
      <c r="C178" s="113"/>
      <c r="D178" s="113">
        <v>400</v>
      </c>
      <c r="E178" s="113"/>
      <c r="F178" s="113"/>
      <c r="G178" s="113"/>
      <c r="H178" s="113"/>
      <c r="I178" s="113"/>
      <c r="J178" s="113"/>
    </row>
    <row r="179" spans="1:10" x14ac:dyDescent="0.25">
      <c r="A179" s="160" t="s">
        <v>1932</v>
      </c>
      <c r="B179" s="114"/>
      <c r="C179" s="113"/>
      <c r="E179" s="113"/>
      <c r="I179" s="209"/>
      <c r="J179" s="213"/>
    </row>
    <row r="180" spans="1:10" x14ac:dyDescent="0.25">
      <c r="A180" s="114" t="s">
        <v>2071</v>
      </c>
      <c r="B180" s="114"/>
      <c r="C180" s="113"/>
      <c r="D180" s="113">
        <v>1020</v>
      </c>
      <c r="E180" s="113"/>
      <c r="F180" s="113"/>
      <c r="G180" s="113"/>
      <c r="H180" s="113"/>
      <c r="I180" s="113"/>
      <c r="J180" s="113"/>
    </row>
    <row r="181" spans="1:10" x14ac:dyDescent="0.25">
      <c r="A181" s="114" t="s">
        <v>720</v>
      </c>
      <c r="B181" s="114"/>
      <c r="C181" s="113"/>
      <c r="D181" s="113">
        <v>750</v>
      </c>
      <c r="E181" s="113"/>
      <c r="F181" s="113"/>
      <c r="G181" s="113"/>
      <c r="H181" s="113"/>
      <c r="I181" s="113"/>
      <c r="J181" s="113"/>
    </row>
    <row r="182" spans="1:10" x14ac:dyDescent="0.25">
      <c r="A182" s="113" t="s">
        <v>2072</v>
      </c>
      <c r="B182" s="114"/>
      <c r="C182" s="113"/>
      <c r="D182" s="8">
        <v>700</v>
      </c>
      <c r="E182" s="113"/>
      <c r="I182" s="209"/>
      <c r="J182" s="213"/>
    </row>
    <row r="183" spans="1:10" x14ac:dyDescent="0.25">
      <c r="A183" s="114" t="s">
        <v>461</v>
      </c>
      <c r="B183" s="114"/>
      <c r="C183" s="113"/>
      <c r="D183" s="113">
        <v>1</v>
      </c>
      <c r="E183" s="113"/>
      <c r="F183" s="113"/>
      <c r="G183" s="113"/>
      <c r="H183" s="113"/>
      <c r="I183" s="113"/>
      <c r="J183" s="113"/>
    </row>
    <row r="184" spans="1:10" ht="15" x14ac:dyDescent="0.4">
      <c r="A184" s="114" t="s">
        <v>612</v>
      </c>
      <c r="B184" s="114"/>
      <c r="C184" s="116"/>
      <c r="D184" s="116">
        <v>1650</v>
      </c>
      <c r="E184" s="113"/>
      <c r="F184" s="113"/>
      <c r="G184" s="113"/>
      <c r="H184" s="113"/>
      <c r="I184" s="113"/>
      <c r="J184" s="113"/>
    </row>
    <row r="185" spans="1:10" x14ac:dyDescent="0.25">
      <c r="A185" s="114" t="s">
        <v>1279</v>
      </c>
      <c r="B185" s="114"/>
      <c r="C185" s="113"/>
      <c r="D185" s="113">
        <f>SUM(D176:D184)</f>
        <v>4771</v>
      </c>
      <c r="E185" s="113"/>
      <c r="F185" s="113"/>
      <c r="G185" s="113"/>
      <c r="H185" s="113"/>
      <c r="I185" s="113"/>
      <c r="J185" s="113"/>
    </row>
    <row r="186" spans="1:10" x14ac:dyDescent="0.25">
      <c r="A186" s="114"/>
      <c r="B186" s="114"/>
      <c r="C186" s="113"/>
      <c r="D186" s="113"/>
      <c r="E186" s="113"/>
      <c r="F186" s="113"/>
      <c r="G186" s="113"/>
      <c r="H186" s="113"/>
      <c r="I186" s="113"/>
      <c r="J186" s="113"/>
    </row>
    <row r="187" spans="1:10" ht="13.8" x14ac:dyDescent="0.3">
      <c r="A187" s="118" t="s">
        <v>758</v>
      </c>
      <c r="B187" s="114"/>
      <c r="C187" s="113"/>
      <c r="D187" s="113"/>
      <c r="E187" s="113">
        <v>5275</v>
      </c>
      <c r="F187" s="128">
        <v>4600</v>
      </c>
      <c r="G187" s="128">
        <v>5200</v>
      </c>
      <c r="H187" s="128">
        <v>5200</v>
      </c>
      <c r="I187" s="128">
        <v>5200</v>
      </c>
      <c r="J187" s="128">
        <v>5200</v>
      </c>
    </row>
    <row r="188" spans="1:10" x14ac:dyDescent="0.25">
      <c r="A188" s="114" t="s">
        <v>787</v>
      </c>
      <c r="B188" s="114"/>
      <c r="C188" s="113"/>
      <c r="D188" s="113">
        <v>1400</v>
      </c>
      <c r="E188" s="113"/>
      <c r="F188" s="113"/>
      <c r="G188" s="113"/>
      <c r="H188" s="113"/>
      <c r="I188" s="113"/>
      <c r="J188" s="113"/>
    </row>
    <row r="189" spans="1:10" x14ac:dyDescent="0.25">
      <c r="A189" s="114" t="s">
        <v>420</v>
      </c>
      <c r="B189" s="114"/>
      <c r="C189" s="113"/>
      <c r="D189" s="113">
        <v>1400</v>
      </c>
      <c r="E189" s="113"/>
      <c r="F189" s="113"/>
      <c r="G189" s="113"/>
      <c r="H189" s="113"/>
      <c r="I189" s="113"/>
      <c r="J189" s="113"/>
    </row>
    <row r="190" spans="1:10" ht="15" x14ac:dyDescent="0.4">
      <c r="A190" s="114" t="s">
        <v>1381</v>
      </c>
      <c r="B190" s="114"/>
      <c r="C190" s="116"/>
      <c r="D190" s="116">
        <v>2400</v>
      </c>
      <c r="E190" s="113"/>
      <c r="F190" s="113"/>
      <c r="G190" s="113"/>
      <c r="H190" s="113"/>
      <c r="I190" s="113"/>
      <c r="J190" s="113"/>
    </row>
    <row r="191" spans="1:10" x14ac:dyDescent="0.25">
      <c r="A191" s="114" t="s">
        <v>1279</v>
      </c>
      <c r="B191" s="114"/>
      <c r="C191" s="113"/>
      <c r="D191" s="113">
        <f>SUM(D188:D190)</f>
        <v>5200</v>
      </c>
      <c r="E191" s="113"/>
      <c r="F191" s="113"/>
      <c r="G191" s="113"/>
      <c r="H191" s="113"/>
      <c r="I191" s="113"/>
      <c r="J191" s="113"/>
    </row>
    <row r="192" spans="1:10" x14ac:dyDescent="0.25">
      <c r="A192" s="114"/>
      <c r="B192" s="114"/>
      <c r="C192" s="113"/>
      <c r="D192" s="113"/>
      <c r="E192" s="113"/>
      <c r="F192" s="113"/>
      <c r="G192" s="113"/>
      <c r="H192" s="113"/>
      <c r="I192" s="113"/>
      <c r="J192" s="113"/>
    </row>
    <row r="193" spans="1:10" ht="13.8" x14ac:dyDescent="0.3">
      <c r="A193" s="118" t="s">
        <v>1382</v>
      </c>
      <c r="B193" s="114"/>
      <c r="C193" s="113"/>
      <c r="D193" s="113"/>
      <c r="E193" s="113">
        <v>355</v>
      </c>
      <c r="F193" s="113">
        <v>1000</v>
      </c>
      <c r="G193" s="113">
        <v>1000</v>
      </c>
      <c r="H193" s="113">
        <v>1000</v>
      </c>
      <c r="I193" s="113">
        <v>1000</v>
      </c>
      <c r="J193" s="113">
        <v>1000</v>
      </c>
    </row>
    <row r="194" spans="1:10" x14ac:dyDescent="0.25">
      <c r="A194" s="114" t="s">
        <v>1957</v>
      </c>
      <c r="B194" s="114"/>
      <c r="C194" s="113"/>
      <c r="D194" s="113">
        <v>1000</v>
      </c>
      <c r="E194" s="113"/>
      <c r="F194" s="113"/>
      <c r="G194" s="113"/>
      <c r="H194" s="113"/>
      <c r="I194" s="113"/>
      <c r="J194" s="113"/>
    </row>
    <row r="195" spans="1:10" x14ac:dyDescent="0.25">
      <c r="A195" s="114"/>
      <c r="B195" s="114"/>
      <c r="C195" s="113"/>
      <c r="D195" s="113"/>
      <c r="E195" s="113"/>
      <c r="F195" s="113"/>
      <c r="G195" s="113"/>
      <c r="H195" s="113"/>
      <c r="I195" s="113"/>
      <c r="J195" s="113"/>
    </row>
    <row r="196" spans="1:10" ht="13.8" x14ac:dyDescent="0.3">
      <c r="A196" s="118" t="s">
        <v>597</v>
      </c>
      <c r="B196" s="114"/>
      <c r="C196" s="113"/>
      <c r="D196" s="113"/>
      <c r="E196" s="113">
        <f>3326+92728</f>
        <v>96054</v>
      </c>
      <c r="F196" s="113">
        <v>94582</v>
      </c>
      <c r="G196" s="113">
        <v>102582</v>
      </c>
      <c r="H196" s="113">
        <v>102582</v>
      </c>
      <c r="I196" s="113">
        <v>102582</v>
      </c>
      <c r="J196" s="113">
        <v>102582</v>
      </c>
    </row>
    <row r="197" spans="1:10" x14ac:dyDescent="0.25">
      <c r="A197" s="114" t="s">
        <v>1773</v>
      </c>
      <c r="B197" s="114"/>
      <c r="C197" s="113"/>
      <c r="D197" s="113">
        <f>1206+14536</f>
        <v>15742</v>
      </c>
      <c r="E197" s="113"/>
      <c r="F197" s="113"/>
      <c r="G197" s="113"/>
      <c r="H197" s="113"/>
      <c r="I197" s="113"/>
      <c r="J197" s="113"/>
    </row>
    <row r="198" spans="1:10" x14ac:dyDescent="0.25">
      <c r="A198" s="114" t="s">
        <v>1774</v>
      </c>
      <c r="B198" s="114"/>
      <c r="C198" s="113"/>
      <c r="D198" s="113">
        <v>4500</v>
      </c>
      <c r="E198" s="113"/>
      <c r="F198" s="113"/>
      <c r="G198" s="113"/>
      <c r="H198" s="113"/>
      <c r="I198" s="113"/>
      <c r="J198" s="113"/>
    </row>
    <row r="199" spans="1:10" x14ac:dyDescent="0.25">
      <c r="A199" s="114" t="s">
        <v>2073</v>
      </c>
      <c r="B199" s="114"/>
      <c r="C199" s="113"/>
      <c r="D199" s="113">
        <v>2478</v>
      </c>
      <c r="E199" s="113"/>
      <c r="F199" s="113"/>
      <c r="G199" s="113"/>
      <c r="H199" s="113"/>
      <c r="I199" s="113"/>
      <c r="J199" s="113"/>
    </row>
    <row r="200" spans="1:10" x14ac:dyDescent="0.25">
      <c r="A200" s="114" t="s">
        <v>1933</v>
      </c>
      <c r="B200" s="114"/>
      <c r="C200" s="113"/>
      <c r="D200" s="113">
        <v>1000</v>
      </c>
      <c r="E200" s="113"/>
      <c r="F200" s="113"/>
      <c r="G200" s="113"/>
      <c r="H200" s="113"/>
      <c r="I200" s="113"/>
      <c r="J200" s="113"/>
    </row>
    <row r="201" spans="1:10" x14ac:dyDescent="0.25">
      <c r="A201" s="114" t="s">
        <v>275</v>
      </c>
      <c r="B201" s="114"/>
      <c r="C201" s="113"/>
      <c r="D201" s="113">
        <v>2000</v>
      </c>
      <c r="E201" s="113"/>
      <c r="F201" s="113"/>
      <c r="G201" s="113"/>
      <c r="H201" s="113"/>
      <c r="I201" s="113"/>
      <c r="J201" s="113"/>
    </row>
    <row r="202" spans="1:10" x14ac:dyDescent="0.25">
      <c r="A202" s="114" t="s">
        <v>1775</v>
      </c>
      <c r="B202" s="114"/>
      <c r="C202" s="113"/>
      <c r="D202" s="113">
        <v>4000</v>
      </c>
      <c r="E202" s="113"/>
      <c r="F202" s="113"/>
      <c r="G202" s="113"/>
      <c r="H202" s="113"/>
      <c r="I202" s="113"/>
      <c r="J202" s="113"/>
    </row>
    <row r="203" spans="1:10" x14ac:dyDescent="0.25">
      <c r="A203" s="114" t="s">
        <v>2236</v>
      </c>
      <c r="B203" s="114"/>
      <c r="C203" s="113"/>
      <c r="D203" s="113">
        <v>5650</v>
      </c>
      <c r="E203" s="113"/>
      <c r="F203" s="113"/>
      <c r="G203" s="113"/>
      <c r="H203" s="113"/>
      <c r="I203" s="113"/>
      <c r="J203" s="113"/>
    </row>
    <row r="204" spans="1:10" x14ac:dyDescent="0.25">
      <c r="A204" s="114" t="s">
        <v>1776</v>
      </c>
      <c r="B204" s="114"/>
      <c r="C204" s="113"/>
      <c r="D204" s="113">
        <v>1532</v>
      </c>
      <c r="E204" s="113"/>
      <c r="F204" s="113"/>
      <c r="G204" s="113"/>
      <c r="H204" s="113"/>
      <c r="I204" s="113"/>
      <c r="J204" s="113"/>
    </row>
    <row r="205" spans="1:10" x14ac:dyDescent="0.25">
      <c r="A205" s="114" t="s">
        <v>1777</v>
      </c>
      <c r="B205" s="114"/>
      <c r="C205" s="113"/>
      <c r="D205" s="113">
        <v>630</v>
      </c>
      <c r="E205" s="113"/>
      <c r="F205" s="113"/>
      <c r="G205" s="113"/>
      <c r="H205" s="113"/>
      <c r="I205" s="113"/>
      <c r="J205" s="113"/>
    </row>
    <row r="206" spans="1:10" x14ac:dyDescent="0.25">
      <c r="A206" s="114" t="s">
        <v>1778</v>
      </c>
      <c r="B206" s="114"/>
      <c r="C206" s="113"/>
      <c r="D206" s="113">
        <v>370</v>
      </c>
      <c r="E206" s="113"/>
      <c r="F206" s="113"/>
      <c r="G206" s="113"/>
      <c r="H206" s="113"/>
      <c r="I206" s="113"/>
      <c r="J206" s="113"/>
    </row>
    <row r="207" spans="1:10" x14ac:dyDescent="0.25">
      <c r="A207" s="114" t="s">
        <v>1779</v>
      </c>
      <c r="B207" s="114"/>
      <c r="C207" s="113"/>
      <c r="D207" s="113">
        <v>12021</v>
      </c>
      <c r="E207" s="113"/>
      <c r="F207" s="113"/>
      <c r="G207" s="113"/>
      <c r="H207" s="113"/>
      <c r="I207" s="113"/>
      <c r="J207" s="113"/>
    </row>
    <row r="208" spans="1:10" x14ac:dyDescent="0.25">
      <c r="A208" s="114" t="s">
        <v>2074</v>
      </c>
      <c r="B208" s="114"/>
      <c r="C208" s="113"/>
      <c r="D208" s="113">
        <v>2979</v>
      </c>
      <c r="E208" s="113"/>
      <c r="F208" s="113"/>
      <c r="G208" s="113"/>
      <c r="H208" s="113"/>
      <c r="I208" s="113"/>
      <c r="J208" s="113"/>
    </row>
    <row r="209" spans="1:10" x14ac:dyDescent="0.25">
      <c r="A209" s="114" t="s">
        <v>1780</v>
      </c>
      <c r="B209" s="114"/>
      <c r="C209" s="113"/>
      <c r="D209" s="113">
        <v>3200</v>
      </c>
      <c r="E209" s="113"/>
      <c r="F209" s="113"/>
      <c r="G209" s="113"/>
      <c r="H209" s="113"/>
      <c r="I209" s="113"/>
      <c r="J209" s="113"/>
    </row>
    <row r="210" spans="1:10" x14ac:dyDescent="0.25">
      <c r="A210" s="114" t="s">
        <v>1781</v>
      </c>
      <c r="B210" s="114"/>
      <c r="C210" s="113"/>
      <c r="D210" s="113">
        <v>8000</v>
      </c>
      <c r="E210" s="113"/>
      <c r="F210" s="113"/>
      <c r="G210" s="113"/>
      <c r="H210" s="113"/>
      <c r="I210" s="113"/>
      <c r="J210" s="113"/>
    </row>
    <row r="211" spans="1:10" x14ac:dyDescent="0.25">
      <c r="A211" s="114" t="s">
        <v>788</v>
      </c>
      <c r="B211" s="114"/>
      <c r="C211" s="113"/>
      <c r="D211" s="113">
        <v>7580</v>
      </c>
      <c r="E211" s="113"/>
      <c r="F211" s="113"/>
      <c r="G211" s="113"/>
      <c r="H211" s="113"/>
      <c r="I211" s="113"/>
      <c r="J211" s="113"/>
    </row>
    <row r="212" spans="1:10" x14ac:dyDescent="0.25">
      <c r="A212" s="114" t="s">
        <v>1934</v>
      </c>
      <c r="B212" s="114"/>
      <c r="C212" s="113"/>
      <c r="D212" s="113">
        <v>2000</v>
      </c>
      <c r="E212" s="113"/>
      <c r="F212" s="113"/>
      <c r="G212" s="113"/>
      <c r="H212" s="113"/>
      <c r="I212" s="113"/>
      <c r="J212" s="113"/>
    </row>
    <row r="213" spans="1:10" x14ac:dyDescent="0.25">
      <c r="A213" s="114" t="s">
        <v>1782</v>
      </c>
      <c r="B213" s="114"/>
      <c r="C213" s="113"/>
      <c r="D213" s="113">
        <v>5000</v>
      </c>
      <c r="E213" s="113"/>
      <c r="F213" s="113"/>
      <c r="G213" s="113"/>
      <c r="H213" s="113"/>
      <c r="I213" s="113"/>
      <c r="J213" s="113"/>
    </row>
    <row r="214" spans="1:10" x14ac:dyDescent="0.25">
      <c r="A214" s="114" t="s">
        <v>1783</v>
      </c>
      <c r="B214" s="114"/>
      <c r="C214" s="113"/>
      <c r="D214" s="113">
        <v>1000</v>
      </c>
      <c r="E214" s="113"/>
      <c r="F214" s="113"/>
      <c r="G214" s="113"/>
      <c r="H214" s="113"/>
      <c r="I214" s="113"/>
      <c r="J214" s="113"/>
    </row>
    <row r="215" spans="1:10" x14ac:dyDescent="0.25">
      <c r="A215" s="114" t="s">
        <v>1784</v>
      </c>
      <c r="B215" s="114"/>
      <c r="C215" s="113"/>
      <c r="D215" s="113">
        <v>1000</v>
      </c>
      <c r="E215" s="113"/>
      <c r="F215" s="113"/>
      <c r="G215" s="113"/>
      <c r="H215" s="113"/>
      <c r="I215" s="113"/>
      <c r="J215" s="113"/>
    </row>
    <row r="216" spans="1:10" x14ac:dyDescent="0.25">
      <c r="A216" s="114" t="s">
        <v>1785</v>
      </c>
      <c r="B216" s="114"/>
      <c r="C216" s="113"/>
      <c r="D216" s="113">
        <v>6000</v>
      </c>
      <c r="E216" s="113"/>
      <c r="F216" s="113"/>
      <c r="G216" s="113"/>
      <c r="H216" s="113"/>
      <c r="I216" s="113"/>
      <c r="J216" s="113"/>
    </row>
    <row r="217" spans="1:10" x14ac:dyDescent="0.25">
      <c r="A217" s="113" t="s">
        <v>1935</v>
      </c>
      <c r="B217" s="114"/>
      <c r="C217" s="113"/>
      <c r="D217" s="113">
        <v>8000</v>
      </c>
      <c r="E217" s="113"/>
      <c r="I217" s="209"/>
      <c r="J217" s="213"/>
    </row>
    <row r="218" spans="1:10" x14ac:dyDescent="0.25">
      <c r="A218" s="114" t="s">
        <v>1786</v>
      </c>
      <c r="B218" s="114"/>
      <c r="C218" s="113"/>
      <c r="D218" s="113">
        <v>500</v>
      </c>
      <c r="E218" s="113"/>
      <c r="F218" s="113"/>
      <c r="G218" s="113"/>
      <c r="H218" s="113"/>
      <c r="I218" s="113"/>
      <c r="J218" s="113"/>
    </row>
    <row r="219" spans="1:10" ht="15" x14ac:dyDescent="0.4">
      <c r="A219" s="114" t="s">
        <v>1056</v>
      </c>
      <c r="B219" s="114"/>
      <c r="C219" s="116"/>
      <c r="D219" s="116">
        <v>7400</v>
      </c>
      <c r="E219" s="113"/>
      <c r="F219" s="113"/>
      <c r="G219" s="113"/>
      <c r="H219" s="113"/>
      <c r="I219" s="113"/>
      <c r="J219" s="113"/>
    </row>
    <row r="220" spans="1:10" x14ac:dyDescent="0.25">
      <c r="A220" s="114" t="s">
        <v>1594</v>
      </c>
      <c r="B220" s="114"/>
      <c r="C220" s="113"/>
      <c r="D220" s="113">
        <f>SUM(D197:D219)</f>
        <v>102582</v>
      </c>
      <c r="E220" s="113"/>
      <c r="F220" s="113"/>
      <c r="G220" s="113"/>
      <c r="H220" s="113"/>
      <c r="I220" s="113"/>
      <c r="J220" s="113"/>
    </row>
    <row r="221" spans="1:10" x14ac:dyDescent="0.25">
      <c r="A221" s="114"/>
      <c r="B221" s="114"/>
      <c r="C221" s="113"/>
      <c r="D221" s="113"/>
      <c r="E221" s="113"/>
      <c r="F221" s="113"/>
      <c r="G221" s="113"/>
      <c r="H221" s="113"/>
      <c r="I221" s="113"/>
      <c r="J221" s="113"/>
    </row>
    <row r="222" spans="1:10" ht="13.8" x14ac:dyDescent="0.3">
      <c r="A222" s="118" t="s">
        <v>276</v>
      </c>
      <c r="B222" s="114"/>
      <c r="C222" s="113"/>
      <c r="D222" s="113"/>
      <c r="E222" s="113"/>
      <c r="F222" s="113"/>
      <c r="G222" s="113"/>
      <c r="H222" s="113"/>
      <c r="I222" s="113"/>
      <c r="J222" s="113"/>
    </row>
    <row r="223" spans="1:10" x14ac:dyDescent="0.25">
      <c r="A223" s="114" t="s">
        <v>145</v>
      </c>
      <c r="B223" s="114"/>
      <c r="C223" s="113"/>
      <c r="D223" s="113">
        <v>0</v>
      </c>
      <c r="E223" s="113">
        <v>42</v>
      </c>
      <c r="F223" s="113"/>
      <c r="G223" s="113"/>
      <c r="H223" s="113"/>
      <c r="I223" s="113"/>
      <c r="J223" s="113"/>
    </row>
    <row r="224" spans="1:10" x14ac:dyDescent="0.25">
      <c r="A224" s="114"/>
      <c r="B224" s="114"/>
      <c r="C224" s="113"/>
      <c r="D224" s="113"/>
      <c r="E224" s="113"/>
      <c r="F224" s="113"/>
      <c r="G224" s="113"/>
      <c r="H224" s="113"/>
      <c r="I224" s="113"/>
      <c r="J224" s="113"/>
    </row>
    <row r="225" spans="1:10" ht="13.8" x14ac:dyDescent="0.3">
      <c r="A225" s="118" t="s">
        <v>278</v>
      </c>
      <c r="B225" s="114"/>
      <c r="C225" s="113"/>
      <c r="D225" s="113"/>
      <c r="E225" s="113">
        <v>18464</v>
      </c>
      <c r="F225" s="113">
        <v>0</v>
      </c>
      <c r="G225" s="113">
        <v>0</v>
      </c>
      <c r="H225" s="113">
        <v>0</v>
      </c>
      <c r="I225" s="113">
        <v>0</v>
      </c>
      <c r="J225" s="113">
        <v>0</v>
      </c>
    </row>
    <row r="226" spans="1:10" x14ac:dyDescent="0.25">
      <c r="A226" s="114" t="s">
        <v>146</v>
      </c>
      <c r="B226" s="114"/>
      <c r="C226" s="113"/>
      <c r="D226" s="113">
        <v>0</v>
      </c>
      <c r="E226" s="113"/>
      <c r="F226" s="113"/>
      <c r="G226" s="113"/>
      <c r="H226" s="113"/>
      <c r="I226" s="113"/>
      <c r="J226" s="113"/>
    </row>
    <row r="227" spans="1:10" x14ac:dyDescent="0.25">
      <c r="A227" s="114"/>
      <c r="B227" s="114"/>
      <c r="C227" s="113"/>
      <c r="D227" s="113"/>
      <c r="E227" s="113"/>
      <c r="F227" s="113"/>
      <c r="G227" s="113"/>
      <c r="H227" s="113"/>
      <c r="I227" s="113"/>
      <c r="J227" s="113"/>
    </row>
    <row r="228" spans="1:10" ht="13.8" x14ac:dyDescent="0.3">
      <c r="A228" s="118" t="s">
        <v>466</v>
      </c>
      <c r="B228" s="114"/>
      <c r="C228" s="113"/>
      <c r="D228" s="113"/>
      <c r="E228" s="113">
        <v>21590</v>
      </c>
      <c r="F228" s="113">
        <v>2710</v>
      </c>
      <c r="G228" s="113">
        <v>2710</v>
      </c>
      <c r="H228" s="113">
        <v>2710</v>
      </c>
      <c r="I228" s="113">
        <v>2710</v>
      </c>
      <c r="J228" s="113">
        <v>2710</v>
      </c>
    </row>
    <row r="229" spans="1:10" x14ac:dyDescent="0.25">
      <c r="A229" s="114" t="s">
        <v>268</v>
      </c>
      <c r="B229" s="114"/>
      <c r="C229" s="113"/>
      <c r="D229" s="113">
        <v>2000</v>
      </c>
      <c r="E229" s="113"/>
      <c r="F229" s="113"/>
      <c r="G229" s="113"/>
      <c r="H229" s="113"/>
      <c r="I229" s="113"/>
      <c r="J229" s="113"/>
    </row>
    <row r="230" spans="1:10" x14ac:dyDescent="0.25">
      <c r="A230" s="114" t="s">
        <v>884</v>
      </c>
      <c r="B230" s="114"/>
      <c r="C230" s="113"/>
      <c r="D230" s="113">
        <v>410</v>
      </c>
      <c r="E230" s="113"/>
      <c r="F230" s="113"/>
      <c r="G230" s="113"/>
      <c r="H230" s="113"/>
      <c r="I230" s="113"/>
      <c r="J230" s="113"/>
    </row>
    <row r="231" spans="1:10" ht="15" x14ac:dyDescent="0.4">
      <c r="A231" s="114" t="s">
        <v>980</v>
      </c>
      <c r="B231" s="114"/>
      <c r="C231" s="116"/>
      <c r="D231" s="116">
        <v>300</v>
      </c>
      <c r="E231" s="113"/>
      <c r="F231" s="113"/>
      <c r="G231" s="113"/>
      <c r="H231" s="113"/>
      <c r="I231" s="113"/>
      <c r="J231" s="113"/>
    </row>
    <row r="232" spans="1:10" x14ac:dyDescent="0.25">
      <c r="A232" s="114" t="s">
        <v>1279</v>
      </c>
      <c r="B232" s="114"/>
      <c r="C232" s="113"/>
      <c r="D232" s="113">
        <f>SUM(D229:D231)</f>
        <v>2710</v>
      </c>
      <c r="E232" s="113"/>
      <c r="F232" s="113"/>
      <c r="G232" s="113"/>
      <c r="H232" s="113"/>
      <c r="I232" s="113"/>
      <c r="J232" s="113"/>
    </row>
    <row r="233" spans="1:10" x14ac:dyDescent="0.25">
      <c r="A233" s="114"/>
      <c r="B233" s="114"/>
      <c r="C233" s="113"/>
      <c r="D233" s="113"/>
      <c r="E233" s="113"/>
      <c r="F233" s="113"/>
      <c r="G233" s="113"/>
      <c r="H233" s="113"/>
      <c r="I233" s="113"/>
      <c r="J233" s="113"/>
    </row>
    <row r="234" spans="1:10" ht="13.8" x14ac:dyDescent="0.3">
      <c r="A234" s="118" t="s">
        <v>1395</v>
      </c>
      <c r="B234" s="114"/>
      <c r="C234" s="113"/>
      <c r="D234" s="113"/>
      <c r="E234" s="113">
        <v>10000</v>
      </c>
      <c r="F234" s="113">
        <v>35000</v>
      </c>
      <c r="G234" s="113">
        <v>35000</v>
      </c>
      <c r="H234" s="113">
        <v>35000</v>
      </c>
      <c r="I234" s="113">
        <v>35000</v>
      </c>
      <c r="J234" s="113">
        <v>35000</v>
      </c>
    </row>
    <row r="235" spans="1:10" x14ac:dyDescent="0.25">
      <c r="A235" s="114" t="s">
        <v>54</v>
      </c>
      <c r="B235" s="114"/>
      <c r="C235" s="113"/>
      <c r="D235" s="113">
        <v>35000</v>
      </c>
      <c r="E235" s="113"/>
      <c r="F235" s="113"/>
      <c r="G235" s="113"/>
      <c r="H235" s="113"/>
      <c r="I235" s="113"/>
      <c r="J235" s="113"/>
    </row>
    <row r="236" spans="1:10" x14ac:dyDescent="0.25">
      <c r="A236" s="114"/>
      <c r="B236" s="114"/>
      <c r="C236" s="113"/>
      <c r="D236" s="113"/>
      <c r="E236" s="113"/>
      <c r="F236" s="113"/>
      <c r="G236" s="113"/>
      <c r="H236" s="113"/>
      <c r="I236" s="113"/>
      <c r="J236" s="113"/>
    </row>
    <row r="237" spans="1:10" ht="15" x14ac:dyDescent="0.4">
      <c r="A237" s="11" t="s">
        <v>1664</v>
      </c>
      <c r="C237" s="2"/>
      <c r="D237" s="2"/>
      <c r="E237" s="12">
        <v>0</v>
      </c>
      <c r="F237" s="12">
        <v>45000</v>
      </c>
      <c r="G237" s="12">
        <v>0</v>
      </c>
      <c r="H237" s="12">
        <v>0</v>
      </c>
      <c r="I237" s="12">
        <v>0</v>
      </c>
      <c r="J237" s="12">
        <v>0</v>
      </c>
    </row>
    <row r="238" spans="1:10" x14ac:dyDescent="0.25">
      <c r="A238" s="114" t="s">
        <v>1677</v>
      </c>
      <c r="B238" s="113">
        <v>53000</v>
      </c>
      <c r="D238" s="113">
        <v>0</v>
      </c>
      <c r="E238" s="113"/>
      <c r="F238" s="113"/>
      <c r="G238" s="113"/>
      <c r="H238" s="113"/>
      <c r="I238" s="113"/>
      <c r="J238" s="113"/>
    </row>
    <row r="239" spans="1:10" ht="15" x14ac:dyDescent="0.4">
      <c r="A239" s="114" t="s">
        <v>1936</v>
      </c>
      <c r="B239" s="116">
        <v>0</v>
      </c>
      <c r="C239" s="116">
        <v>45000</v>
      </c>
      <c r="D239" s="116">
        <v>0</v>
      </c>
      <c r="E239" s="113"/>
      <c r="F239" s="113"/>
      <c r="G239" s="113"/>
      <c r="H239" s="113"/>
      <c r="I239" s="113"/>
      <c r="J239" s="113"/>
    </row>
    <row r="240" spans="1:10" x14ac:dyDescent="0.25">
      <c r="A240" s="114" t="s">
        <v>1279</v>
      </c>
      <c r="B240" s="113">
        <f>SUM(B238:B239)</f>
        <v>53000</v>
      </c>
      <c r="C240" s="113">
        <f>SUM(C238:C239)</f>
        <v>45000</v>
      </c>
      <c r="D240" s="113">
        <f>SUM(D238:D239)</f>
        <v>0</v>
      </c>
      <c r="E240" s="113"/>
      <c r="F240" s="113"/>
      <c r="G240" s="113"/>
      <c r="H240" s="113"/>
      <c r="I240" s="113"/>
      <c r="J240" s="113"/>
    </row>
    <row r="241" spans="1:10" x14ac:dyDescent="0.25">
      <c r="A241" s="114"/>
      <c r="B241" s="114"/>
      <c r="C241" s="113"/>
      <c r="D241" s="113"/>
      <c r="E241" s="113"/>
      <c r="F241" s="113"/>
      <c r="G241" s="113"/>
      <c r="H241" s="113"/>
      <c r="I241" s="113"/>
      <c r="J241" s="113"/>
    </row>
    <row r="242" spans="1:10" x14ac:dyDescent="0.25">
      <c r="A242" s="114" t="s">
        <v>989</v>
      </c>
      <c r="B242" s="114"/>
      <c r="C242" s="113"/>
      <c r="D242" s="113"/>
      <c r="E242" s="113">
        <f t="shared" ref="E242:J242" si="2">SUM(E6:E237)</f>
        <v>1026529.7</v>
      </c>
      <c r="F242" s="113">
        <f t="shared" si="2"/>
        <v>1127178</v>
      </c>
      <c r="G242" s="113">
        <f t="shared" si="2"/>
        <v>1125405</v>
      </c>
      <c r="H242" s="113">
        <f t="shared" si="2"/>
        <v>1124725</v>
      </c>
      <c r="I242" s="113">
        <f t="shared" si="2"/>
        <v>1136588</v>
      </c>
      <c r="J242" s="113">
        <f t="shared" si="2"/>
        <v>1136588</v>
      </c>
    </row>
    <row r="243" spans="1:10" x14ac:dyDescent="0.25">
      <c r="A243" s="63" t="s">
        <v>1392</v>
      </c>
      <c r="B243" s="114"/>
      <c r="C243" s="113"/>
      <c r="D243" s="113"/>
      <c r="E243" s="113">
        <v>3470</v>
      </c>
      <c r="F243" s="113">
        <v>3500</v>
      </c>
      <c r="G243" s="113">
        <v>3500</v>
      </c>
      <c r="H243" s="113">
        <v>3500</v>
      </c>
      <c r="I243" s="113">
        <v>3500</v>
      </c>
      <c r="J243" s="113">
        <v>3500</v>
      </c>
    </row>
    <row r="244" spans="1:10" ht="15" x14ac:dyDescent="0.4">
      <c r="A244" s="114" t="s">
        <v>1861</v>
      </c>
      <c r="B244" s="114"/>
      <c r="C244" s="113"/>
      <c r="D244" s="113"/>
      <c r="E244" s="116"/>
      <c r="F244" s="116"/>
      <c r="G244" s="116"/>
      <c r="H244" s="116"/>
      <c r="I244" s="116"/>
      <c r="J244" s="116"/>
    </row>
    <row r="245" spans="1:10" x14ac:dyDescent="0.25">
      <c r="A245" s="114"/>
      <c r="B245" s="114"/>
      <c r="C245" s="113"/>
      <c r="D245" s="113"/>
      <c r="E245" s="113"/>
      <c r="F245" s="113"/>
      <c r="G245" s="113"/>
      <c r="H245" s="113"/>
      <c r="I245" s="113"/>
      <c r="J245" s="113"/>
    </row>
    <row r="246" spans="1:10" x14ac:dyDescent="0.25">
      <c r="A246" s="114"/>
      <c r="B246" s="114"/>
      <c r="C246" s="113"/>
      <c r="D246" s="113"/>
      <c r="E246" s="113"/>
      <c r="F246" s="113"/>
      <c r="G246" s="113"/>
      <c r="H246" s="113"/>
      <c r="I246" s="113"/>
      <c r="J246" s="113"/>
    </row>
    <row r="247" spans="1:10" x14ac:dyDescent="0.25">
      <c r="A247" s="114" t="s">
        <v>1391</v>
      </c>
      <c r="B247" s="114"/>
      <c r="C247" s="113"/>
      <c r="D247" s="113"/>
      <c r="E247" s="113">
        <f t="shared" ref="E247:H247" si="3">+E242-E248+E244</f>
        <v>1023059.7</v>
      </c>
      <c r="F247" s="113">
        <f t="shared" si="3"/>
        <v>1123678</v>
      </c>
      <c r="G247" s="113">
        <f t="shared" si="3"/>
        <v>1121905</v>
      </c>
      <c r="H247" s="113">
        <f t="shared" si="3"/>
        <v>1121225</v>
      </c>
      <c r="I247" s="113">
        <f>+I242-I248+I244</f>
        <v>1133088</v>
      </c>
      <c r="J247" s="113">
        <f>+J242-J248+J244</f>
        <v>1133088</v>
      </c>
    </row>
    <row r="248" spans="1:10" x14ac:dyDescent="0.25">
      <c r="A248" s="114" t="s">
        <v>1392</v>
      </c>
      <c r="B248" s="114"/>
      <c r="C248" s="113"/>
      <c r="D248" s="113"/>
      <c r="E248" s="113">
        <f t="shared" ref="E248:H248" si="4">SUM(E243:E243)</f>
        <v>3470</v>
      </c>
      <c r="F248" s="113">
        <f t="shared" si="4"/>
        <v>3500</v>
      </c>
      <c r="G248" s="113">
        <f t="shared" si="4"/>
        <v>3500</v>
      </c>
      <c r="H248" s="113">
        <f t="shared" si="4"/>
        <v>3500</v>
      </c>
      <c r="I248" s="113">
        <f>SUM(I243:I243)</f>
        <v>3500</v>
      </c>
      <c r="J248" s="113">
        <f>SUM(J243:J243)</f>
        <v>3500</v>
      </c>
    </row>
    <row r="249" spans="1:10" x14ac:dyDescent="0.25">
      <c r="A249" s="114"/>
      <c r="B249" s="114"/>
      <c r="C249" s="114"/>
      <c r="D249" s="114"/>
      <c r="E249" s="114"/>
      <c r="F249" s="114"/>
      <c r="G249" s="114"/>
      <c r="H249" s="114"/>
      <c r="I249" s="114"/>
      <c r="J249" s="114"/>
    </row>
    <row r="250" spans="1:10" x14ac:dyDescent="0.25">
      <c r="A250" s="114" t="s">
        <v>614</v>
      </c>
      <c r="B250" s="114"/>
      <c r="C250" s="114"/>
      <c r="D250" s="114"/>
      <c r="E250" s="113">
        <f t="shared" ref="E250:J250" si="5">SUM(E6:E93)+E244</f>
        <v>740687</v>
      </c>
      <c r="F250" s="113">
        <f t="shared" si="5"/>
        <v>821060</v>
      </c>
      <c r="G250" s="113">
        <f t="shared" si="5"/>
        <v>856695</v>
      </c>
      <c r="H250" s="113">
        <f t="shared" si="5"/>
        <v>856692</v>
      </c>
      <c r="I250" s="113">
        <f t="shared" si="5"/>
        <v>868555</v>
      </c>
      <c r="J250" s="113">
        <f t="shared" si="5"/>
        <v>868555</v>
      </c>
    </row>
    <row r="251" spans="1:10" x14ac:dyDescent="0.25">
      <c r="A251" s="114" t="s">
        <v>975</v>
      </c>
      <c r="B251" s="114"/>
      <c r="C251" s="114"/>
      <c r="D251" s="114"/>
      <c r="E251" s="113">
        <f t="shared" ref="E251:J251" si="6">SUM(E95:E223)</f>
        <v>235788.7</v>
      </c>
      <c r="F251" s="113">
        <f t="shared" si="6"/>
        <v>223408</v>
      </c>
      <c r="G251" s="113">
        <f t="shared" si="6"/>
        <v>231000</v>
      </c>
      <c r="H251" s="113">
        <f t="shared" si="6"/>
        <v>230323</v>
      </c>
      <c r="I251" s="113">
        <f t="shared" si="6"/>
        <v>230323</v>
      </c>
      <c r="J251" s="113">
        <f t="shared" si="6"/>
        <v>230323</v>
      </c>
    </row>
    <row r="252" spans="1:10" ht="15" x14ac:dyDescent="0.4">
      <c r="A252" s="114" t="s">
        <v>976</v>
      </c>
      <c r="B252" s="114"/>
      <c r="C252" s="114"/>
      <c r="D252" s="114"/>
      <c r="E252" s="116">
        <f t="shared" ref="E252:H252" si="7">SUM(E225:E237)</f>
        <v>50054</v>
      </c>
      <c r="F252" s="116">
        <f t="shared" si="7"/>
        <v>82710</v>
      </c>
      <c r="G252" s="116">
        <f t="shared" si="7"/>
        <v>37710</v>
      </c>
      <c r="H252" s="116">
        <f t="shared" si="7"/>
        <v>37710</v>
      </c>
      <c r="I252" s="116">
        <f>SUM(I225:I237)</f>
        <v>37710</v>
      </c>
      <c r="J252" s="116">
        <f>SUM(J225:J237)</f>
        <v>37710</v>
      </c>
    </row>
    <row r="253" spans="1:10" x14ac:dyDescent="0.25">
      <c r="A253" s="63" t="s">
        <v>512</v>
      </c>
      <c r="B253" s="63"/>
      <c r="C253" s="63"/>
      <c r="D253" s="63"/>
      <c r="E253" s="3">
        <f t="shared" ref="E253:H253" si="8">SUM(E250:E252)</f>
        <v>1026529.7</v>
      </c>
      <c r="F253" s="3">
        <f t="shared" si="8"/>
        <v>1127178</v>
      </c>
      <c r="G253" s="3">
        <f t="shared" si="8"/>
        <v>1125405</v>
      </c>
      <c r="H253" s="3">
        <f t="shared" si="8"/>
        <v>1124725</v>
      </c>
      <c r="I253" s="3">
        <f>SUM(I250:I252)</f>
        <v>1136588</v>
      </c>
      <c r="J253" s="3">
        <f>SUM(J250:J252)</f>
        <v>1136588</v>
      </c>
    </row>
    <row r="254" spans="1:10" x14ac:dyDescent="0.25">
      <c r="A254" s="63"/>
      <c r="B254" s="63"/>
      <c r="C254" s="63"/>
      <c r="D254" s="63"/>
      <c r="E254" s="63"/>
      <c r="F254" s="63"/>
      <c r="G254" s="63"/>
      <c r="H254" s="63"/>
      <c r="I254" s="63"/>
      <c r="J254" s="63"/>
    </row>
    <row r="255" spans="1:10" x14ac:dyDescent="0.25">
      <c r="A255" s="63"/>
      <c r="B255" s="63"/>
      <c r="C255" s="63"/>
      <c r="D255" s="63"/>
      <c r="E255" s="63"/>
      <c r="G255" s="2"/>
      <c r="H255" s="2"/>
      <c r="I255" s="2"/>
    </row>
    <row r="256" spans="1:10" x14ac:dyDescent="0.25">
      <c r="A256" s="63"/>
      <c r="B256" s="63"/>
      <c r="C256" s="63"/>
      <c r="D256" s="63"/>
      <c r="E256" s="63"/>
      <c r="I256" s="2">
        <f>+I253-H253</f>
        <v>11863</v>
      </c>
    </row>
    <row r="257" spans="1:9" x14ac:dyDescent="0.25">
      <c r="A257" s="63"/>
      <c r="B257" s="63"/>
      <c r="C257" s="63"/>
      <c r="D257" s="63"/>
      <c r="E257" s="63"/>
      <c r="I257" s="209"/>
    </row>
    <row r="258" spans="1:9" x14ac:dyDescent="0.25">
      <c r="A258" s="63"/>
      <c r="B258" s="63"/>
      <c r="C258" s="63"/>
      <c r="D258" s="63"/>
      <c r="E258" s="63"/>
      <c r="I258" s="209"/>
    </row>
    <row r="259" spans="1:9" x14ac:dyDescent="0.25">
      <c r="A259" s="63"/>
      <c r="B259" s="63"/>
      <c r="C259" s="63"/>
      <c r="D259" s="63"/>
      <c r="E259" s="63"/>
      <c r="I259" s="209"/>
    </row>
    <row r="260" spans="1:9" x14ac:dyDescent="0.25">
      <c r="A260" s="63"/>
      <c r="B260" s="63"/>
      <c r="C260" s="63"/>
      <c r="D260" s="63"/>
      <c r="E260" s="63"/>
      <c r="I260" s="209"/>
    </row>
    <row r="261" spans="1:9" x14ac:dyDescent="0.25">
      <c r="A261" s="63"/>
      <c r="B261" s="63"/>
      <c r="C261" s="63"/>
      <c r="D261" s="63"/>
      <c r="E261" s="63"/>
      <c r="I261" s="209"/>
    </row>
    <row r="262" spans="1:9" x14ac:dyDescent="0.25">
      <c r="A262" s="63"/>
      <c r="B262" s="63"/>
      <c r="C262" s="63"/>
      <c r="D262" s="63"/>
      <c r="E262" s="63"/>
      <c r="I262" s="209"/>
    </row>
    <row r="263" spans="1:9" x14ac:dyDescent="0.25">
      <c r="A263" s="63"/>
      <c r="B263" s="63"/>
      <c r="C263" s="63"/>
      <c r="D263" s="63"/>
      <c r="E263" s="63"/>
      <c r="I263" s="209"/>
    </row>
    <row r="264" spans="1:9" x14ac:dyDescent="0.25">
      <c r="A264" s="63"/>
      <c r="B264" s="63"/>
      <c r="C264" s="63"/>
      <c r="D264" s="63"/>
      <c r="E264" s="63"/>
      <c r="I264" s="209"/>
    </row>
    <row r="265" spans="1:9" x14ac:dyDescent="0.25">
      <c r="A265" s="63"/>
      <c r="B265" s="63"/>
      <c r="C265" s="63"/>
      <c r="D265" s="63"/>
      <c r="E265" s="63"/>
      <c r="I265" s="209"/>
    </row>
    <row r="266" spans="1:9" x14ac:dyDescent="0.25">
      <c r="A266" s="63"/>
      <c r="B266" s="63"/>
      <c r="C266" s="63"/>
      <c r="D266" s="63"/>
      <c r="E266" s="63"/>
      <c r="I266" s="209"/>
    </row>
    <row r="267" spans="1:9" x14ac:dyDescent="0.25">
      <c r="A267" s="63"/>
      <c r="B267" s="63"/>
      <c r="C267" s="63"/>
      <c r="D267" s="63"/>
      <c r="E267" s="63"/>
      <c r="I267" s="209"/>
    </row>
    <row r="268" spans="1:9" x14ac:dyDescent="0.25">
      <c r="A268" s="63"/>
      <c r="B268" s="63"/>
      <c r="C268" s="63"/>
      <c r="D268" s="63"/>
      <c r="E268" s="63"/>
      <c r="F268" s="63"/>
      <c r="I268" s="209"/>
    </row>
    <row r="269" spans="1:9" x14ac:dyDescent="0.25">
      <c r="A269" s="63"/>
      <c r="B269" s="63"/>
      <c r="C269" s="63"/>
      <c r="D269" s="63"/>
      <c r="E269" s="63"/>
      <c r="F269" s="63"/>
      <c r="I269" s="209"/>
    </row>
    <row r="270" spans="1:9" x14ac:dyDescent="0.25">
      <c r="A270" s="63"/>
      <c r="B270" s="63"/>
      <c r="C270" s="63"/>
      <c r="D270" s="63"/>
      <c r="E270" s="63"/>
      <c r="F270" s="63"/>
      <c r="I270" s="209"/>
    </row>
    <row r="271" spans="1:9" x14ac:dyDescent="0.25">
      <c r="A271" s="63"/>
      <c r="B271" s="63"/>
      <c r="C271" s="63"/>
      <c r="D271" s="63"/>
      <c r="E271" s="63"/>
      <c r="F271" s="63"/>
      <c r="I271" s="209"/>
    </row>
    <row r="272" spans="1:9" x14ac:dyDescent="0.25">
      <c r="A272" s="63"/>
      <c r="B272" s="63"/>
      <c r="C272" s="63"/>
      <c r="D272" s="63"/>
      <c r="E272" s="63"/>
      <c r="F272" s="63"/>
      <c r="I272" s="209"/>
    </row>
    <row r="273" spans="9:9" x14ac:dyDescent="0.25">
      <c r="I273" s="209"/>
    </row>
    <row r="274" spans="9:9" x14ac:dyDescent="0.25">
      <c r="I274" s="209"/>
    </row>
    <row r="275" spans="9:9" x14ac:dyDescent="0.25">
      <c r="I275" s="209"/>
    </row>
  </sheetData>
  <mergeCells count="1">
    <mergeCell ref="A1:J1"/>
  </mergeCells>
  <phoneticPr fontId="0" type="noConversion"/>
  <printOptions gridLines="1"/>
  <pageMargins left="0.75" right="0.16" top="0.51" bottom="0.22" header="0.39" footer="0"/>
  <pageSetup scale="89" fitToHeight="11" orientation="landscape" r:id="rId1"/>
  <headerFooter alignWithMargins="0"/>
  <rowBreaks count="2" manualBreakCount="2">
    <brk id="195" max="9" man="1"/>
    <brk id="236" max="9"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J168"/>
  <sheetViews>
    <sheetView view="pageBreakPreview" topLeftCell="A98" zoomScaleNormal="100" zoomScaleSheetLayoutView="100" workbookViewId="0">
      <selection activeCell="H128" sqref="H128"/>
    </sheetView>
  </sheetViews>
  <sheetFormatPr defaultRowHeight="13.2" x14ac:dyDescent="0.25"/>
  <cols>
    <col min="1" max="1" width="48.33203125" style="8" bestFit="1" customWidth="1"/>
    <col min="2" max="2" width="9" style="8" bestFit="1" customWidth="1"/>
    <col min="3" max="3" width="10.109375" style="8" customWidth="1"/>
    <col min="4" max="4" width="10.33203125" style="8" customWidth="1"/>
    <col min="5" max="7" width="10.88671875" style="8" customWidth="1"/>
    <col min="8" max="8" width="14" style="8" bestFit="1" customWidth="1"/>
    <col min="9" max="10" width="10.88671875" style="8" customWidth="1"/>
    <col min="11" max="16384" width="8.88671875" style="8"/>
  </cols>
  <sheetData>
    <row r="1" spans="1:10" x14ac:dyDescent="0.25">
      <c r="A1" s="217" t="s">
        <v>1972</v>
      </c>
      <c r="B1" s="218"/>
      <c r="C1" s="218"/>
      <c r="D1" s="218"/>
      <c r="E1" s="218"/>
      <c r="F1" s="218"/>
      <c r="G1" s="218"/>
      <c r="H1" s="218"/>
      <c r="I1" s="218"/>
      <c r="J1" s="218"/>
    </row>
    <row r="2" spans="1:10" ht="17.399999999999999" x14ac:dyDescent="0.3">
      <c r="A2" s="202" t="s">
        <v>2249</v>
      </c>
      <c r="B2" s="202"/>
      <c r="C2" s="202"/>
      <c r="D2" s="202"/>
      <c r="E2" s="202"/>
      <c r="F2" s="202"/>
    </row>
    <row r="3" spans="1:10" x14ac:dyDescent="0.25">
      <c r="B3" s="2"/>
      <c r="C3" s="2"/>
      <c r="D3" s="2"/>
      <c r="E3" s="2"/>
      <c r="F3" s="2"/>
    </row>
    <row r="4" spans="1:10" x14ac:dyDescent="0.25">
      <c r="B4" s="2"/>
      <c r="C4" s="2"/>
      <c r="D4" s="2"/>
      <c r="E4" s="9" t="s">
        <v>251</v>
      </c>
      <c r="F4" s="9" t="s">
        <v>252</v>
      </c>
      <c r="G4" s="9" t="s">
        <v>73</v>
      </c>
      <c r="H4" s="9" t="s">
        <v>430</v>
      </c>
      <c r="I4" s="2" t="s">
        <v>330</v>
      </c>
      <c r="J4" s="2" t="s">
        <v>364</v>
      </c>
    </row>
    <row r="5" spans="1:10" ht="15" x14ac:dyDescent="0.4">
      <c r="B5" s="2"/>
      <c r="C5" s="2"/>
      <c r="D5" s="2"/>
      <c r="E5" s="10" t="s">
        <v>1684</v>
      </c>
      <c r="F5" s="10" t="s">
        <v>1874</v>
      </c>
      <c r="G5" s="10" t="s">
        <v>1944</v>
      </c>
      <c r="H5" s="10" t="s">
        <v>1944</v>
      </c>
      <c r="I5" s="10" t="s">
        <v>1944</v>
      </c>
      <c r="J5" s="10" t="s">
        <v>1944</v>
      </c>
    </row>
    <row r="6" spans="1:10" ht="13.8" x14ac:dyDescent="0.3">
      <c r="A6" s="11" t="s">
        <v>841</v>
      </c>
      <c r="B6" s="2"/>
      <c r="C6" s="2"/>
      <c r="D6" s="2"/>
      <c r="E6" s="2">
        <v>58567</v>
      </c>
      <c r="F6" s="2">
        <v>61452</v>
      </c>
      <c r="G6" s="2">
        <v>62116</v>
      </c>
      <c r="H6" s="2">
        <v>62116</v>
      </c>
      <c r="I6" s="2">
        <v>62116</v>
      </c>
      <c r="J6" s="2">
        <v>62116</v>
      </c>
    </row>
    <row r="7" spans="1:10" x14ac:dyDescent="0.25">
      <c r="A7" s="8" t="s">
        <v>842</v>
      </c>
      <c r="B7" s="2">
        <v>52</v>
      </c>
      <c r="C7" s="2">
        <v>1172</v>
      </c>
      <c r="D7" s="2">
        <f>ROUND(B7*C7,0)</f>
        <v>60944</v>
      </c>
      <c r="E7" s="2"/>
      <c r="F7" s="2"/>
      <c r="G7" s="2"/>
      <c r="H7" s="2"/>
      <c r="I7" s="2"/>
      <c r="J7" s="2"/>
    </row>
    <row r="8" spans="1:10" ht="15" x14ac:dyDescent="0.4">
      <c r="A8" s="8" t="s">
        <v>995</v>
      </c>
      <c r="B8" s="2"/>
      <c r="C8" s="2"/>
      <c r="D8" s="12">
        <f>+C7</f>
        <v>1172</v>
      </c>
      <c r="E8" s="2"/>
      <c r="F8" s="2"/>
      <c r="G8" s="2"/>
      <c r="H8" s="2"/>
      <c r="I8" s="2"/>
      <c r="J8" s="2"/>
    </row>
    <row r="9" spans="1:10" x14ac:dyDescent="0.25">
      <c r="A9" s="8" t="s">
        <v>1279</v>
      </c>
      <c r="B9" s="2"/>
      <c r="C9" s="2"/>
      <c r="D9" s="2">
        <f>SUM(D7:D8)</f>
        <v>62116</v>
      </c>
      <c r="E9" s="2"/>
      <c r="F9" s="2"/>
      <c r="G9" s="2"/>
      <c r="H9" s="2"/>
      <c r="I9" s="2"/>
      <c r="J9" s="2"/>
    </row>
    <row r="10" spans="1:10" x14ac:dyDescent="0.25">
      <c r="B10" s="2"/>
      <c r="C10" s="2"/>
      <c r="D10" s="2"/>
      <c r="E10" s="2"/>
      <c r="F10" s="2"/>
      <c r="G10" s="2"/>
      <c r="H10" s="2"/>
      <c r="I10" s="2"/>
      <c r="J10" s="2"/>
    </row>
    <row r="11" spans="1:10" ht="13.8" x14ac:dyDescent="0.3">
      <c r="A11" s="11" t="s">
        <v>843</v>
      </c>
      <c r="B11" s="2"/>
      <c r="C11" s="2"/>
      <c r="D11" s="2"/>
      <c r="E11" s="2">
        <v>141958</v>
      </c>
      <c r="F11" s="2">
        <v>196598</v>
      </c>
      <c r="G11" s="2">
        <v>201745</v>
      </c>
      <c r="H11" s="2">
        <v>201745</v>
      </c>
      <c r="I11" s="2">
        <v>201745</v>
      </c>
      <c r="J11" s="2">
        <v>201745</v>
      </c>
    </row>
    <row r="12" spans="1:10" x14ac:dyDescent="0.25">
      <c r="A12" s="8" t="s">
        <v>2171</v>
      </c>
      <c r="B12" s="2">
        <v>52</v>
      </c>
      <c r="C12" s="8">
        <v>1020</v>
      </c>
      <c r="D12" s="2">
        <f>ROUND(B12*C12,0)</f>
        <v>53040</v>
      </c>
      <c r="E12" s="2"/>
      <c r="F12" s="2"/>
      <c r="G12" s="2"/>
      <c r="H12" s="2"/>
      <c r="I12" s="2"/>
      <c r="J12" s="2"/>
    </row>
    <row r="13" spans="1:10" x14ac:dyDescent="0.25">
      <c r="A13" s="8" t="s">
        <v>2171</v>
      </c>
      <c r="B13" s="2">
        <v>52</v>
      </c>
      <c r="C13" s="8">
        <v>962</v>
      </c>
      <c r="D13" s="2">
        <f>ROUND(B13*C13,0)</f>
        <v>50024</v>
      </c>
      <c r="E13" s="2"/>
      <c r="F13" s="2"/>
      <c r="G13" s="2"/>
      <c r="H13" s="2"/>
      <c r="I13" s="2"/>
      <c r="J13" s="2"/>
    </row>
    <row r="14" spans="1:10" x14ac:dyDescent="0.25">
      <c r="A14" s="8" t="s">
        <v>2171</v>
      </c>
      <c r="B14" s="2">
        <v>52</v>
      </c>
      <c r="C14" s="8">
        <v>1001</v>
      </c>
      <c r="D14" s="2">
        <f>ROUND(B14*C14,0)</f>
        <v>52052</v>
      </c>
      <c r="E14" s="2"/>
      <c r="F14" s="2"/>
      <c r="G14" s="2"/>
      <c r="H14" s="2"/>
      <c r="I14" s="2"/>
      <c r="J14" s="2"/>
    </row>
    <row r="15" spans="1:10" x14ac:dyDescent="0.25">
      <c r="A15" s="8" t="s">
        <v>1167</v>
      </c>
      <c r="B15" s="2">
        <v>52</v>
      </c>
      <c r="C15" s="8">
        <v>880</v>
      </c>
      <c r="D15" s="2">
        <f>ROUND(B15*C15,0)</f>
        <v>45760</v>
      </c>
      <c r="E15" s="2"/>
      <c r="F15" s="2"/>
      <c r="G15" s="2"/>
      <c r="H15" s="2"/>
      <c r="I15" s="2"/>
      <c r="J15" s="2"/>
    </row>
    <row r="16" spans="1:10" ht="15" x14ac:dyDescent="0.4">
      <c r="A16" s="8" t="s">
        <v>995</v>
      </c>
      <c r="B16" s="2"/>
      <c r="C16" s="2"/>
      <c r="D16" s="12">
        <v>869</v>
      </c>
      <c r="E16" s="2"/>
      <c r="F16" s="2"/>
      <c r="G16" s="2"/>
      <c r="H16" s="2"/>
      <c r="I16" s="2"/>
      <c r="J16" s="2"/>
    </row>
    <row r="17" spans="1:10" x14ac:dyDescent="0.25">
      <c r="A17" s="8" t="s">
        <v>1279</v>
      </c>
      <c r="B17" s="2"/>
      <c r="C17" s="2"/>
      <c r="D17" s="2">
        <f>SUM(D12:D16)</f>
        <v>201745</v>
      </c>
      <c r="E17" s="2"/>
      <c r="F17" s="2"/>
      <c r="G17" s="2"/>
      <c r="H17" s="2"/>
      <c r="I17" s="2"/>
      <c r="J17" s="2"/>
    </row>
    <row r="18" spans="1:10" x14ac:dyDescent="0.25">
      <c r="D18" s="2"/>
      <c r="E18" s="2"/>
      <c r="F18" s="2"/>
      <c r="G18" s="2"/>
      <c r="H18" s="2"/>
      <c r="I18" s="2"/>
      <c r="J18" s="2"/>
    </row>
    <row r="19" spans="1:10" ht="13.8" x14ac:dyDescent="0.3">
      <c r="A19" s="11" t="s">
        <v>1361</v>
      </c>
      <c r="D19" s="2"/>
      <c r="E19" s="2">
        <v>3375</v>
      </c>
      <c r="F19" s="2">
        <v>3108</v>
      </c>
      <c r="G19" s="2">
        <v>3296</v>
      </c>
      <c r="H19" s="2">
        <v>3296</v>
      </c>
      <c r="I19" s="2">
        <v>3296</v>
      </c>
      <c r="J19" s="2">
        <v>3296</v>
      </c>
    </row>
    <row r="20" spans="1:10" x14ac:dyDescent="0.25">
      <c r="A20" s="8" t="s">
        <v>842</v>
      </c>
      <c r="B20" s="2">
        <v>75</v>
      </c>
      <c r="C20" s="13">
        <f>+C7/40*1.5</f>
        <v>43.95</v>
      </c>
      <c r="D20" s="2">
        <f>ROUND(B20*C20,0)</f>
        <v>3296</v>
      </c>
      <c r="E20" s="2"/>
      <c r="F20" s="2"/>
      <c r="G20" s="2"/>
      <c r="H20" s="2"/>
      <c r="I20" s="2"/>
      <c r="J20" s="2"/>
    </row>
    <row r="21" spans="1:10" x14ac:dyDescent="0.25">
      <c r="B21" s="2"/>
      <c r="C21" s="13"/>
      <c r="D21" s="2"/>
      <c r="E21" s="2"/>
      <c r="F21" s="2"/>
      <c r="G21" s="2"/>
      <c r="H21" s="2"/>
      <c r="I21" s="2"/>
      <c r="J21" s="2"/>
    </row>
    <row r="22" spans="1:10" ht="13.8" x14ac:dyDescent="0.3">
      <c r="A22" s="11" t="s">
        <v>143</v>
      </c>
      <c r="B22" s="2"/>
      <c r="C22" s="13"/>
      <c r="D22" s="2"/>
      <c r="E22" s="2"/>
      <c r="F22" s="2"/>
      <c r="G22" s="2"/>
      <c r="H22" s="2"/>
      <c r="I22" s="2"/>
      <c r="J22" s="2"/>
    </row>
    <row r="23" spans="1:10" x14ac:dyDescent="0.25">
      <c r="B23" s="2"/>
      <c r="C23" s="13"/>
      <c r="D23" s="2"/>
      <c r="E23" s="2"/>
      <c r="F23" s="2"/>
      <c r="G23" s="2"/>
      <c r="H23" s="2"/>
      <c r="I23" s="2"/>
      <c r="J23" s="2"/>
    </row>
    <row r="24" spans="1:10" ht="13.8" x14ac:dyDescent="0.3">
      <c r="A24" s="11" t="s">
        <v>1362</v>
      </c>
      <c r="D24" s="2"/>
      <c r="E24" s="2">
        <v>15742</v>
      </c>
      <c r="F24" s="2">
        <v>4328</v>
      </c>
      <c r="G24" s="2">
        <v>4527</v>
      </c>
      <c r="H24" s="2">
        <v>4527</v>
      </c>
      <c r="I24" s="2">
        <v>4527</v>
      </c>
      <c r="J24" s="2">
        <v>4527</v>
      </c>
    </row>
    <row r="25" spans="1:10" x14ac:dyDescent="0.25">
      <c r="A25" s="8" t="s">
        <v>1363</v>
      </c>
      <c r="B25" s="2">
        <v>125</v>
      </c>
      <c r="C25" s="13">
        <f>SUM(C12:C16)/40*1.5/4</f>
        <v>36.215625000000003</v>
      </c>
      <c r="D25" s="2">
        <f>ROUND(B25*C25,0)</f>
        <v>4527</v>
      </c>
      <c r="E25" s="2"/>
      <c r="F25" s="2"/>
      <c r="G25" s="2"/>
      <c r="H25" s="2"/>
      <c r="I25" s="2"/>
      <c r="J25" s="2"/>
    </row>
    <row r="26" spans="1:10" x14ac:dyDescent="0.25">
      <c r="B26" s="2"/>
      <c r="C26" s="13"/>
      <c r="D26" s="2"/>
      <c r="E26" s="2"/>
      <c r="F26" s="2"/>
      <c r="G26" s="2"/>
      <c r="H26" s="2"/>
      <c r="I26" s="2"/>
      <c r="J26" s="2"/>
    </row>
    <row r="27" spans="1:10" ht="13.8" x14ac:dyDescent="0.3">
      <c r="A27" s="11" t="s">
        <v>1364</v>
      </c>
      <c r="D27" s="2"/>
      <c r="E27" s="2">
        <v>17540</v>
      </c>
      <c r="F27" s="2">
        <v>20317</v>
      </c>
      <c r="G27" s="2">
        <v>20783</v>
      </c>
      <c r="H27" s="2">
        <v>20783</v>
      </c>
      <c r="I27" s="2">
        <v>20783</v>
      </c>
      <c r="J27" s="2">
        <v>20783</v>
      </c>
    </row>
    <row r="28" spans="1:10" hidden="1" x14ac:dyDescent="0.25">
      <c r="A28" s="14" t="s">
        <v>1511</v>
      </c>
      <c r="B28" s="2">
        <f>+D9</f>
        <v>62116</v>
      </c>
      <c r="C28" s="15">
        <v>7.6499999999999999E-2</v>
      </c>
      <c r="D28" s="2">
        <f>ROUND(B28*C28,0)</f>
        <v>4752</v>
      </c>
      <c r="E28" s="2"/>
      <c r="F28" s="2"/>
      <c r="G28" s="2"/>
      <c r="H28" s="2"/>
      <c r="I28" s="2"/>
      <c r="J28" s="2"/>
    </row>
    <row r="29" spans="1:10" hidden="1" x14ac:dyDescent="0.25">
      <c r="A29" s="14" t="s">
        <v>831</v>
      </c>
      <c r="B29" s="2">
        <f>+D17</f>
        <v>201745</v>
      </c>
      <c r="C29" s="15">
        <v>7.6499999999999999E-2</v>
      </c>
      <c r="D29" s="2">
        <f>ROUND(B29*C29,0)</f>
        <v>15433</v>
      </c>
      <c r="E29" s="2"/>
      <c r="F29" s="2"/>
      <c r="G29" s="2"/>
      <c r="H29" s="2"/>
      <c r="I29" s="2"/>
      <c r="J29" s="2"/>
    </row>
    <row r="30" spans="1:10" hidden="1" x14ac:dyDescent="0.25">
      <c r="A30" s="14" t="s">
        <v>924</v>
      </c>
      <c r="B30" s="2">
        <f>+D20</f>
        <v>3296</v>
      </c>
      <c r="C30" s="15">
        <v>7.6499999999999999E-2</v>
      </c>
      <c r="D30" s="2">
        <f>ROUND(B30*C30,0)</f>
        <v>252</v>
      </c>
      <c r="E30" s="2"/>
      <c r="F30" s="2"/>
      <c r="G30" s="2"/>
      <c r="H30" s="2"/>
      <c r="I30" s="2"/>
      <c r="J30" s="2"/>
    </row>
    <row r="31" spans="1:10" ht="15" hidden="1" x14ac:dyDescent="0.4">
      <c r="A31" s="14" t="s">
        <v>202</v>
      </c>
      <c r="B31" s="2">
        <f>+D25</f>
        <v>4527</v>
      </c>
      <c r="C31" s="15">
        <v>7.6499999999999999E-2</v>
      </c>
      <c r="D31" s="12">
        <f>ROUND(B31*C31,0)</f>
        <v>346</v>
      </c>
      <c r="E31" s="2"/>
      <c r="F31" s="2"/>
      <c r="G31" s="2"/>
      <c r="H31" s="2"/>
      <c r="I31" s="2"/>
      <c r="J31" s="2"/>
    </row>
    <row r="32" spans="1:10" hidden="1" x14ac:dyDescent="0.25">
      <c r="A32" s="8" t="s">
        <v>1279</v>
      </c>
      <c r="D32" s="2">
        <f>SUM(D28:D31)</f>
        <v>20783</v>
      </c>
      <c r="E32" s="2"/>
      <c r="F32" s="2"/>
      <c r="G32" s="2"/>
      <c r="H32" s="2"/>
      <c r="I32" s="2"/>
      <c r="J32" s="2"/>
    </row>
    <row r="33" spans="1:10" x14ac:dyDescent="0.25">
      <c r="D33" s="2"/>
      <c r="E33" s="2"/>
      <c r="F33" s="2"/>
      <c r="G33" s="2"/>
      <c r="H33" s="2"/>
      <c r="I33" s="2"/>
      <c r="J33" s="2"/>
    </row>
    <row r="34" spans="1:10" x14ac:dyDescent="0.25">
      <c r="D34" s="2"/>
      <c r="E34" s="2"/>
      <c r="F34" s="2"/>
      <c r="G34" s="2"/>
      <c r="H34" s="2"/>
      <c r="I34" s="2"/>
      <c r="J34" s="2"/>
    </row>
    <row r="35" spans="1:10" ht="13.8" x14ac:dyDescent="0.3">
      <c r="A35" s="11" t="s">
        <v>1365</v>
      </c>
      <c r="D35" s="2"/>
      <c r="E35" s="2">
        <v>25323</v>
      </c>
      <c r="F35" s="2">
        <v>29665</v>
      </c>
      <c r="G35" s="2">
        <v>33009</v>
      </c>
      <c r="H35" s="2">
        <v>33009</v>
      </c>
      <c r="I35" s="2">
        <v>33009</v>
      </c>
      <c r="J35" s="2">
        <v>33009</v>
      </c>
    </row>
    <row r="36" spans="1:10" hidden="1" x14ac:dyDescent="0.25">
      <c r="A36" s="14" t="s">
        <v>1511</v>
      </c>
      <c r="B36" s="2">
        <f>+D9</f>
        <v>62116</v>
      </c>
      <c r="C36" s="34">
        <v>0.1215</v>
      </c>
      <c r="D36" s="2">
        <f>ROUND(B36*C36,0)</f>
        <v>7547</v>
      </c>
      <c r="E36" s="2"/>
      <c r="F36" s="2"/>
      <c r="G36" s="2"/>
      <c r="H36" s="2"/>
      <c r="I36" s="2"/>
      <c r="J36" s="2"/>
    </row>
    <row r="37" spans="1:10" hidden="1" x14ac:dyDescent="0.25">
      <c r="A37" s="14" t="s">
        <v>831</v>
      </c>
      <c r="B37" s="2">
        <f>+D17</f>
        <v>201745</v>
      </c>
      <c r="C37" s="34">
        <v>0.1215</v>
      </c>
      <c r="D37" s="2">
        <f>ROUND(B37*C37,0)</f>
        <v>24512</v>
      </c>
      <c r="E37" s="2"/>
      <c r="F37" s="2"/>
      <c r="G37" s="2"/>
      <c r="H37" s="2"/>
      <c r="I37" s="2"/>
      <c r="J37" s="2"/>
    </row>
    <row r="38" spans="1:10" hidden="1" x14ac:dyDescent="0.25">
      <c r="A38" s="14" t="s">
        <v>924</v>
      </c>
      <c r="B38" s="2">
        <f>+D20</f>
        <v>3296</v>
      </c>
      <c r="C38" s="34">
        <v>0.1215</v>
      </c>
      <c r="D38" s="2">
        <f>ROUND(B38*C38,0)</f>
        <v>400</v>
      </c>
      <c r="E38" s="2"/>
      <c r="F38" s="2"/>
      <c r="G38" s="2"/>
      <c r="H38" s="2"/>
      <c r="I38" s="2"/>
      <c r="J38" s="2"/>
    </row>
    <row r="39" spans="1:10" ht="15" hidden="1" x14ac:dyDescent="0.4">
      <c r="A39" s="14" t="s">
        <v>202</v>
      </c>
      <c r="B39" s="2">
        <f>+B31</f>
        <v>4527</v>
      </c>
      <c r="C39" s="34">
        <v>0.1215</v>
      </c>
      <c r="D39" s="12">
        <f>ROUND(B39*C39,0)</f>
        <v>550</v>
      </c>
      <c r="E39" s="2"/>
      <c r="F39" s="2"/>
      <c r="G39" s="2"/>
      <c r="H39" s="2"/>
      <c r="I39" s="2"/>
      <c r="J39" s="2"/>
    </row>
    <row r="40" spans="1:10" hidden="1" x14ac:dyDescent="0.25">
      <c r="A40" s="8" t="s">
        <v>1279</v>
      </c>
      <c r="B40" s="2"/>
      <c r="C40" s="15"/>
      <c r="D40" s="2">
        <f>SUM(D36:D39)</f>
        <v>33009</v>
      </c>
      <c r="E40" s="2"/>
      <c r="F40" s="2"/>
      <c r="G40" s="2"/>
      <c r="H40" s="2"/>
      <c r="I40" s="2"/>
      <c r="J40" s="2"/>
    </row>
    <row r="41" spans="1:10" x14ac:dyDescent="0.25">
      <c r="D41" s="2"/>
      <c r="E41" s="2"/>
      <c r="F41" s="2"/>
      <c r="G41" s="2"/>
      <c r="H41" s="2"/>
      <c r="I41" s="2"/>
      <c r="J41" s="2"/>
    </row>
    <row r="42" spans="1:10" ht="13.8" x14ac:dyDescent="0.3">
      <c r="A42" s="11" t="s">
        <v>929</v>
      </c>
      <c r="D42" s="2"/>
      <c r="E42" s="2">
        <v>75399</v>
      </c>
      <c r="F42" s="2">
        <v>87000</v>
      </c>
      <c r="G42" s="2">
        <v>86250</v>
      </c>
      <c r="H42" s="2">
        <v>86250</v>
      </c>
      <c r="I42" s="2">
        <v>86250</v>
      </c>
      <c r="J42" s="2">
        <v>86250</v>
      </c>
    </row>
    <row r="43" spans="1:10" x14ac:dyDescent="0.25">
      <c r="A43" s="8" t="s">
        <v>438</v>
      </c>
      <c r="B43" s="2">
        <v>4</v>
      </c>
      <c r="C43" s="2">
        <v>17250</v>
      </c>
      <c r="D43" s="2">
        <f>ROUND(B43*C43,0)</f>
        <v>69000</v>
      </c>
      <c r="E43" s="2"/>
      <c r="F43" s="2"/>
      <c r="G43" s="2"/>
      <c r="H43" s="2"/>
      <c r="I43" s="2"/>
      <c r="J43" s="2"/>
    </row>
    <row r="44" spans="1:10" ht="15" x14ac:dyDescent="0.4">
      <c r="A44" s="8" t="s">
        <v>366</v>
      </c>
      <c r="B44" s="2">
        <v>1</v>
      </c>
      <c r="C44" s="2">
        <v>17250</v>
      </c>
      <c r="D44" s="12">
        <f>ROUND(B44*C44,0)</f>
        <v>17250</v>
      </c>
      <c r="E44" s="2"/>
      <c r="F44" s="2"/>
      <c r="G44" s="2"/>
      <c r="H44" s="2"/>
      <c r="I44" s="2"/>
      <c r="J44" s="2"/>
    </row>
    <row r="45" spans="1:10" x14ac:dyDescent="0.25">
      <c r="A45" s="8" t="s">
        <v>825</v>
      </c>
      <c r="B45" s="2"/>
      <c r="C45" s="2"/>
      <c r="D45" s="2">
        <f>SUM(D43:D44)</f>
        <v>86250</v>
      </c>
      <c r="E45" s="2"/>
      <c r="F45" s="2"/>
      <c r="G45" s="2"/>
      <c r="H45" s="2"/>
      <c r="I45" s="2"/>
      <c r="J45" s="2"/>
    </row>
    <row r="46" spans="1:10" x14ac:dyDescent="0.25">
      <c r="D46" s="2"/>
      <c r="E46" s="2"/>
      <c r="F46" s="2"/>
      <c r="G46" s="2"/>
      <c r="H46" s="2"/>
      <c r="I46" s="2"/>
      <c r="J46" s="2"/>
    </row>
    <row r="47" spans="1:10" ht="13.8" x14ac:dyDescent="0.3">
      <c r="A47" s="11" t="s">
        <v>930</v>
      </c>
      <c r="D47" s="2"/>
      <c r="E47" s="2">
        <v>5043</v>
      </c>
      <c r="F47" s="2">
        <v>5850</v>
      </c>
      <c r="G47" s="2">
        <v>5850</v>
      </c>
      <c r="H47" s="2">
        <v>5850</v>
      </c>
      <c r="I47" s="2">
        <v>5850</v>
      </c>
      <c r="J47" s="2">
        <v>5850</v>
      </c>
    </row>
    <row r="48" spans="1:10" x14ac:dyDescent="0.25">
      <c r="A48" s="8" t="s">
        <v>438</v>
      </c>
      <c r="B48" s="2">
        <v>5</v>
      </c>
      <c r="C48" s="2">
        <v>1300</v>
      </c>
      <c r="D48" s="2">
        <f>ROUND(B48*C48,0)</f>
        <v>6500</v>
      </c>
      <c r="E48" s="2"/>
      <c r="F48" s="2"/>
      <c r="G48" s="2"/>
      <c r="H48" s="2"/>
      <c r="I48" s="2"/>
      <c r="J48" s="2"/>
    </row>
    <row r="49" spans="1:10" ht="15" x14ac:dyDescent="0.4">
      <c r="A49" s="8" t="s">
        <v>1872</v>
      </c>
      <c r="B49" s="2"/>
      <c r="C49" s="2"/>
      <c r="D49" s="12">
        <f>+D48*-0.1</f>
        <v>-650</v>
      </c>
      <c r="E49" s="2"/>
      <c r="F49" s="2"/>
      <c r="G49" s="2"/>
      <c r="H49" s="2"/>
      <c r="I49" s="2"/>
      <c r="J49" s="2"/>
    </row>
    <row r="50" spans="1:10" x14ac:dyDescent="0.25">
      <c r="A50" s="27"/>
      <c r="B50" s="28"/>
      <c r="C50" s="28"/>
      <c r="D50" s="28">
        <f>SUM(D48:D49)</f>
        <v>5850</v>
      </c>
      <c r="E50" s="2"/>
      <c r="F50" s="2"/>
      <c r="G50" s="2"/>
      <c r="H50" s="2"/>
      <c r="I50" s="2"/>
      <c r="J50" s="2"/>
    </row>
    <row r="51" spans="1:10" x14ac:dyDescent="0.25">
      <c r="D51" s="2"/>
      <c r="E51" s="2"/>
      <c r="F51" s="2"/>
      <c r="G51" s="2"/>
      <c r="H51" s="2"/>
      <c r="I51" s="2"/>
      <c r="J51" s="2"/>
    </row>
    <row r="52" spans="1:10" ht="13.8" x14ac:dyDescent="0.3">
      <c r="A52" s="11" t="s">
        <v>931</v>
      </c>
      <c r="D52" s="2"/>
      <c r="E52" s="2">
        <v>210</v>
      </c>
      <c r="F52" s="2">
        <v>275</v>
      </c>
      <c r="G52" s="2">
        <v>275</v>
      </c>
      <c r="H52" s="2">
        <v>275</v>
      </c>
      <c r="I52" s="2">
        <v>275</v>
      </c>
      <c r="J52" s="2">
        <v>275</v>
      </c>
    </row>
    <row r="53" spans="1:10" hidden="1" x14ac:dyDescent="0.25">
      <c r="A53" s="8" t="s">
        <v>367</v>
      </c>
      <c r="B53" s="2">
        <v>1</v>
      </c>
      <c r="C53" s="2">
        <v>135</v>
      </c>
      <c r="D53" s="2">
        <f>ROUND(B53*C53,0)</f>
        <v>135</v>
      </c>
      <c r="E53" s="2"/>
      <c r="F53" s="2"/>
      <c r="G53" s="2"/>
      <c r="H53" s="2"/>
      <c r="I53" s="2"/>
      <c r="J53" s="2"/>
    </row>
    <row r="54" spans="1:10" ht="15" hidden="1" x14ac:dyDescent="0.4">
      <c r="A54" s="8" t="s">
        <v>1083</v>
      </c>
      <c r="B54" s="2">
        <v>4</v>
      </c>
      <c r="C54" s="2">
        <v>35</v>
      </c>
      <c r="D54" s="12">
        <f>ROUND(B54*C54,0)</f>
        <v>140</v>
      </c>
      <c r="E54" s="2"/>
      <c r="F54" s="2"/>
      <c r="G54" s="2"/>
      <c r="H54" s="2"/>
      <c r="I54" s="2"/>
      <c r="J54" s="2"/>
    </row>
    <row r="55" spans="1:10" hidden="1" x14ac:dyDescent="0.25">
      <c r="A55" s="8" t="s">
        <v>1279</v>
      </c>
      <c r="D55" s="2">
        <f>SUM(D53:D54)</f>
        <v>275</v>
      </c>
      <c r="E55" s="2"/>
      <c r="F55" s="2"/>
      <c r="G55" s="2"/>
      <c r="H55" s="2"/>
      <c r="I55" s="2"/>
      <c r="J55" s="2"/>
    </row>
    <row r="56" spans="1:10" x14ac:dyDescent="0.25">
      <c r="D56" s="2"/>
      <c r="E56" s="2"/>
      <c r="F56" s="2"/>
      <c r="G56" s="2"/>
      <c r="H56" s="2"/>
      <c r="I56" s="2"/>
      <c r="J56" s="2"/>
    </row>
    <row r="57" spans="1:10" ht="13.8" x14ac:dyDescent="0.3">
      <c r="A57" s="11" t="s">
        <v>1508</v>
      </c>
      <c r="D57" s="2"/>
      <c r="E57" s="2">
        <v>1699</v>
      </c>
      <c r="F57" s="2">
        <v>2050</v>
      </c>
      <c r="G57" s="2">
        <v>2050</v>
      </c>
      <c r="H57" s="2">
        <v>2050</v>
      </c>
      <c r="I57" s="2">
        <v>2050</v>
      </c>
      <c r="J57" s="2">
        <v>2050</v>
      </c>
    </row>
    <row r="58" spans="1:10" hidden="1" x14ac:dyDescent="0.25">
      <c r="A58" s="8" t="s">
        <v>850</v>
      </c>
      <c r="B58" s="2">
        <v>5</v>
      </c>
      <c r="C58" s="2">
        <v>410</v>
      </c>
      <c r="D58" s="2">
        <f>ROUND(B58*C58,0)</f>
        <v>2050</v>
      </c>
      <c r="E58" s="2"/>
      <c r="F58" s="2"/>
      <c r="G58" s="2"/>
      <c r="H58" s="2"/>
      <c r="I58" s="2"/>
      <c r="J58" s="2"/>
    </row>
    <row r="59" spans="1:10" x14ac:dyDescent="0.25">
      <c r="D59" s="2"/>
      <c r="E59" s="2"/>
      <c r="F59" s="2"/>
      <c r="G59" s="2"/>
      <c r="H59" s="2"/>
      <c r="I59" s="2"/>
      <c r="J59" s="2"/>
    </row>
    <row r="60" spans="1:10" ht="13.8" x14ac:dyDescent="0.3">
      <c r="A60" s="11" t="s">
        <v>1509</v>
      </c>
      <c r="D60" s="2"/>
      <c r="E60" s="2">
        <v>4808</v>
      </c>
      <c r="F60" s="2">
        <v>5683</v>
      </c>
      <c r="G60" s="2">
        <v>5892</v>
      </c>
      <c r="H60" s="2">
        <v>5866</v>
      </c>
      <c r="I60" s="2">
        <v>5866</v>
      </c>
      <c r="J60" s="2">
        <v>5866</v>
      </c>
    </row>
    <row r="61" spans="1:10" hidden="1" x14ac:dyDescent="0.25">
      <c r="A61" s="14" t="s">
        <v>1511</v>
      </c>
      <c r="B61" s="2">
        <f>+D9</f>
        <v>62116</v>
      </c>
      <c r="C61" s="15">
        <v>2.18E-2</v>
      </c>
      <c r="D61" s="2">
        <f>ROUND(B61*C61,0)</f>
        <v>1354</v>
      </c>
      <c r="E61" s="2"/>
      <c r="F61" s="2"/>
      <c r="G61" s="2"/>
      <c r="H61" s="2"/>
      <c r="I61" s="2"/>
      <c r="J61" s="2"/>
    </row>
    <row r="62" spans="1:10" hidden="1" x14ac:dyDescent="0.25">
      <c r="A62" s="14" t="s">
        <v>831</v>
      </c>
      <c r="B62" s="2">
        <f>+D17</f>
        <v>201745</v>
      </c>
      <c r="C62" s="15">
        <v>2.18E-2</v>
      </c>
      <c r="D62" s="2">
        <f>ROUND(B62*C62,0)</f>
        <v>4398</v>
      </c>
      <c r="E62" s="2"/>
      <c r="F62" s="2"/>
      <c r="G62" s="2"/>
      <c r="H62" s="2"/>
      <c r="I62" s="2"/>
      <c r="J62" s="2"/>
    </row>
    <row r="63" spans="1:10" hidden="1" x14ac:dyDescent="0.25">
      <c r="A63" s="14" t="s">
        <v>309</v>
      </c>
      <c r="B63" s="2">
        <f>ROUND(D20*0.67,0)</f>
        <v>2208</v>
      </c>
      <c r="C63" s="15">
        <v>2.18E-2</v>
      </c>
      <c r="D63" s="2">
        <f>ROUND(B63*C63,0)</f>
        <v>48</v>
      </c>
      <c r="E63" s="2"/>
      <c r="F63" s="2"/>
      <c r="G63" s="2"/>
      <c r="H63" s="2"/>
      <c r="I63" s="2"/>
      <c r="J63" s="2"/>
    </row>
    <row r="64" spans="1:10" ht="15" hidden="1" x14ac:dyDescent="0.4">
      <c r="A64" s="14" t="s">
        <v>354</v>
      </c>
      <c r="B64" s="2">
        <f>ROUND(D25*0.67,0)</f>
        <v>3033</v>
      </c>
      <c r="C64" s="15">
        <v>2.18E-2</v>
      </c>
      <c r="D64" s="12">
        <f>ROUND(B64*C64,0)</f>
        <v>66</v>
      </c>
      <c r="E64" s="2"/>
      <c r="F64" s="2"/>
      <c r="G64" s="2"/>
      <c r="H64" s="2"/>
      <c r="I64" s="2"/>
      <c r="J64" s="2"/>
    </row>
    <row r="65" spans="1:10" hidden="1" x14ac:dyDescent="0.25">
      <c r="A65" s="8" t="s">
        <v>1279</v>
      </c>
      <c r="D65" s="2">
        <f>SUM(D61:D64)</f>
        <v>5866</v>
      </c>
      <c r="E65" s="2"/>
      <c r="F65" s="2"/>
      <c r="G65" s="2"/>
      <c r="H65" s="2"/>
      <c r="I65" s="2"/>
      <c r="J65" s="2"/>
    </row>
    <row r="66" spans="1:10" x14ac:dyDescent="0.25">
      <c r="D66" s="2"/>
      <c r="E66" s="2"/>
      <c r="F66" s="2"/>
      <c r="G66" s="2"/>
      <c r="H66" s="2"/>
      <c r="I66" s="2"/>
      <c r="J66" s="2"/>
    </row>
    <row r="67" spans="1:10" ht="13.8" x14ac:dyDescent="0.3">
      <c r="A67" s="11" t="s">
        <v>500</v>
      </c>
      <c r="D67" s="2"/>
      <c r="E67" s="2">
        <v>190</v>
      </c>
      <c r="F67" s="2">
        <v>240</v>
      </c>
      <c r="G67" s="2">
        <v>240</v>
      </c>
      <c r="H67" s="2">
        <v>240</v>
      </c>
      <c r="I67" s="2">
        <v>240</v>
      </c>
      <c r="J67" s="2">
        <v>240</v>
      </c>
    </row>
    <row r="68" spans="1:10" hidden="1" x14ac:dyDescent="0.25">
      <c r="A68" s="14" t="s">
        <v>1511</v>
      </c>
      <c r="B68" s="2">
        <v>1</v>
      </c>
      <c r="C68" s="2">
        <v>35</v>
      </c>
      <c r="D68" s="2">
        <f>ROUND(B68*C68,0)</f>
        <v>35</v>
      </c>
      <c r="E68" s="2"/>
      <c r="F68" s="2"/>
      <c r="G68" s="2"/>
      <c r="H68" s="2"/>
      <c r="I68" s="2"/>
      <c r="J68" s="2"/>
    </row>
    <row r="69" spans="1:10" ht="15" hidden="1" x14ac:dyDescent="0.4">
      <c r="A69" s="14" t="s">
        <v>831</v>
      </c>
      <c r="B69" s="2">
        <v>4</v>
      </c>
      <c r="C69" s="2">
        <v>35</v>
      </c>
      <c r="D69" s="12">
        <f>ROUND(B69*C69,0)</f>
        <v>140</v>
      </c>
      <c r="E69" s="2"/>
      <c r="F69" s="2"/>
      <c r="G69" s="2"/>
      <c r="H69" s="2"/>
      <c r="I69" s="2"/>
      <c r="J69" s="2"/>
    </row>
    <row r="70" spans="1:10" hidden="1" x14ac:dyDescent="0.25">
      <c r="A70" s="8" t="s">
        <v>1279</v>
      </c>
      <c r="D70" s="2">
        <f>SUM(D68:D69)</f>
        <v>175</v>
      </c>
      <c r="E70" s="2"/>
      <c r="F70" s="2"/>
      <c r="G70" s="2"/>
      <c r="H70" s="2"/>
      <c r="I70" s="2"/>
      <c r="J70" s="2"/>
    </row>
    <row r="71" spans="1:10" x14ac:dyDescent="0.25">
      <c r="D71" s="2"/>
      <c r="E71" s="2"/>
      <c r="F71" s="2"/>
      <c r="G71" s="2"/>
      <c r="H71" s="2"/>
      <c r="I71" s="2"/>
      <c r="J71" s="2"/>
    </row>
    <row r="72" spans="1:10" hidden="1" x14ac:dyDescent="0.25">
      <c r="D72" s="2"/>
      <c r="E72" s="2"/>
      <c r="F72" s="2"/>
      <c r="G72" s="2"/>
      <c r="H72" s="2"/>
      <c r="I72" s="2"/>
      <c r="J72" s="2"/>
    </row>
    <row r="73" spans="1:10" ht="13.8" x14ac:dyDescent="0.3">
      <c r="A73" s="11" t="s">
        <v>255</v>
      </c>
      <c r="C73" s="2"/>
      <c r="D73" s="2"/>
      <c r="E73" s="2">
        <v>762</v>
      </c>
      <c r="F73" s="2">
        <v>0</v>
      </c>
      <c r="G73" s="2">
        <v>0</v>
      </c>
      <c r="H73" s="2">
        <v>0</v>
      </c>
      <c r="I73" s="2">
        <v>0</v>
      </c>
      <c r="J73" s="2">
        <v>0</v>
      </c>
    </row>
    <row r="74" spans="1:10" x14ac:dyDescent="0.25">
      <c r="A74" s="8" t="s">
        <v>1792</v>
      </c>
      <c r="C74" s="2"/>
      <c r="D74" s="2">
        <v>0</v>
      </c>
      <c r="E74" s="2"/>
      <c r="F74" s="2"/>
      <c r="G74" s="2"/>
      <c r="H74" s="2"/>
      <c r="I74" s="2"/>
      <c r="J74" s="2"/>
    </row>
    <row r="75" spans="1:10" x14ac:dyDescent="0.25">
      <c r="C75" s="2"/>
      <c r="D75" s="2"/>
      <c r="E75" s="2"/>
      <c r="F75" s="2"/>
      <c r="G75" s="2"/>
      <c r="H75" s="2"/>
      <c r="I75" s="2"/>
      <c r="J75" s="2"/>
    </row>
    <row r="76" spans="1:10" ht="13.8" x14ac:dyDescent="0.3">
      <c r="A76" s="11" t="s">
        <v>256</v>
      </c>
      <c r="C76" s="2"/>
      <c r="D76" s="2"/>
      <c r="E76" s="2">
        <v>990</v>
      </c>
      <c r="F76" s="2">
        <v>2200</v>
      </c>
      <c r="G76" s="2">
        <v>2200</v>
      </c>
      <c r="H76" s="2">
        <v>2200</v>
      </c>
      <c r="I76" s="2">
        <v>2200</v>
      </c>
      <c r="J76" s="2">
        <v>2200</v>
      </c>
    </row>
    <row r="77" spans="1:10" ht="26.4" x14ac:dyDescent="0.25">
      <c r="A77" s="35" t="s">
        <v>1475</v>
      </c>
      <c r="B77" s="7"/>
      <c r="C77" s="2"/>
      <c r="D77" s="2">
        <v>2200</v>
      </c>
      <c r="E77" s="2"/>
      <c r="F77" s="2"/>
      <c r="G77" s="2"/>
      <c r="H77" s="2"/>
      <c r="I77" s="2"/>
      <c r="J77" s="2"/>
    </row>
    <row r="78" spans="1:10" x14ac:dyDescent="0.25">
      <c r="A78" s="7"/>
      <c r="B78" s="7"/>
      <c r="C78" s="2"/>
      <c r="D78" s="2"/>
      <c r="E78" s="2"/>
      <c r="F78" s="2"/>
      <c r="G78" s="2"/>
      <c r="H78" s="2"/>
      <c r="I78" s="2"/>
      <c r="J78" s="2"/>
    </row>
    <row r="79" spans="1:10" ht="13.8" x14ac:dyDescent="0.3">
      <c r="A79" s="11" t="s">
        <v>237</v>
      </c>
      <c r="D79" s="2" t="s">
        <v>417</v>
      </c>
      <c r="E79" s="2">
        <v>2419</v>
      </c>
      <c r="F79" s="2">
        <v>2730</v>
      </c>
      <c r="G79" s="2">
        <f>D85</f>
        <v>2730</v>
      </c>
      <c r="H79" s="2">
        <v>2730</v>
      </c>
      <c r="I79" s="2">
        <v>2730</v>
      </c>
      <c r="J79" s="2">
        <v>2730</v>
      </c>
    </row>
    <row r="80" spans="1:10" x14ac:dyDescent="0.25">
      <c r="A80" s="8" t="s">
        <v>1093</v>
      </c>
      <c r="B80" s="2">
        <v>1</v>
      </c>
      <c r="C80" s="2">
        <v>300</v>
      </c>
      <c r="D80" s="2">
        <f>ROUND(B80*C80,0)</f>
        <v>300</v>
      </c>
      <c r="E80" s="2"/>
      <c r="F80" s="2"/>
      <c r="G80" s="2"/>
      <c r="H80" s="2"/>
      <c r="I80" s="2"/>
      <c r="J80" s="2"/>
    </row>
    <row r="81" spans="1:10" x14ac:dyDescent="0.25">
      <c r="A81" s="8" t="s">
        <v>958</v>
      </c>
      <c r="B81" s="2">
        <v>4</v>
      </c>
      <c r="C81" s="2">
        <v>300</v>
      </c>
      <c r="D81" s="2">
        <f>ROUND(B81*C81,0)</f>
        <v>1200</v>
      </c>
      <c r="E81" s="2"/>
      <c r="F81" s="2"/>
      <c r="G81" s="2"/>
      <c r="H81" s="2"/>
      <c r="I81" s="2"/>
      <c r="J81" s="2"/>
    </row>
    <row r="82" spans="1:10" x14ac:dyDescent="0.25">
      <c r="A82" s="8" t="s">
        <v>1201</v>
      </c>
      <c r="B82" s="2">
        <v>1</v>
      </c>
      <c r="C82" s="2">
        <v>130</v>
      </c>
      <c r="D82" s="2">
        <f>ROUND(B82*C82,0)</f>
        <v>130</v>
      </c>
      <c r="E82" s="2"/>
      <c r="F82" s="2"/>
      <c r="G82" s="2"/>
      <c r="H82" s="2"/>
      <c r="I82" s="2"/>
      <c r="J82" s="2"/>
    </row>
    <row r="83" spans="1:10" x14ac:dyDescent="0.25">
      <c r="A83" s="8" t="s">
        <v>1202</v>
      </c>
      <c r="B83" s="2">
        <v>4</v>
      </c>
      <c r="C83" s="2">
        <v>200</v>
      </c>
      <c r="D83" s="2">
        <f>ROUND(B83*C83,0)</f>
        <v>800</v>
      </c>
      <c r="E83" s="2"/>
      <c r="F83" s="2"/>
      <c r="G83" s="2"/>
      <c r="H83" s="2"/>
      <c r="I83" s="2"/>
      <c r="J83" s="2"/>
    </row>
    <row r="84" spans="1:10" ht="15" x14ac:dyDescent="0.4">
      <c r="A84" s="7" t="s">
        <v>919</v>
      </c>
      <c r="B84" s="2">
        <v>5</v>
      </c>
      <c r="C84" s="2">
        <v>60</v>
      </c>
      <c r="D84" s="12">
        <v>300</v>
      </c>
      <c r="E84" s="2"/>
      <c r="F84" s="2"/>
      <c r="G84" s="2"/>
      <c r="H84" s="2"/>
      <c r="I84" s="2"/>
      <c r="J84" s="2"/>
    </row>
    <row r="85" spans="1:10" x14ac:dyDescent="0.25">
      <c r="A85" s="8" t="s">
        <v>1279</v>
      </c>
      <c r="D85" s="2">
        <f>SUM(D80:D84)</f>
        <v>2730</v>
      </c>
      <c r="E85" s="2"/>
      <c r="F85" s="2"/>
      <c r="G85" s="2"/>
      <c r="H85" s="2"/>
      <c r="I85" s="2"/>
      <c r="J85" s="2"/>
    </row>
    <row r="86" spans="1:10" x14ac:dyDescent="0.25">
      <c r="D86" s="2"/>
      <c r="F86" s="2"/>
      <c r="G86" s="2"/>
      <c r="H86" s="2"/>
      <c r="I86" s="2"/>
      <c r="J86" s="2"/>
    </row>
    <row r="87" spans="1:10" ht="13.8" x14ac:dyDescent="0.3">
      <c r="A87" s="11" t="s">
        <v>160</v>
      </c>
      <c r="D87" s="2">
        <v>125</v>
      </c>
      <c r="E87" s="8">
        <v>128</v>
      </c>
      <c r="F87" s="2">
        <v>125</v>
      </c>
      <c r="G87" s="2">
        <v>125</v>
      </c>
      <c r="H87" s="2">
        <v>125</v>
      </c>
      <c r="I87" s="2">
        <v>125</v>
      </c>
      <c r="J87" s="2">
        <v>125</v>
      </c>
    </row>
    <row r="88" spans="1:10" x14ac:dyDescent="0.25">
      <c r="D88" s="2"/>
      <c r="F88" s="2"/>
      <c r="G88" s="2"/>
      <c r="H88" s="2"/>
      <c r="I88" s="2"/>
      <c r="J88" s="2"/>
    </row>
    <row r="89" spans="1:10" ht="13.8" x14ac:dyDescent="0.3">
      <c r="A89" s="11" t="s">
        <v>920</v>
      </c>
      <c r="D89" s="2"/>
      <c r="E89" s="2">
        <v>1956</v>
      </c>
      <c r="F89" s="2">
        <v>1280</v>
      </c>
      <c r="G89" s="2">
        <v>1565</v>
      </c>
      <c r="H89" s="2">
        <v>1565</v>
      </c>
      <c r="I89" s="2">
        <v>1565</v>
      </c>
      <c r="J89" s="2">
        <v>1565</v>
      </c>
    </row>
    <row r="90" spans="1:10" x14ac:dyDescent="0.25">
      <c r="A90" s="8" t="s">
        <v>1274</v>
      </c>
      <c r="B90" s="2">
        <v>570</v>
      </c>
      <c r="C90" s="13">
        <v>2.5</v>
      </c>
      <c r="D90" s="2">
        <f>ROUND(B90*C90,0)</f>
        <v>1425</v>
      </c>
      <c r="E90" s="2"/>
      <c r="F90" s="2"/>
      <c r="G90" s="2"/>
      <c r="H90" s="2"/>
      <c r="I90" s="2"/>
      <c r="J90" s="2"/>
    </row>
    <row r="91" spans="1:10" ht="15" x14ac:dyDescent="0.4">
      <c r="A91" s="8" t="s">
        <v>476</v>
      </c>
      <c r="B91" s="2">
        <v>50</v>
      </c>
      <c r="C91" s="13">
        <v>2.8</v>
      </c>
      <c r="D91" s="12">
        <f>ROUND(B91*C91,0)</f>
        <v>140</v>
      </c>
      <c r="E91" s="2"/>
      <c r="F91" s="2"/>
      <c r="G91" s="2"/>
      <c r="H91" s="2"/>
      <c r="I91" s="2"/>
      <c r="J91" s="2"/>
    </row>
    <row r="92" spans="1:10" x14ac:dyDescent="0.25">
      <c r="A92" s="8" t="s">
        <v>1279</v>
      </c>
      <c r="B92" s="2"/>
      <c r="C92" s="15"/>
      <c r="D92" s="2">
        <f>SUM(D90:D91)</f>
        <v>1565</v>
      </c>
      <c r="E92" s="2"/>
      <c r="F92" s="2"/>
      <c r="G92" s="2"/>
      <c r="H92" s="2"/>
      <c r="I92" s="2"/>
      <c r="J92" s="2"/>
    </row>
    <row r="93" spans="1:10" x14ac:dyDescent="0.25">
      <c r="B93" s="2"/>
      <c r="C93" s="15"/>
      <c r="D93" s="2"/>
      <c r="E93" s="2"/>
      <c r="F93" s="2"/>
      <c r="G93" s="2"/>
      <c r="H93" s="2"/>
      <c r="I93" s="2"/>
      <c r="J93" s="2"/>
    </row>
    <row r="94" spans="1:10" ht="13.8" x14ac:dyDescent="0.3">
      <c r="A94" s="11" t="s">
        <v>1275</v>
      </c>
      <c r="B94" s="2"/>
      <c r="C94" s="15"/>
      <c r="D94" s="2"/>
      <c r="E94" s="2">
        <v>480</v>
      </c>
      <c r="F94" s="2">
        <v>480</v>
      </c>
      <c r="G94" s="2">
        <v>480</v>
      </c>
      <c r="H94" s="2">
        <v>480</v>
      </c>
      <c r="I94" s="2">
        <v>480</v>
      </c>
      <c r="J94" s="2">
        <v>480</v>
      </c>
    </row>
    <row r="95" spans="1:10" x14ac:dyDescent="0.25">
      <c r="A95" s="8" t="s">
        <v>322</v>
      </c>
      <c r="B95" s="2"/>
      <c r="C95" s="2"/>
      <c r="D95" s="2">
        <v>480</v>
      </c>
      <c r="E95" s="2"/>
      <c r="F95" s="2"/>
      <c r="G95" s="2"/>
      <c r="H95" s="2"/>
      <c r="I95" s="2"/>
      <c r="J95" s="2"/>
    </row>
    <row r="96" spans="1:10" x14ac:dyDescent="0.25">
      <c r="B96" s="2"/>
      <c r="C96" s="2"/>
      <c r="D96" s="2"/>
      <c r="E96" s="2"/>
      <c r="F96" s="2"/>
      <c r="G96" s="2"/>
      <c r="H96" s="2"/>
      <c r="I96" s="2"/>
      <c r="J96" s="2"/>
    </row>
    <row r="97" spans="1:10" x14ac:dyDescent="0.25">
      <c r="C97" s="2"/>
      <c r="D97" s="2"/>
      <c r="E97" s="2"/>
      <c r="I97" s="209"/>
      <c r="J97" s="213"/>
    </row>
    <row r="98" spans="1:10" ht="13.8" x14ac:dyDescent="0.3">
      <c r="A98" s="18" t="s">
        <v>880</v>
      </c>
      <c r="C98" s="2"/>
      <c r="D98" s="2"/>
      <c r="E98" s="2">
        <v>2934.72</v>
      </c>
      <c r="F98" s="2">
        <v>3165</v>
      </c>
      <c r="G98" s="2">
        <v>3454</v>
      </c>
      <c r="H98" s="2">
        <v>3247</v>
      </c>
      <c r="I98" s="2">
        <v>3247</v>
      </c>
      <c r="J98" s="2">
        <v>3247</v>
      </c>
    </row>
    <row r="99" spans="1:10" hidden="1" x14ac:dyDescent="0.25">
      <c r="A99" s="8" t="s">
        <v>1788</v>
      </c>
      <c r="C99" s="2"/>
      <c r="D99" s="2">
        <v>3165</v>
      </c>
      <c r="E99" s="2"/>
      <c r="F99" s="2"/>
      <c r="G99" s="2"/>
      <c r="H99" s="2"/>
      <c r="I99" s="2"/>
      <c r="J99" s="2"/>
    </row>
    <row r="100" spans="1:10" x14ac:dyDescent="0.25">
      <c r="C100" s="2"/>
      <c r="D100" s="2"/>
      <c r="E100" s="2"/>
      <c r="F100" s="2"/>
      <c r="G100" s="2"/>
      <c r="H100" s="2"/>
      <c r="I100" s="2"/>
      <c r="J100" s="2"/>
    </row>
    <row r="101" spans="1:10" ht="13.8" x14ac:dyDescent="0.3">
      <c r="A101" s="11" t="s">
        <v>881</v>
      </c>
      <c r="C101" s="2"/>
      <c r="D101" s="2"/>
      <c r="E101" s="2">
        <v>383</v>
      </c>
      <c r="F101" s="2">
        <v>700</v>
      </c>
      <c r="G101" s="2">
        <v>700</v>
      </c>
      <c r="H101" s="2">
        <v>700</v>
      </c>
      <c r="I101" s="2">
        <v>700</v>
      </c>
      <c r="J101" s="2">
        <v>700</v>
      </c>
    </row>
    <row r="102" spans="1:10" x14ac:dyDescent="0.25">
      <c r="A102" s="8" t="s">
        <v>629</v>
      </c>
      <c r="C102" s="2"/>
      <c r="D102" s="2">
        <v>700</v>
      </c>
      <c r="E102" s="2"/>
      <c r="F102" s="2"/>
      <c r="G102" s="2"/>
      <c r="H102" s="2"/>
      <c r="I102" s="2"/>
      <c r="J102" s="2"/>
    </row>
    <row r="103" spans="1:10" x14ac:dyDescent="0.25">
      <c r="C103" s="2"/>
      <c r="D103" s="2"/>
      <c r="E103" s="2"/>
      <c r="F103" s="2"/>
      <c r="G103" s="2"/>
      <c r="H103" s="2"/>
      <c r="I103" s="2"/>
      <c r="J103" s="2"/>
    </row>
    <row r="104" spans="1:10" ht="13.8" x14ac:dyDescent="0.3">
      <c r="A104" s="11" t="s">
        <v>1121</v>
      </c>
      <c r="C104" s="2"/>
      <c r="D104" s="2"/>
      <c r="E104" s="2">
        <v>2994</v>
      </c>
      <c r="F104" s="2">
        <v>4500</v>
      </c>
      <c r="G104" s="2">
        <v>4500</v>
      </c>
      <c r="H104" s="2">
        <v>4500</v>
      </c>
      <c r="I104" s="2">
        <v>4500</v>
      </c>
      <c r="J104" s="2">
        <v>4500</v>
      </c>
    </row>
    <row r="105" spans="1:10" x14ac:dyDescent="0.25">
      <c r="A105" s="8" t="s">
        <v>1793</v>
      </c>
      <c r="C105" s="2"/>
      <c r="D105" s="2">
        <v>4500</v>
      </c>
      <c r="E105" s="2"/>
      <c r="F105" s="2"/>
      <c r="G105" s="2"/>
      <c r="H105" s="2"/>
      <c r="I105" s="2"/>
      <c r="J105" s="2"/>
    </row>
    <row r="106" spans="1:10" x14ac:dyDescent="0.25">
      <c r="A106" s="8" t="s">
        <v>1476</v>
      </c>
      <c r="B106" s="2"/>
      <c r="C106" s="19"/>
      <c r="D106" s="19"/>
      <c r="E106" s="2"/>
      <c r="F106" s="2"/>
      <c r="G106" s="2"/>
      <c r="H106" s="2"/>
      <c r="I106" s="2"/>
      <c r="J106" s="2"/>
    </row>
    <row r="107" spans="1:10" x14ac:dyDescent="0.25">
      <c r="C107" s="2"/>
      <c r="D107" s="2"/>
      <c r="E107" s="2"/>
      <c r="F107" s="2"/>
      <c r="G107" s="2"/>
      <c r="H107" s="2"/>
      <c r="I107" s="2"/>
      <c r="J107" s="2"/>
    </row>
    <row r="108" spans="1:10" ht="13.8" x14ac:dyDescent="0.3">
      <c r="A108" s="11" t="s">
        <v>1122</v>
      </c>
      <c r="C108" s="2"/>
      <c r="E108" s="2">
        <v>40</v>
      </c>
      <c r="F108" s="2">
        <v>900</v>
      </c>
      <c r="G108" s="2">
        <v>250</v>
      </c>
      <c r="H108" s="2">
        <v>250</v>
      </c>
      <c r="I108" s="2">
        <v>250</v>
      </c>
      <c r="J108" s="2">
        <v>250</v>
      </c>
    </row>
    <row r="109" spans="1:10" x14ac:dyDescent="0.25">
      <c r="A109" s="8" t="s">
        <v>1916</v>
      </c>
      <c r="C109" s="2"/>
      <c r="D109" s="2">
        <v>250</v>
      </c>
      <c r="E109" s="2"/>
      <c r="F109" s="2"/>
      <c r="G109" s="2"/>
      <c r="H109" s="2"/>
      <c r="I109" s="2"/>
      <c r="J109" s="2"/>
    </row>
    <row r="110" spans="1:10" x14ac:dyDescent="0.25">
      <c r="C110" s="2"/>
      <c r="D110" s="2"/>
      <c r="E110" s="2"/>
      <c r="F110" s="2"/>
      <c r="G110" s="2"/>
      <c r="H110" s="2"/>
      <c r="I110" s="2"/>
      <c r="J110" s="2"/>
    </row>
    <row r="111" spans="1:10" ht="13.8" x14ac:dyDescent="0.3">
      <c r="A111" s="11" t="s">
        <v>1610</v>
      </c>
      <c r="C111" s="2"/>
      <c r="E111" s="2">
        <v>3238</v>
      </c>
      <c r="F111" s="2">
        <v>2628</v>
      </c>
      <c r="G111" s="2">
        <f>D116</f>
        <v>11928</v>
      </c>
      <c r="H111" s="2">
        <v>11928</v>
      </c>
      <c r="I111" s="2">
        <v>11928</v>
      </c>
      <c r="J111" s="2">
        <v>11928</v>
      </c>
    </row>
    <row r="112" spans="1:10" x14ac:dyDescent="0.25">
      <c r="A112" s="8" t="s">
        <v>2144</v>
      </c>
      <c r="C112" s="2"/>
      <c r="D112" s="2">
        <v>2628</v>
      </c>
      <c r="E112" s="2"/>
      <c r="F112" s="2"/>
      <c r="G112" s="2"/>
      <c r="H112" s="2"/>
      <c r="I112" s="2"/>
      <c r="J112" s="2"/>
    </row>
    <row r="113" spans="1:10" x14ac:dyDescent="0.25">
      <c r="A113" s="8" t="s">
        <v>2211</v>
      </c>
      <c r="C113" s="2"/>
      <c r="D113" s="2">
        <v>8500</v>
      </c>
      <c r="E113" s="2"/>
      <c r="F113" s="2"/>
      <c r="G113" s="2"/>
      <c r="H113" s="2"/>
      <c r="I113" s="2"/>
      <c r="J113" s="2"/>
    </row>
    <row r="114" spans="1:10" x14ac:dyDescent="0.25">
      <c r="A114" s="8" t="s">
        <v>2212</v>
      </c>
      <c r="C114" s="2"/>
      <c r="D114" s="2"/>
      <c r="E114" s="2"/>
      <c r="F114" s="2"/>
      <c r="G114" s="2"/>
      <c r="H114" s="2"/>
      <c r="I114" s="2"/>
      <c r="J114" s="2"/>
    </row>
    <row r="115" spans="1:10" ht="15" x14ac:dyDescent="0.4">
      <c r="A115" s="8" t="s">
        <v>2145</v>
      </c>
      <c r="C115" s="2"/>
      <c r="D115" s="12">
        <v>800</v>
      </c>
      <c r="E115" s="2"/>
      <c r="F115" s="2"/>
      <c r="G115" s="2"/>
      <c r="H115" s="2"/>
      <c r="I115" s="2"/>
      <c r="J115" s="2"/>
    </row>
    <row r="116" spans="1:10" x14ac:dyDescent="0.25">
      <c r="C116" s="2"/>
      <c r="D116" s="2">
        <f>SUM(D112:D115)</f>
        <v>11928</v>
      </c>
      <c r="E116" s="2"/>
      <c r="F116" s="2"/>
      <c r="G116" s="2"/>
      <c r="H116" s="2"/>
      <c r="I116" s="2"/>
      <c r="J116" s="2"/>
    </row>
    <row r="117" spans="1:10" x14ac:dyDescent="0.25">
      <c r="C117" s="2"/>
      <c r="D117" s="2"/>
      <c r="E117" s="2"/>
      <c r="F117" s="2"/>
      <c r="G117" s="2"/>
      <c r="H117" s="2"/>
      <c r="I117" s="2"/>
      <c r="J117" s="2"/>
    </row>
    <row r="118" spans="1:10" ht="13.8" x14ac:dyDescent="0.3">
      <c r="A118" s="11" t="s">
        <v>1659</v>
      </c>
      <c r="C118" s="2"/>
      <c r="D118" s="2"/>
      <c r="E118" s="2">
        <v>257</v>
      </c>
      <c r="F118" s="2">
        <v>1500</v>
      </c>
      <c r="G118" s="2">
        <v>1500</v>
      </c>
      <c r="H118" s="2">
        <v>1500</v>
      </c>
      <c r="I118" s="2">
        <v>1500</v>
      </c>
      <c r="J118" s="2">
        <v>1500</v>
      </c>
    </row>
    <row r="119" spans="1:10" x14ac:dyDescent="0.25">
      <c r="A119" s="8" t="s">
        <v>1917</v>
      </c>
      <c r="C119" s="2"/>
      <c r="D119" s="2">
        <v>1500</v>
      </c>
      <c r="E119" s="2"/>
      <c r="F119" s="2"/>
      <c r="G119" s="2"/>
      <c r="H119" s="2"/>
      <c r="I119" s="2"/>
      <c r="J119" s="2"/>
    </row>
    <row r="120" spans="1:10" x14ac:dyDescent="0.25">
      <c r="C120" s="2"/>
      <c r="D120" s="2"/>
      <c r="E120" s="2"/>
      <c r="F120" s="2"/>
      <c r="G120" s="2"/>
      <c r="H120" s="2"/>
      <c r="I120" s="2"/>
      <c r="J120" s="2"/>
    </row>
    <row r="121" spans="1:10" ht="13.8" x14ac:dyDescent="0.3">
      <c r="A121" s="11" t="s">
        <v>694</v>
      </c>
      <c r="C121" s="2"/>
      <c r="D121" s="2"/>
      <c r="E121" s="2">
        <v>103</v>
      </c>
      <c r="F121" s="2">
        <v>300</v>
      </c>
      <c r="G121" s="2">
        <v>200</v>
      </c>
      <c r="H121" s="2">
        <v>200</v>
      </c>
      <c r="I121" s="2">
        <v>200</v>
      </c>
      <c r="J121" s="2">
        <v>200</v>
      </c>
    </row>
    <row r="122" spans="1:10" x14ac:dyDescent="0.25">
      <c r="A122" s="8" t="s">
        <v>1513</v>
      </c>
      <c r="C122" s="2"/>
      <c r="D122" s="2">
        <v>200</v>
      </c>
      <c r="E122" s="2"/>
      <c r="F122" s="2"/>
      <c r="G122" s="2"/>
      <c r="H122" s="2"/>
      <c r="I122" s="2"/>
      <c r="J122" s="2"/>
    </row>
    <row r="123" spans="1:10" ht="15" x14ac:dyDescent="0.4">
      <c r="A123" s="8" t="s">
        <v>1151</v>
      </c>
      <c r="C123" s="2"/>
      <c r="D123" s="12">
        <v>0</v>
      </c>
      <c r="E123" s="2"/>
      <c r="F123" s="2"/>
      <c r="G123" s="2"/>
      <c r="H123" s="2"/>
      <c r="I123" s="2"/>
      <c r="J123" s="2"/>
    </row>
    <row r="124" spans="1:10" x14ac:dyDescent="0.25">
      <c r="A124" s="8" t="s">
        <v>1279</v>
      </c>
      <c r="C124" s="2"/>
      <c r="D124" s="2">
        <f>SUM(D122:D123)</f>
        <v>200</v>
      </c>
      <c r="E124" s="2"/>
      <c r="I124" s="209"/>
      <c r="J124" s="213"/>
    </row>
    <row r="125" spans="1:10" ht="15" x14ac:dyDescent="0.4">
      <c r="A125" s="11" t="s">
        <v>453</v>
      </c>
      <c r="C125" s="2"/>
      <c r="D125" s="2"/>
      <c r="E125" s="12">
        <v>0</v>
      </c>
      <c r="F125" s="12">
        <v>0</v>
      </c>
      <c r="G125" s="12">
        <v>0</v>
      </c>
      <c r="H125" s="12">
        <v>0</v>
      </c>
      <c r="I125" s="12">
        <v>0</v>
      </c>
      <c r="J125" s="12">
        <v>0</v>
      </c>
    </row>
    <row r="126" spans="1:10" x14ac:dyDescent="0.25">
      <c r="A126" s="25"/>
      <c r="C126" s="2"/>
      <c r="D126" s="2">
        <v>0</v>
      </c>
      <c r="E126" s="2"/>
      <c r="F126" s="2"/>
      <c r="G126" s="2"/>
      <c r="H126" s="2"/>
      <c r="I126" s="2"/>
      <c r="J126" s="2"/>
    </row>
    <row r="127" spans="1:10" x14ac:dyDescent="0.25">
      <c r="C127" s="2"/>
      <c r="D127" s="2"/>
      <c r="E127" s="2"/>
      <c r="F127" s="2"/>
      <c r="G127" s="2"/>
      <c r="H127" s="2"/>
      <c r="I127" s="2"/>
      <c r="J127" s="2"/>
    </row>
    <row r="128" spans="1:10" x14ac:dyDescent="0.25">
      <c r="A128" s="8" t="s">
        <v>1366</v>
      </c>
      <c r="C128" s="2"/>
      <c r="D128" s="71"/>
      <c r="E128" s="2">
        <f t="shared" ref="E128:H128" si="0">SUM(E6:E127)</f>
        <v>366538.72</v>
      </c>
      <c r="F128" s="2">
        <f t="shared" si="0"/>
        <v>437074</v>
      </c>
      <c r="G128" s="2">
        <f t="shared" si="0"/>
        <v>455665</v>
      </c>
      <c r="H128" s="2">
        <f t="shared" si="0"/>
        <v>455432</v>
      </c>
      <c r="I128" s="2">
        <f>SUM(I6:I127)</f>
        <v>455432</v>
      </c>
      <c r="J128" s="2">
        <f>SUM(J6:J127)</f>
        <v>455432</v>
      </c>
    </row>
    <row r="129" spans="1:10" x14ac:dyDescent="0.25">
      <c r="I129" s="209"/>
      <c r="J129" s="213"/>
    </row>
    <row r="130" spans="1:10" x14ac:dyDescent="0.25">
      <c r="I130" s="209"/>
      <c r="J130" s="213"/>
    </row>
    <row r="131" spans="1:10" x14ac:dyDescent="0.25">
      <c r="A131" s="8" t="s">
        <v>1001</v>
      </c>
      <c r="C131" s="71"/>
      <c r="D131" s="71"/>
      <c r="E131" s="2">
        <f t="shared" ref="E131:H131" si="1">SUM(E6:E71)</f>
        <v>349854</v>
      </c>
      <c r="F131" s="2">
        <f t="shared" si="1"/>
        <v>416566</v>
      </c>
      <c r="G131" s="2">
        <f t="shared" si="1"/>
        <v>426033</v>
      </c>
      <c r="H131" s="2">
        <f t="shared" si="1"/>
        <v>426007</v>
      </c>
      <c r="I131" s="2">
        <f>SUM(I6:I71)</f>
        <v>426007</v>
      </c>
      <c r="J131" s="2">
        <f>SUM(J6:J71)</f>
        <v>426007</v>
      </c>
    </row>
    <row r="132" spans="1:10" x14ac:dyDescent="0.25">
      <c r="A132" s="8" t="s">
        <v>975</v>
      </c>
      <c r="C132" s="59"/>
      <c r="D132" s="71"/>
      <c r="E132" s="2">
        <f t="shared" ref="E132:H132" si="2">SUM(E73:E121)</f>
        <v>16684.72</v>
      </c>
      <c r="F132" s="2">
        <f t="shared" si="2"/>
        <v>20508</v>
      </c>
      <c r="G132" s="2">
        <f t="shared" si="2"/>
        <v>29632</v>
      </c>
      <c r="H132" s="2">
        <f t="shared" si="2"/>
        <v>29425</v>
      </c>
      <c r="I132" s="2">
        <f>SUM(I73:I121)</f>
        <v>29425</v>
      </c>
      <c r="J132" s="2">
        <f>SUM(J73:J121)</f>
        <v>29425</v>
      </c>
    </row>
    <row r="133" spans="1:10" ht="15" x14ac:dyDescent="0.4">
      <c r="A133" s="8" t="s">
        <v>976</v>
      </c>
      <c r="E133" s="12">
        <f t="shared" ref="E133:H133" si="3">SUM(E125)</f>
        <v>0</v>
      </c>
      <c r="F133" s="12">
        <f t="shared" si="3"/>
        <v>0</v>
      </c>
      <c r="G133" s="12">
        <f t="shared" si="3"/>
        <v>0</v>
      </c>
      <c r="H133" s="12">
        <f t="shared" si="3"/>
        <v>0</v>
      </c>
      <c r="I133" s="12">
        <f>SUM(I125)</f>
        <v>0</v>
      </c>
      <c r="J133" s="12">
        <f>SUM(J125)</f>
        <v>0</v>
      </c>
    </row>
    <row r="134" spans="1:10" x14ac:dyDescent="0.25">
      <c r="A134" s="8" t="s">
        <v>1279</v>
      </c>
      <c r="E134" s="2">
        <f t="shared" ref="E134:H134" si="4">SUM(E131:E133)</f>
        <v>366538.72</v>
      </c>
      <c r="F134" s="2">
        <f t="shared" si="4"/>
        <v>437074</v>
      </c>
      <c r="G134" s="2">
        <f t="shared" si="4"/>
        <v>455665</v>
      </c>
      <c r="H134" s="2">
        <f t="shared" si="4"/>
        <v>455432</v>
      </c>
      <c r="I134" s="2">
        <f>SUM(I131:I133)</f>
        <v>455432</v>
      </c>
      <c r="J134" s="2">
        <f>SUM(J131:J133)</f>
        <v>455432</v>
      </c>
    </row>
    <row r="135" spans="1:10" x14ac:dyDescent="0.25">
      <c r="I135" s="209"/>
      <c r="J135" s="213"/>
    </row>
    <row r="136" spans="1:10" x14ac:dyDescent="0.25">
      <c r="I136" s="209"/>
      <c r="J136" s="213"/>
    </row>
    <row r="137" spans="1:10" x14ac:dyDescent="0.25">
      <c r="I137" s="209"/>
      <c r="J137" s="213"/>
    </row>
    <row r="138" spans="1:10" x14ac:dyDescent="0.25">
      <c r="I138" s="209"/>
      <c r="J138" s="213"/>
    </row>
    <row r="139" spans="1:10" x14ac:dyDescent="0.25">
      <c r="I139" s="209"/>
      <c r="J139" s="213"/>
    </row>
    <row r="140" spans="1:10" x14ac:dyDescent="0.25">
      <c r="I140" s="209"/>
      <c r="J140" s="213"/>
    </row>
    <row r="141" spans="1:10" x14ac:dyDescent="0.25">
      <c r="I141" s="209"/>
      <c r="J141" s="213"/>
    </row>
    <row r="142" spans="1:10" x14ac:dyDescent="0.25">
      <c r="I142" s="209"/>
      <c r="J142" s="213"/>
    </row>
    <row r="143" spans="1:10" x14ac:dyDescent="0.25">
      <c r="I143" s="209"/>
      <c r="J143" s="213"/>
    </row>
    <row r="144" spans="1:10" x14ac:dyDescent="0.25">
      <c r="I144" s="209"/>
      <c r="J144" s="213"/>
    </row>
    <row r="145" spans="9:10" x14ac:dyDescent="0.25">
      <c r="I145" s="209"/>
      <c r="J145" s="213"/>
    </row>
    <row r="146" spans="9:10" x14ac:dyDescent="0.25">
      <c r="I146" s="209"/>
      <c r="J146" s="213"/>
    </row>
    <row r="147" spans="9:10" x14ac:dyDescent="0.25">
      <c r="I147" s="209"/>
      <c r="J147" s="213"/>
    </row>
    <row r="148" spans="9:10" x14ac:dyDescent="0.25">
      <c r="I148" s="209"/>
      <c r="J148" s="213"/>
    </row>
    <row r="149" spans="9:10" x14ac:dyDescent="0.25">
      <c r="I149" s="209"/>
      <c r="J149" s="213"/>
    </row>
    <row r="150" spans="9:10" x14ac:dyDescent="0.25">
      <c r="I150" s="209"/>
      <c r="J150" s="213"/>
    </row>
    <row r="151" spans="9:10" x14ac:dyDescent="0.25">
      <c r="I151" s="209"/>
      <c r="J151" s="213"/>
    </row>
    <row r="152" spans="9:10" x14ac:dyDescent="0.25">
      <c r="I152" s="209"/>
      <c r="J152" s="213"/>
    </row>
    <row r="153" spans="9:10" x14ac:dyDescent="0.25">
      <c r="I153" s="209"/>
      <c r="J153" s="213"/>
    </row>
    <row r="154" spans="9:10" x14ac:dyDescent="0.25">
      <c r="I154" s="209"/>
      <c r="J154" s="213"/>
    </row>
    <row r="155" spans="9:10" x14ac:dyDescent="0.25">
      <c r="I155" s="209"/>
      <c r="J155" s="213"/>
    </row>
    <row r="156" spans="9:10" x14ac:dyDescent="0.25">
      <c r="I156" s="209"/>
      <c r="J156" s="213"/>
    </row>
    <row r="157" spans="9:10" x14ac:dyDescent="0.25">
      <c r="I157" s="209"/>
      <c r="J157" s="213"/>
    </row>
    <row r="158" spans="9:10" x14ac:dyDescent="0.25">
      <c r="I158" s="209"/>
      <c r="J158" s="213"/>
    </row>
    <row r="159" spans="9:10" x14ac:dyDescent="0.25">
      <c r="I159" s="209"/>
      <c r="J159" s="213"/>
    </row>
    <row r="160" spans="9:10" x14ac:dyDescent="0.25">
      <c r="I160" s="209"/>
      <c r="J160" s="213"/>
    </row>
    <row r="161" spans="9:10" x14ac:dyDescent="0.25">
      <c r="I161" s="209"/>
      <c r="J161" s="213"/>
    </row>
    <row r="162" spans="9:10" x14ac:dyDescent="0.25">
      <c r="I162" s="209"/>
      <c r="J162" s="213"/>
    </row>
    <row r="163" spans="9:10" x14ac:dyDescent="0.25">
      <c r="I163" s="209"/>
    </row>
    <row r="164" spans="9:10" x14ac:dyDescent="0.25">
      <c r="I164" s="209"/>
    </row>
    <row r="165" spans="9:10" x14ac:dyDescent="0.25">
      <c r="I165" s="209"/>
    </row>
    <row r="166" spans="9:10" x14ac:dyDescent="0.25">
      <c r="I166" s="209"/>
    </row>
    <row r="167" spans="9:10" x14ac:dyDescent="0.25">
      <c r="I167" s="209"/>
    </row>
    <row r="168" spans="9:10" x14ac:dyDescent="0.25">
      <c r="I168" s="209"/>
    </row>
  </sheetData>
  <mergeCells count="1">
    <mergeCell ref="A1:J1"/>
  </mergeCells>
  <phoneticPr fontId="0" type="noConversion"/>
  <printOptions gridLines="1"/>
  <pageMargins left="0.75" right="0.16" top="0.51" bottom="0.22" header="0.5" footer="0.5"/>
  <pageSetup scale="89" fitToHeight="5"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J157"/>
  <sheetViews>
    <sheetView view="pageBreakPreview" topLeftCell="A113" zoomScaleNormal="100" zoomScaleSheetLayoutView="100" workbookViewId="0">
      <selection activeCell="A89" sqref="A89"/>
    </sheetView>
  </sheetViews>
  <sheetFormatPr defaultRowHeight="13.2" x14ac:dyDescent="0.25"/>
  <cols>
    <col min="1" max="1" width="52.88671875" style="8" customWidth="1"/>
    <col min="2" max="2" width="9.5546875" style="8" customWidth="1"/>
    <col min="3" max="3" width="8.5546875" style="8" bestFit="1" customWidth="1"/>
    <col min="4" max="4" width="9.44140625" style="8" bestFit="1" customWidth="1"/>
    <col min="5" max="7" width="10.88671875" style="8" customWidth="1"/>
    <col min="8" max="8" width="14" style="8" bestFit="1" customWidth="1"/>
    <col min="9" max="10" width="10.88671875" style="8" customWidth="1"/>
    <col min="11" max="16384" width="8.88671875" style="8"/>
  </cols>
  <sheetData>
    <row r="1" spans="1:10" x14ac:dyDescent="0.25">
      <c r="A1" s="217" t="s">
        <v>1972</v>
      </c>
      <c r="B1" s="218"/>
      <c r="C1" s="218"/>
      <c r="D1" s="218"/>
      <c r="E1" s="218"/>
      <c r="F1" s="218"/>
      <c r="G1" s="218"/>
      <c r="H1" s="218"/>
      <c r="I1" s="218"/>
      <c r="J1" s="218"/>
    </row>
    <row r="2" spans="1:10" ht="17.399999999999999" x14ac:dyDescent="0.3">
      <c r="A2" s="202" t="s">
        <v>2250</v>
      </c>
      <c r="B2" s="202"/>
      <c r="C2" s="202"/>
      <c r="D2" s="202"/>
      <c r="E2" s="202"/>
      <c r="F2" s="202"/>
    </row>
    <row r="3" spans="1:10" x14ac:dyDescent="0.25">
      <c r="B3" s="2"/>
      <c r="C3" s="2"/>
      <c r="D3" s="2"/>
      <c r="E3" s="2"/>
      <c r="F3" s="2"/>
    </row>
    <row r="4" spans="1:10" x14ac:dyDescent="0.25">
      <c r="B4" s="2"/>
      <c r="C4" s="2"/>
      <c r="D4" s="2"/>
      <c r="E4" s="9" t="s">
        <v>251</v>
      </c>
      <c r="F4" s="9" t="s">
        <v>252</v>
      </c>
      <c r="G4" s="9" t="s">
        <v>73</v>
      </c>
      <c r="H4" s="9" t="s">
        <v>430</v>
      </c>
      <c r="I4" s="2" t="s">
        <v>330</v>
      </c>
      <c r="J4" s="2" t="s">
        <v>364</v>
      </c>
    </row>
    <row r="5" spans="1:10" ht="15" x14ac:dyDescent="0.4">
      <c r="B5" s="2"/>
      <c r="C5" s="2"/>
      <c r="D5" s="2"/>
      <c r="E5" s="10" t="s">
        <v>1684</v>
      </c>
      <c r="F5" s="10" t="s">
        <v>1874</v>
      </c>
      <c r="G5" s="10" t="s">
        <v>1944</v>
      </c>
      <c r="H5" s="10" t="s">
        <v>1944</v>
      </c>
      <c r="I5" s="10" t="s">
        <v>1944</v>
      </c>
      <c r="J5" s="10" t="s">
        <v>1944</v>
      </c>
    </row>
    <row r="6" spans="1:10" ht="13.8" x14ac:dyDescent="0.3">
      <c r="A6" s="11" t="s">
        <v>1132</v>
      </c>
      <c r="B6" s="2"/>
      <c r="C6" s="2"/>
      <c r="D6" s="2"/>
      <c r="E6" s="2">
        <v>41097</v>
      </c>
      <c r="F6" s="2">
        <v>43848</v>
      </c>
      <c r="G6" s="2">
        <v>43036</v>
      </c>
      <c r="H6" s="2">
        <v>43036</v>
      </c>
      <c r="I6" s="2">
        <v>43036</v>
      </c>
      <c r="J6" s="2">
        <v>43884</v>
      </c>
    </row>
    <row r="7" spans="1:10" x14ac:dyDescent="0.25">
      <c r="A7" s="25" t="s">
        <v>1397</v>
      </c>
      <c r="B7" s="2">
        <v>52</v>
      </c>
      <c r="C7" s="2">
        <v>828</v>
      </c>
      <c r="D7" s="2">
        <f>ROUND(B7*C7,0)</f>
        <v>43056</v>
      </c>
      <c r="E7" s="2"/>
      <c r="F7" s="2"/>
      <c r="G7" s="2"/>
      <c r="H7" s="2"/>
      <c r="I7" s="2"/>
      <c r="J7" s="2"/>
    </row>
    <row r="8" spans="1:10" ht="15" x14ac:dyDescent="0.4">
      <c r="A8" s="8" t="s">
        <v>995</v>
      </c>
      <c r="B8" s="2" t="s">
        <v>417</v>
      </c>
      <c r="C8" s="2" t="s">
        <v>417</v>
      </c>
      <c r="D8" s="12">
        <v>828</v>
      </c>
      <c r="E8" s="2"/>
      <c r="F8" s="2"/>
      <c r="G8" s="2"/>
      <c r="H8" s="2"/>
      <c r="I8" s="2"/>
      <c r="J8" s="2"/>
    </row>
    <row r="9" spans="1:10" x14ac:dyDescent="0.25">
      <c r="A9" s="8" t="s">
        <v>1279</v>
      </c>
      <c r="B9" s="2"/>
      <c r="C9" s="2"/>
      <c r="D9" s="2">
        <f>SUM(D7:D8)</f>
        <v>43884</v>
      </c>
      <c r="E9" s="2"/>
      <c r="F9" s="2"/>
      <c r="G9" s="2"/>
      <c r="H9" s="2"/>
      <c r="I9" s="2"/>
      <c r="J9" s="2"/>
    </row>
    <row r="10" spans="1:10" x14ac:dyDescent="0.25">
      <c r="B10" s="13"/>
      <c r="D10" s="2"/>
      <c r="E10" s="2"/>
      <c r="F10" s="2"/>
      <c r="G10" s="2"/>
      <c r="H10" s="2"/>
      <c r="I10" s="2"/>
      <c r="J10" s="2"/>
    </row>
    <row r="11" spans="1:10" ht="13.8" x14ac:dyDescent="0.3">
      <c r="A11" s="11" t="s">
        <v>949</v>
      </c>
      <c r="E11" s="2">
        <v>30597</v>
      </c>
      <c r="F11" s="2">
        <v>36542</v>
      </c>
      <c r="G11" s="2">
        <v>37284</v>
      </c>
      <c r="H11" s="2">
        <v>37284</v>
      </c>
      <c r="I11" s="2">
        <v>37284</v>
      </c>
      <c r="J11" s="2">
        <v>38038</v>
      </c>
    </row>
    <row r="12" spans="1:10" x14ac:dyDescent="0.25">
      <c r="A12" s="25" t="s">
        <v>2134</v>
      </c>
      <c r="B12" s="8">
        <v>1300</v>
      </c>
      <c r="C12" s="13">
        <v>14.63</v>
      </c>
      <c r="D12" s="2">
        <f>ROUND(B12*C12,0)</f>
        <v>19019</v>
      </c>
      <c r="E12" s="2"/>
      <c r="F12" s="2"/>
      <c r="G12" s="2"/>
      <c r="H12" s="2"/>
      <c r="I12" s="2"/>
      <c r="J12" s="2"/>
    </row>
    <row r="13" spans="1:10" ht="15" x14ac:dyDescent="0.4">
      <c r="A13" s="25" t="s">
        <v>1611</v>
      </c>
      <c r="B13" s="146">
        <v>1300</v>
      </c>
      <c r="C13" s="13">
        <v>14.63</v>
      </c>
      <c r="D13" s="12">
        <f>ROUND(B13*C13,0)</f>
        <v>19019</v>
      </c>
      <c r="E13" s="2"/>
      <c r="F13" s="2"/>
      <c r="G13" s="2"/>
      <c r="H13" s="2"/>
      <c r="I13" s="2"/>
      <c r="J13" s="2"/>
    </row>
    <row r="14" spans="1:10" ht="13.8" x14ac:dyDescent="0.3">
      <c r="A14" s="11"/>
      <c r="D14" s="2">
        <f>SUM(D12:D13)</f>
        <v>38038</v>
      </c>
      <c r="E14" s="2"/>
      <c r="F14" s="2"/>
      <c r="G14" s="2"/>
      <c r="H14" s="2"/>
      <c r="I14" s="2"/>
      <c r="J14" s="2"/>
    </row>
    <row r="15" spans="1:10" ht="13.8" x14ac:dyDescent="0.3">
      <c r="A15" s="11" t="s">
        <v>950</v>
      </c>
      <c r="D15" s="2"/>
      <c r="E15" s="2">
        <v>2445</v>
      </c>
      <c r="F15" s="2">
        <v>4016</v>
      </c>
      <c r="G15" s="2">
        <v>4872</v>
      </c>
      <c r="H15" s="2">
        <v>4872</v>
      </c>
      <c r="I15" s="2">
        <v>4872</v>
      </c>
      <c r="J15" s="2">
        <v>4968</v>
      </c>
    </row>
    <row r="16" spans="1:10" ht="13.95" customHeight="1" x14ac:dyDescent="0.25">
      <c r="A16" s="8" t="s">
        <v>1397</v>
      </c>
      <c r="B16" s="2">
        <v>160</v>
      </c>
      <c r="C16" s="13">
        <f>+C7/40*1.5</f>
        <v>31.049999999999997</v>
      </c>
      <c r="D16" s="2">
        <f>ROUND(B16*C16,0)</f>
        <v>4968</v>
      </c>
      <c r="E16" s="2"/>
      <c r="F16" s="2"/>
      <c r="G16" s="2"/>
      <c r="H16" s="2"/>
      <c r="I16" s="2"/>
      <c r="J16" s="2"/>
    </row>
    <row r="17" spans="1:10" x14ac:dyDescent="0.25">
      <c r="B17" s="2"/>
      <c r="C17" s="13"/>
      <c r="D17" s="2"/>
      <c r="E17" s="2"/>
      <c r="F17" s="2"/>
      <c r="G17" s="2"/>
      <c r="H17" s="2"/>
      <c r="I17" s="2"/>
      <c r="J17" s="2"/>
    </row>
    <row r="18" spans="1:10" ht="13.8" x14ac:dyDescent="0.3">
      <c r="A18" s="11" t="s">
        <v>954</v>
      </c>
      <c r="D18" s="2"/>
      <c r="E18" s="2">
        <v>5518</v>
      </c>
      <c r="F18" s="2">
        <v>6456</v>
      </c>
      <c r="G18" s="2">
        <v>6517</v>
      </c>
      <c r="H18" s="2">
        <v>6517</v>
      </c>
      <c r="I18" s="2">
        <v>6517</v>
      </c>
      <c r="J18" s="2">
        <v>6647</v>
      </c>
    </row>
    <row r="19" spans="1:10" hidden="1" x14ac:dyDescent="0.25">
      <c r="A19" s="14" t="s">
        <v>831</v>
      </c>
      <c r="B19" s="2">
        <f>+D9</f>
        <v>43884</v>
      </c>
      <c r="C19" s="15">
        <v>7.6499999999999999E-2</v>
      </c>
      <c r="D19" s="2">
        <f>ROUND(B19*C19,0)</f>
        <v>3357</v>
      </c>
      <c r="E19" s="2"/>
      <c r="F19" s="2"/>
      <c r="G19" s="2"/>
      <c r="H19" s="2"/>
      <c r="I19" s="2"/>
      <c r="J19" s="2"/>
    </row>
    <row r="20" spans="1:10" hidden="1" x14ac:dyDescent="0.25">
      <c r="A20" s="14" t="s">
        <v>201</v>
      </c>
      <c r="B20" s="2">
        <f>+D14</f>
        <v>38038</v>
      </c>
      <c r="C20" s="15">
        <v>7.6499999999999999E-2</v>
      </c>
      <c r="D20" s="2">
        <f>ROUND(B20*C20,0)</f>
        <v>2910</v>
      </c>
      <c r="E20" s="2"/>
      <c r="F20" s="2"/>
      <c r="G20" s="2"/>
      <c r="H20" s="2"/>
      <c r="I20" s="2"/>
      <c r="J20" s="2"/>
    </row>
    <row r="21" spans="1:10" ht="15" hidden="1" x14ac:dyDescent="0.4">
      <c r="A21" s="14" t="s">
        <v>202</v>
      </c>
      <c r="B21" s="2">
        <f>+D16</f>
        <v>4968</v>
      </c>
      <c r="C21" s="15">
        <v>7.6499999999999999E-2</v>
      </c>
      <c r="D21" s="12">
        <f>ROUND(B21*C21,0)</f>
        <v>380</v>
      </c>
      <c r="E21" s="2"/>
      <c r="F21" s="2"/>
      <c r="G21" s="2"/>
      <c r="H21" s="2"/>
      <c r="I21" s="2"/>
      <c r="J21" s="2"/>
    </row>
    <row r="22" spans="1:10" hidden="1" x14ac:dyDescent="0.25">
      <c r="A22" s="8" t="s">
        <v>1279</v>
      </c>
      <c r="D22" s="2">
        <f>SUM(D19:D21)</f>
        <v>6647</v>
      </c>
      <c r="E22" s="2"/>
      <c r="F22" s="2"/>
      <c r="G22" s="2"/>
      <c r="H22" s="2"/>
      <c r="I22" s="2"/>
      <c r="J22" s="2"/>
    </row>
    <row r="23" spans="1:10" x14ac:dyDescent="0.25">
      <c r="D23" s="2"/>
      <c r="E23" s="2"/>
      <c r="F23" s="2"/>
      <c r="G23" s="2"/>
      <c r="H23" s="2"/>
      <c r="I23" s="2"/>
      <c r="J23" s="2"/>
    </row>
    <row r="24" spans="1:10" ht="13.8" x14ac:dyDescent="0.3">
      <c r="A24" s="11" t="s">
        <v>955</v>
      </c>
      <c r="D24" s="2"/>
      <c r="E24" s="2">
        <v>13</v>
      </c>
      <c r="F24" s="2">
        <v>5347</v>
      </c>
      <c r="G24" s="2">
        <v>5821</v>
      </c>
      <c r="H24" s="2">
        <v>5821</v>
      </c>
      <c r="I24" s="2">
        <v>5821</v>
      </c>
      <c r="J24" s="2">
        <v>5936</v>
      </c>
    </row>
    <row r="25" spans="1:10" hidden="1" x14ac:dyDescent="0.25">
      <c r="A25" s="14" t="s">
        <v>831</v>
      </c>
      <c r="B25" s="2">
        <f>+D9</f>
        <v>43884</v>
      </c>
      <c r="C25" s="15">
        <v>0.1215</v>
      </c>
      <c r="D25" s="2">
        <f>ROUND(B25*C25,0)</f>
        <v>5332</v>
      </c>
      <c r="E25" s="2"/>
      <c r="F25" s="2"/>
      <c r="G25" s="2"/>
      <c r="H25" s="2"/>
      <c r="I25" s="2"/>
      <c r="J25" s="2"/>
    </row>
    <row r="26" spans="1:10" ht="15" hidden="1" x14ac:dyDescent="0.4">
      <c r="A26" s="14" t="s">
        <v>202</v>
      </c>
      <c r="B26" s="2">
        <f>+D16</f>
        <v>4968</v>
      </c>
      <c r="C26" s="15">
        <v>0.1215</v>
      </c>
      <c r="D26" s="12">
        <f>ROUND(B26*C26,0)</f>
        <v>604</v>
      </c>
      <c r="E26" s="2"/>
      <c r="F26" s="2"/>
      <c r="G26" s="2"/>
      <c r="H26" s="2"/>
      <c r="I26" s="2"/>
      <c r="J26" s="2"/>
    </row>
    <row r="27" spans="1:10" hidden="1" x14ac:dyDescent="0.25">
      <c r="A27" s="8" t="s">
        <v>1279</v>
      </c>
      <c r="D27" s="2">
        <f>SUM(D25:D26)</f>
        <v>5936</v>
      </c>
      <c r="E27" s="2"/>
      <c r="F27" s="2"/>
      <c r="G27" s="2"/>
      <c r="H27" s="2"/>
      <c r="I27" s="2"/>
      <c r="J27" s="2"/>
    </row>
    <row r="28" spans="1:10" x14ac:dyDescent="0.25">
      <c r="D28" s="2"/>
      <c r="E28" s="2"/>
      <c r="F28" s="2"/>
      <c r="G28" s="2"/>
      <c r="H28" s="2"/>
      <c r="I28" s="2"/>
      <c r="J28" s="2"/>
    </row>
    <row r="29" spans="1:10" ht="13.8" x14ac:dyDescent="0.3">
      <c r="A29" s="11" t="s">
        <v>956</v>
      </c>
      <c r="D29" s="2"/>
      <c r="E29" s="2">
        <v>17751</v>
      </c>
      <c r="F29" s="2">
        <v>17000</v>
      </c>
      <c r="G29" s="2">
        <v>17250</v>
      </c>
      <c r="H29" s="2">
        <v>17250</v>
      </c>
      <c r="I29" s="2">
        <v>17250</v>
      </c>
      <c r="J29" s="2">
        <v>17250</v>
      </c>
    </row>
    <row r="30" spans="1:10" x14ac:dyDescent="0.25">
      <c r="A30" s="8" t="s">
        <v>438</v>
      </c>
      <c r="B30" s="2">
        <v>1</v>
      </c>
      <c r="C30" s="2">
        <v>17250</v>
      </c>
      <c r="D30" s="2">
        <f>ROUND(B30*C30,0)</f>
        <v>17250</v>
      </c>
      <c r="E30" s="2"/>
      <c r="F30" s="2"/>
      <c r="G30" s="2"/>
      <c r="H30" s="2"/>
      <c r="I30" s="2"/>
      <c r="J30" s="2"/>
    </row>
    <row r="31" spans="1:10" x14ac:dyDescent="0.25">
      <c r="D31" s="2"/>
      <c r="E31" s="2"/>
      <c r="H31" s="2"/>
      <c r="I31" s="2"/>
      <c r="J31" s="2"/>
    </row>
    <row r="32" spans="1:10" ht="13.8" x14ac:dyDescent="0.3">
      <c r="A32" s="11" t="s">
        <v>1293</v>
      </c>
      <c r="D32" s="2"/>
      <c r="E32" s="2">
        <v>1187</v>
      </c>
      <c r="F32" s="2">
        <v>1170</v>
      </c>
      <c r="G32" s="2">
        <v>1170</v>
      </c>
      <c r="H32" s="2">
        <v>1170</v>
      </c>
      <c r="I32" s="2">
        <v>1170</v>
      </c>
      <c r="J32" s="2">
        <v>1170</v>
      </c>
    </row>
    <row r="33" spans="1:10" x14ac:dyDescent="0.25">
      <c r="A33" s="8" t="s">
        <v>438</v>
      </c>
      <c r="B33" s="2">
        <v>1</v>
      </c>
      <c r="C33" s="2">
        <v>1300</v>
      </c>
      <c r="D33" s="2">
        <f>ROUND(B33*C33,0)</f>
        <v>1300</v>
      </c>
      <c r="E33" s="2"/>
      <c r="F33" s="2"/>
      <c r="G33" s="2"/>
      <c r="H33" s="2"/>
      <c r="I33" s="2"/>
      <c r="J33" s="2"/>
    </row>
    <row r="34" spans="1:10" ht="15" x14ac:dyDescent="0.4">
      <c r="A34" s="8" t="s">
        <v>245</v>
      </c>
      <c r="D34" s="12">
        <f>+C33*-0.1*B33</f>
        <v>-130</v>
      </c>
      <c r="E34" s="2"/>
      <c r="F34" s="2"/>
      <c r="G34" s="2"/>
      <c r="H34" s="2"/>
      <c r="I34" s="2"/>
      <c r="J34" s="2"/>
    </row>
    <row r="35" spans="1:10" x14ac:dyDescent="0.25">
      <c r="A35" s="8" t="s">
        <v>1279</v>
      </c>
      <c r="D35" s="2">
        <f>SUM(D33:D34)</f>
        <v>1170</v>
      </c>
      <c r="E35" s="2"/>
      <c r="F35" s="2"/>
      <c r="G35" s="2"/>
      <c r="H35" s="2"/>
      <c r="I35" s="2"/>
      <c r="J35" s="2"/>
    </row>
    <row r="36" spans="1:10" ht="15" x14ac:dyDescent="0.4">
      <c r="D36" s="12"/>
      <c r="E36" s="2"/>
      <c r="F36" s="2"/>
      <c r="G36" s="2"/>
      <c r="H36" s="2"/>
      <c r="I36" s="2"/>
      <c r="J36" s="2"/>
    </row>
    <row r="37" spans="1:10" ht="13.8" x14ac:dyDescent="0.3">
      <c r="A37" s="11" t="s">
        <v>1077</v>
      </c>
      <c r="D37" s="2"/>
      <c r="E37" s="2">
        <v>93</v>
      </c>
      <c r="F37" s="2">
        <v>135</v>
      </c>
      <c r="G37" s="2">
        <v>135</v>
      </c>
      <c r="H37" s="2">
        <v>135</v>
      </c>
      <c r="I37" s="2">
        <v>135</v>
      </c>
      <c r="J37" s="2">
        <v>135</v>
      </c>
    </row>
    <row r="38" spans="1:10" x14ac:dyDescent="0.25">
      <c r="A38" s="8" t="s">
        <v>438</v>
      </c>
      <c r="B38" s="2">
        <v>1</v>
      </c>
      <c r="C38" s="2">
        <v>135</v>
      </c>
      <c r="D38" s="2">
        <f>ROUND(B38*C38,0)</f>
        <v>135</v>
      </c>
      <c r="E38" s="2"/>
      <c r="F38" s="2"/>
      <c r="G38" s="2"/>
      <c r="H38" s="2"/>
      <c r="I38" s="2"/>
      <c r="J38" s="2"/>
    </row>
    <row r="39" spans="1:10" x14ac:dyDescent="0.25">
      <c r="D39" s="2"/>
      <c r="E39" s="2"/>
      <c r="F39" s="2"/>
      <c r="G39" s="2"/>
      <c r="H39" s="2"/>
      <c r="I39" s="2"/>
      <c r="J39" s="2"/>
    </row>
    <row r="40" spans="1:10" ht="13.8" x14ac:dyDescent="0.3">
      <c r="A40" s="11" t="s">
        <v>1310</v>
      </c>
      <c r="D40" s="2"/>
      <c r="E40" s="2">
        <v>364</v>
      </c>
      <c r="F40" s="2">
        <v>410</v>
      </c>
      <c r="G40" s="2">
        <v>410</v>
      </c>
      <c r="H40" s="2">
        <v>410</v>
      </c>
      <c r="I40" s="2">
        <v>410</v>
      </c>
      <c r="J40" s="2">
        <v>410</v>
      </c>
    </row>
    <row r="41" spans="1:10" hidden="1" x14ac:dyDescent="0.25">
      <c r="A41" s="8" t="s">
        <v>438</v>
      </c>
      <c r="B41" s="2">
        <v>1</v>
      </c>
      <c r="C41" s="2">
        <v>410</v>
      </c>
      <c r="D41" s="2">
        <f>ROUND(B41*C41,0)</f>
        <v>410</v>
      </c>
      <c r="E41" s="2"/>
      <c r="F41" s="2"/>
      <c r="G41" s="2"/>
      <c r="H41" s="2"/>
      <c r="I41" s="2"/>
      <c r="J41" s="2"/>
    </row>
    <row r="42" spans="1:10" x14ac:dyDescent="0.25">
      <c r="D42" s="2"/>
      <c r="E42" s="2"/>
      <c r="F42" s="2"/>
      <c r="G42" s="2"/>
      <c r="H42" s="2"/>
      <c r="I42" s="2"/>
      <c r="J42" s="2"/>
    </row>
    <row r="43" spans="1:10" ht="13.8" x14ac:dyDescent="0.3">
      <c r="A43" s="11" t="s">
        <v>1311</v>
      </c>
      <c r="D43" s="2"/>
      <c r="E43" s="2">
        <v>1717</v>
      </c>
      <c r="F43" s="2">
        <v>1952</v>
      </c>
      <c r="G43" s="2">
        <v>1998</v>
      </c>
      <c r="H43" s="2">
        <v>1998</v>
      </c>
      <c r="I43" s="2">
        <v>1998</v>
      </c>
      <c r="J43" s="2">
        <v>2021</v>
      </c>
    </row>
    <row r="44" spans="1:10" hidden="1" x14ac:dyDescent="0.25">
      <c r="A44" s="14" t="s">
        <v>831</v>
      </c>
      <c r="B44" s="2">
        <f>+D9</f>
        <v>43884</v>
      </c>
      <c r="C44" s="15">
        <v>2.3699999999999999E-2</v>
      </c>
      <c r="D44" s="2">
        <f>ROUND(B44*C44,0)</f>
        <v>1040</v>
      </c>
      <c r="E44" s="2"/>
      <c r="F44" s="2"/>
      <c r="G44" s="2"/>
      <c r="H44" s="2"/>
      <c r="I44" s="2"/>
      <c r="J44" s="2"/>
    </row>
    <row r="45" spans="1:10" hidden="1" x14ac:dyDescent="0.25">
      <c r="A45" s="14" t="s">
        <v>201</v>
      </c>
      <c r="B45" s="2">
        <f>+B20</f>
        <v>38038</v>
      </c>
      <c r="C45" s="15">
        <v>2.3699999999999999E-2</v>
      </c>
      <c r="D45" s="2">
        <f>ROUND(B45*C45,0)</f>
        <v>902</v>
      </c>
      <c r="E45" s="2"/>
      <c r="F45" s="2"/>
      <c r="G45" s="2"/>
      <c r="H45" s="2"/>
      <c r="I45" s="2"/>
      <c r="J45" s="2"/>
    </row>
    <row r="46" spans="1:10" ht="15" hidden="1" x14ac:dyDescent="0.4">
      <c r="A46" s="14" t="s">
        <v>354</v>
      </c>
      <c r="B46" s="2">
        <f>ROUND(D16*0.67,0)</f>
        <v>3329</v>
      </c>
      <c r="C46" s="15">
        <v>2.3699999999999999E-2</v>
      </c>
      <c r="D46" s="12">
        <f>ROUND(B46*C46,0)</f>
        <v>79</v>
      </c>
      <c r="E46" s="2"/>
      <c r="F46" s="2"/>
      <c r="G46" s="2"/>
      <c r="H46" s="2"/>
      <c r="I46" s="2"/>
      <c r="J46" s="2"/>
    </row>
    <row r="47" spans="1:10" hidden="1" x14ac:dyDescent="0.25">
      <c r="A47" s="8" t="s">
        <v>1279</v>
      </c>
      <c r="D47" s="2">
        <f>SUM(D44:D46)</f>
        <v>2021</v>
      </c>
      <c r="E47" s="2"/>
      <c r="F47" s="2"/>
      <c r="G47" s="2"/>
      <c r="H47" s="2"/>
      <c r="I47" s="2"/>
      <c r="J47" s="2"/>
    </row>
    <row r="48" spans="1:10" x14ac:dyDescent="0.25">
      <c r="D48" s="2"/>
      <c r="E48" s="2"/>
      <c r="F48" s="2"/>
      <c r="G48" s="2"/>
      <c r="H48" s="2"/>
      <c r="I48" s="2"/>
      <c r="J48" s="2"/>
    </row>
    <row r="49" spans="1:10" ht="13.8" x14ac:dyDescent="0.3">
      <c r="A49" s="11" t="s">
        <v>1569</v>
      </c>
      <c r="D49" s="2"/>
      <c r="E49" s="2">
        <v>99</v>
      </c>
      <c r="F49" s="2">
        <v>144</v>
      </c>
      <c r="G49" s="2">
        <v>105</v>
      </c>
      <c r="H49" s="2">
        <v>105</v>
      </c>
      <c r="I49" s="2">
        <v>105</v>
      </c>
      <c r="J49" s="2">
        <v>105</v>
      </c>
    </row>
    <row r="50" spans="1:10" hidden="1" x14ac:dyDescent="0.25">
      <c r="A50" s="14" t="s">
        <v>831</v>
      </c>
      <c r="B50" s="2">
        <v>1</v>
      </c>
      <c r="C50" s="2">
        <v>35</v>
      </c>
      <c r="D50" s="2">
        <f>ROUND(B50*C50,0)</f>
        <v>35</v>
      </c>
      <c r="E50" s="2"/>
      <c r="F50" s="2"/>
      <c r="G50" s="2"/>
      <c r="H50" s="2"/>
      <c r="I50" s="2"/>
      <c r="J50" s="2"/>
    </row>
    <row r="51" spans="1:10" ht="15" hidden="1" x14ac:dyDescent="0.4">
      <c r="A51" s="36">
        <v>8107</v>
      </c>
      <c r="B51" s="2">
        <v>2</v>
      </c>
      <c r="C51" s="2">
        <v>35</v>
      </c>
      <c r="D51" s="12">
        <f>ROUND(B51*C51,0)</f>
        <v>70</v>
      </c>
      <c r="E51" s="2"/>
      <c r="F51" s="2"/>
      <c r="G51" s="2"/>
      <c r="H51" s="2"/>
      <c r="I51" s="2"/>
      <c r="J51" s="2"/>
    </row>
    <row r="52" spans="1:10" hidden="1" x14ac:dyDescent="0.25">
      <c r="A52" s="14"/>
      <c r="B52" s="2"/>
      <c r="C52" s="2"/>
      <c r="D52" s="2">
        <f>SUM(D50:D51)</f>
        <v>105</v>
      </c>
      <c r="E52" s="2"/>
      <c r="F52" s="2"/>
      <c r="G52" s="2"/>
      <c r="H52" s="2"/>
      <c r="I52" s="2"/>
      <c r="J52" s="2"/>
    </row>
    <row r="53" spans="1:10" x14ac:dyDescent="0.25">
      <c r="D53" s="2"/>
      <c r="E53" s="2"/>
      <c r="H53" s="2"/>
      <c r="I53" s="2"/>
      <c r="J53" s="2"/>
    </row>
    <row r="54" spans="1:10" x14ac:dyDescent="0.25">
      <c r="D54" s="2"/>
      <c r="E54" s="2"/>
      <c r="H54" s="2"/>
      <c r="I54" s="2"/>
      <c r="J54" s="2"/>
    </row>
    <row r="55" spans="1:10" ht="13.8" x14ac:dyDescent="0.3">
      <c r="A55" s="11" t="s">
        <v>26</v>
      </c>
      <c r="D55" s="2" t="s">
        <v>417</v>
      </c>
      <c r="E55" s="2">
        <v>300</v>
      </c>
      <c r="F55" s="2">
        <v>600</v>
      </c>
      <c r="G55" s="2">
        <v>600</v>
      </c>
      <c r="H55" s="2">
        <v>600</v>
      </c>
      <c r="I55" s="2">
        <v>600</v>
      </c>
      <c r="J55" s="2">
        <v>600</v>
      </c>
    </row>
    <row r="56" spans="1:10" x14ac:dyDescent="0.25">
      <c r="A56" s="8" t="s">
        <v>684</v>
      </c>
      <c r="B56" s="2">
        <v>1</v>
      </c>
      <c r="C56" s="2">
        <v>300</v>
      </c>
      <c r="D56" s="2">
        <f>ROUND(B56*C56,0)</f>
        <v>300</v>
      </c>
      <c r="E56" s="2"/>
      <c r="F56" s="2"/>
      <c r="G56" s="2"/>
      <c r="H56" s="2"/>
      <c r="I56" s="2"/>
      <c r="J56" s="2"/>
    </row>
    <row r="57" spans="1:10" ht="15" x14ac:dyDescent="0.4">
      <c r="A57" s="8" t="s">
        <v>1095</v>
      </c>
      <c r="B57" s="2">
        <v>3</v>
      </c>
      <c r="C57" s="2">
        <v>100</v>
      </c>
      <c r="D57" s="12">
        <v>300</v>
      </c>
      <c r="E57" s="2"/>
      <c r="F57" s="2"/>
      <c r="G57" s="2"/>
      <c r="H57" s="2"/>
      <c r="I57" s="2"/>
      <c r="J57" s="2"/>
    </row>
    <row r="58" spans="1:10" x14ac:dyDescent="0.25">
      <c r="B58" s="2"/>
      <c r="C58" s="2"/>
      <c r="D58" s="2">
        <f>SUM(D56:D57)</f>
        <v>600</v>
      </c>
      <c r="E58" s="2"/>
      <c r="F58" s="2"/>
      <c r="G58" s="2"/>
      <c r="H58" s="2"/>
      <c r="I58" s="2"/>
      <c r="J58" s="2"/>
    </row>
    <row r="59" spans="1:10" x14ac:dyDescent="0.25">
      <c r="C59" s="2"/>
      <c r="D59" s="2"/>
      <c r="E59" s="2"/>
      <c r="F59" s="2"/>
      <c r="G59" s="2"/>
      <c r="H59" s="2"/>
      <c r="I59" s="2"/>
      <c r="J59" s="2"/>
    </row>
    <row r="60" spans="1:10" ht="13.8" x14ac:dyDescent="0.3">
      <c r="A60" s="11" t="s">
        <v>1053</v>
      </c>
      <c r="C60" s="2"/>
      <c r="D60" s="2"/>
      <c r="E60" s="2">
        <v>29371</v>
      </c>
      <c r="F60" s="2">
        <v>33006</v>
      </c>
      <c r="G60" s="2">
        <v>33355</v>
      </c>
      <c r="H60" s="2">
        <v>33355</v>
      </c>
      <c r="I60" s="2">
        <v>33355</v>
      </c>
      <c r="J60" s="2">
        <v>33355</v>
      </c>
    </row>
    <row r="61" spans="1:10" x14ac:dyDescent="0.25">
      <c r="A61" s="8" t="s">
        <v>1787</v>
      </c>
      <c r="C61" s="2"/>
      <c r="D61" s="2">
        <v>32100</v>
      </c>
      <c r="E61" s="2"/>
      <c r="F61" s="2"/>
      <c r="G61" s="2"/>
      <c r="H61" s="2"/>
      <c r="I61" s="2"/>
      <c r="J61" s="2"/>
    </row>
    <row r="62" spans="1:10" x14ac:dyDescent="0.25">
      <c r="A62" s="8" t="s">
        <v>900</v>
      </c>
      <c r="C62" s="2"/>
      <c r="D62" s="2">
        <v>650</v>
      </c>
      <c r="E62" s="2"/>
      <c r="F62" s="2"/>
      <c r="G62" s="2"/>
      <c r="H62" s="2"/>
      <c r="I62" s="2"/>
      <c r="J62" s="2"/>
    </row>
    <row r="63" spans="1:10" ht="15" x14ac:dyDescent="0.4">
      <c r="A63" s="8" t="s">
        <v>1690</v>
      </c>
      <c r="C63" s="12"/>
      <c r="D63" s="12">
        <v>605</v>
      </c>
      <c r="E63" s="2"/>
      <c r="F63" s="2"/>
      <c r="G63" s="2"/>
      <c r="H63" s="2"/>
      <c r="I63" s="2"/>
      <c r="J63" s="2"/>
    </row>
    <row r="64" spans="1:10" x14ac:dyDescent="0.25">
      <c r="A64" s="8" t="s">
        <v>1279</v>
      </c>
      <c r="C64" s="2"/>
      <c r="D64" s="2">
        <f>SUM(D61:D63)</f>
        <v>33355</v>
      </c>
      <c r="E64" s="2"/>
      <c r="F64" s="2"/>
      <c r="G64" s="2"/>
      <c r="H64" s="2"/>
      <c r="I64" s="2"/>
      <c r="J64" s="2"/>
    </row>
    <row r="65" spans="1:10" x14ac:dyDescent="0.25">
      <c r="C65" s="2"/>
      <c r="D65" s="2"/>
      <c r="E65" s="2"/>
      <c r="F65" s="2"/>
      <c r="G65" s="2"/>
      <c r="H65" s="2"/>
      <c r="I65" s="2"/>
      <c r="J65" s="2"/>
    </row>
    <row r="66" spans="1:10" ht="13.8" x14ac:dyDescent="0.3">
      <c r="A66" s="11" t="s">
        <v>406</v>
      </c>
      <c r="C66" s="2"/>
      <c r="D66" s="2"/>
      <c r="E66" s="2">
        <v>8146</v>
      </c>
      <c r="F66" s="2">
        <v>8035</v>
      </c>
      <c r="G66" s="2">
        <v>9400</v>
      </c>
      <c r="H66" s="2">
        <v>9400</v>
      </c>
      <c r="I66" s="2">
        <v>9400</v>
      </c>
      <c r="J66" s="2">
        <v>9400</v>
      </c>
    </row>
    <row r="67" spans="1:10" x14ac:dyDescent="0.25">
      <c r="A67" s="8" t="s">
        <v>1325</v>
      </c>
      <c r="C67" s="2"/>
      <c r="D67" s="2">
        <v>8100</v>
      </c>
      <c r="E67" s="2"/>
      <c r="F67" s="2"/>
      <c r="G67" s="2"/>
      <c r="H67" s="2"/>
      <c r="I67" s="2"/>
      <c r="J67" s="2"/>
    </row>
    <row r="68" spans="1:10" ht="15" x14ac:dyDescent="0.4">
      <c r="A68" s="122" t="s">
        <v>960</v>
      </c>
      <c r="C68" s="2"/>
      <c r="D68" s="12">
        <v>1300</v>
      </c>
      <c r="E68" s="2"/>
      <c r="F68" s="2"/>
      <c r="G68" s="2"/>
      <c r="H68" s="2"/>
      <c r="I68" s="2"/>
      <c r="J68" s="2"/>
    </row>
    <row r="69" spans="1:10" x14ac:dyDescent="0.25">
      <c r="A69" s="8" t="s">
        <v>1279</v>
      </c>
      <c r="C69" s="2"/>
      <c r="D69" s="2">
        <f>SUM(D67:D68)</f>
        <v>9400</v>
      </c>
      <c r="E69" s="2"/>
      <c r="F69" s="2"/>
      <c r="G69" s="2"/>
      <c r="H69" s="2"/>
      <c r="I69" s="2"/>
      <c r="J69" s="2"/>
    </row>
    <row r="70" spans="1:10" x14ac:dyDescent="0.25">
      <c r="D70" s="2"/>
      <c r="E70" s="2"/>
      <c r="F70" s="2"/>
      <c r="G70" s="2"/>
      <c r="H70" s="2"/>
      <c r="I70" s="2"/>
      <c r="J70" s="2"/>
    </row>
    <row r="71" spans="1:10" ht="13.8" x14ac:dyDescent="0.3">
      <c r="A71" s="11" t="s">
        <v>901</v>
      </c>
      <c r="D71" s="2"/>
      <c r="E71" s="2">
        <v>4122</v>
      </c>
      <c r="F71" s="2">
        <v>3665</v>
      </c>
      <c r="G71" s="2">
        <v>4250</v>
      </c>
      <c r="H71" s="2">
        <v>4250</v>
      </c>
      <c r="I71" s="2">
        <v>4250</v>
      </c>
      <c r="J71" s="2">
        <v>4250</v>
      </c>
    </row>
    <row r="72" spans="1:10" x14ac:dyDescent="0.25">
      <c r="A72" s="8" t="s">
        <v>1787</v>
      </c>
      <c r="C72" s="2"/>
      <c r="D72" s="2">
        <v>4250</v>
      </c>
      <c r="E72" s="2"/>
      <c r="F72" s="2"/>
      <c r="G72" s="2"/>
      <c r="H72" s="2"/>
      <c r="I72" s="2"/>
      <c r="J72" s="2"/>
    </row>
    <row r="73" spans="1:10" x14ac:dyDescent="0.25">
      <c r="C73" s="2"/>
      <c r="D73" s="2"/>
      <c r="E73" s="2"/>
      <c r="F73" s="2"/>
      <c r="G73" s="2"/>
      <c r="H73" s="2"/>
      <c r="I73" s="2"/>
      <c r="J73" s="2"/>
    </row>
    <row r="74" spans="1:10" ht="13.8" x14ac:dyDescent="0.3">
      <c r="A74" s="11" t="s">
        <v>902</v>
      </c>
      <c r="C74" s="2"/>
      <c r="D74" s="2"/>
      <c r="E74" s="2">
        <v>452</v>
      </c>
      <c r="F74" s="2">
        <v>452</v>
      </c>
      <c r="G74" s="2">
        <v>484</v>
      </c>
      <c r="H74" s="2">
        <v>484</v>
      </c>
      <c r="I74" s="2">
        <v>484</v>
      </c>
      <c r="J74" s="2">
        <v>484</v>
      </c>
    </row>
    <row r="75" spans="1:10" x14ac:dyDescent="0.25">
      <c r="A75" s="8" t="s">
        <v>1787</v>
      </c>
      <c r="C75" s="2"/>
      <c r="D75" s="2">
        <v>484</v>
      </c>
      <c r="E75" s="2"/>
      <c r="F75" s="2"/>
      <c r="G75" s="2"/>
      <c r="H75" s="2"/>
      <c r="I75" s="2"/>
      <c r="J75" s="2"/>
    </row>
    <row r="76" spans="1:10" x14ac:dyDescent="0.25">
      <c r="D76" s="2"/>
      <c r="E76" s="2"/>
      <c r="F76" s="2"/>
      <c r="G76" s="2"/>
      <c r="H76" s="2"/>
      <c r="I76" s="2"/>
      <c r="J76" s="2"/>
    </row>
    <row r="77" spans="1:10" ht="13.8" x14ac:dyDescent="0.3">
      <c r="A77" s="11" t="s">
        <v>903</v>
      </c>
      <c r="D77" s="2"/>
      <c r="E77" s="2">
        <v>1369</v>
      </c>
      <c r="F77" s="2">
        <v>1740</v>
      </c>
      <c r="G77" s="2">
        <v>1688</v>
      </c>
      <c r="H77" s="2">
        <v>1688</v>
      </c>
      <c r="I77" s="2">
        <v>1688</v>
      </c>
      <c r="J77" s="2">
        <v>1688</v>
      </c>
    </row>
    <row r="78" spans="1:10" x14ac:dyDescent="0.25">
      <c r="A78" s="8" t="s">
        <v>1317</v>
      </c>
      <c r="B78" s="2">
        <v>675</v>
      </c>
      <c r="C78" s="13">
        <v>2.5</v>
      </c>
      <c r="D78" s="2">
        <f>ROUND(B78*C78,0)</f>
        <v>1688</v>
      </c>
      <c r="E78" s="2"/>
      <c r="F78" s="2"/>
      <c r="G78" s="2"/>
      <c r="H78" s="2"/>
      <c r="I78" s="2"/>
      <c r="J78" s="2"/>
    </row>
    <row r="79" spans="1:10" x14ac:dyDescent="0.25">
      <c r="D79" s="2"/>
      <c r="E79" s="2"/>
      <c r="F79" s="2"/>
      <c r="G79" s="2"/>
      <c r="H79" s="2"/>
      <c r="I79" s="2"/>
      <c r="J79" s="2"/>
    </row>
    <row r="80" spans="1:10" ht="13.8" x14ac:dyDescent="0.3">
      <c r="A80" s="11" t="s">
        <v>904</v>
      </c>
      <c r="D80" s="2"/>
      <c r="E80" s="2">
        <v>632</v>
      </c>
      <c r="F80" s="2">
        <v>581</v>
      </c>
      <c r="G80" s="2">
        <v>1380</v>
      </c>
      <c r="H80" s="2">
        <v>1380</v>
      </c>
      <c r="I80" s="2">
        <v>1380</v>
      </c>
      <c r="J80" s="2">
        <v>1380</v>
      </c>
    </row>
    <row r="81" spans="1:10" x14ac:dyDescent="0.25">
      <c r="A81" s="8" t="s">
        <v>92</v>
      </c>
      <c r="B81" s="2" t="s">
        <v>417</v>
      </c>
      <c r="C81" s="2"/>
      <c r="D81" s="2">
        <v>300</v>
      </c>
      <c r="E81" s="2"/>
      <c r="F81" s="2"/>
      <c r="G81" s="2"/>
      <c r="H81" s="2"/>
      <c r="I81" s="2"/>
      <c r="J81" s="2"/>
    </row>
    <row r="82" spans="1:10" ht="15" x14ac:dyDescent="0.4">
      <c r="A82" s="8" t="s">
        <v>120</v>
      </c>
      <c r="B82" s="2"/>
      <c r="C82" s="2"/>
      <c r="D82" s="12">
        <v>1080</v>
      </c>
      <c r="E82" s="2"/>
      <c r="F82" s="2"/>
      <c r="G82" s="2"/>
      <c r="H82" s="2"/>
      <c r="I82" s="2"/>
      <c r="J82" s="2"/>
    </row>
    <row r="83" spans="1:10" x14ac:dyDescent="0.25">
      <c r="A83" s="8" t="s">
        <v>1279</v>
      </c>
      <c r="B83" s="2"/>
      <c r="C83" s="2"/>
      <c r="D83" s="2">
        <f>SUM(D81:D82)</f>
        <v>1380</v>
      </c>
      <c r="E83" s="2"/>
      <c r="F83" s="2"/>
      <c r="G83" s="2"/>
      <c r="H83" s="2"/>
      <c r="I83" s="2"/>
      <c r="J83" s="2"/>
    </row>
    <row r="84" spans="1:10" x14ac:dyDescent="0.25">
      <c r="C84" s="2"/>
      <c r="D84" s="2"/>
      <c r="E84" s="2"/>
      <c r="F84" s="2"/>
      <c r="G84" s="2"/>
      <c r="H84" s="2"/>
      <c r="I84" s="2"/>
      <c r="J84" s="2"/>
    </row>
    <row r="85" spans="1:10" ht="13.8" x14ac:dyDescent="0.3">
      <c r="A85" s="18" t="s">
        <v>905</v>
      </c>
      <c r="C85" s="2"/>
      <c r="D85" s="2"/>
      <c r="E85" s="2">
        <v>3872</v>
      </c>
      <c r="F85" s="2">
        <v>5727</v>
      </c>
      <c r="G85" s="2">
        <v>4558</v>
      </c>
      <c r="H85" s="2">
        <v>4284</v>
      </c>
      <c r="I85" s="2">
        <v>4284</v>
      </c>
      <c r="J85" s="2">
        <v>4284</v>
      </c>
    </row>
    <row r="86" spans="1:10" x14ac:dyDescent="0.25">
      <c r="A86" s="8" t="s">
        <v>1788</v>
      </c>
      <c r="C86" s="2"/>
      <c r="D86" s="2">
        <v>4284</v>
      </c>
      <c r="E86" s="2"/>
      <c r="F86" s="2"/>
      <c r="G86" s="2"/>
      <c r="H86" s="2"/>
      <c r="I86" s="2"/>
      <c r="J86" s="2"/>
    </row>
    <row r="87" spans="1:10" hidden="1" x14ac:dyDescent="0.25">
      <c r="C87" s="2"/>
      <c r="D87" s="2"/>
      <c r="E87" s="2"/>
      <c r="F87" s="2"/>
      <c r="G87" s="2"/>
      <c r="H87" s="2"/>
      <c r="I87" s="2"/>
      <c r="J87" s="2"/>
    </row>
    <row r="88" spans="1:10" x14ac:dyDescent="0.25">
      <c r="C88" s="2"/>
      <c r="D88" s="2"/>
      <c r="E88" s="2"/>
      <c r="F88" s="2"/>
      <c r="G88" s="2"/>
      <c r="H88" s="2"/>
      <c r="I88" s="2"/>
      <c r="J88" s="2"/>
    </row>
    <row r="89" spans="1:10" ht="13.8" x14ac:dyDescent="0.3">
      <c r="A89" s="11" t="s">
        <v>906</v>
      </c>
      <c r="C89" s="2"/>
      <c r="D89" s="2"/>
      <c r="E89" s="2">
        <v>102648</v>
      </c>
      <c r="F89" s="2">
        <v>35880</v>
      </c>
      <c r="G89" s="2">
        <v>41423</v>
      </c>
      <c r="H89" s="2">
        <v>41423</v>
      </c>
      <c r="I89" s="2">
        <v>41423</v>
      </c>
      <c r="J89" s="2">
        <v>41423</v>
      </c>
    </row>
    <row r="90" spans="1:10" x14ac:dyDescent="0.25">
      <c r="A90" s="8" t="s">
        <v>1789</v>
      </c>
      <c r="C90" s="2"/>
      <c r="D90" s="2">
        <v>4000</v>
      </c>
      <c r="E90" s="2"/>
      <c r="F90" s="2"/>
      <c r="G90" s="2"/>
      <c r="H90" s="2"/>
      <c r="I90" s="2"/>
      <c r="J90" s="2"/>
    </row>
    <row r="91" spans="1:10" x14ac:dyDescent="0.25">
      <c r="A91" s="8" t="s">
        <v>127</v>
      </c>
      <c r="C91" s="2"/>
      <c r="D91" s="2">
        <v>2448</v>
      </c>
      <c r="E91" s="2"/>
      <c r="F91" s="2"/>
      <c r="G91" s="2"/>
      <c r="H91" s="2"/>
      <c r="I91" s="2"/>
      <c r="J91" s="2"/>
    </row>
    <row r="92" spans="1:10" x14ac:dyDescent="0.25">
      <c r="A92" s="8" t="s">
        <v>1347</v>
      </c>
      <c r="C92" s="2"/>
      <c r="D92" s="2">
        <v>2000</v>
      </c>
      <c r="E92" s="2"/>
      <c r="F92" s="2"/>
      <c r="G92" s="2"/>
      <c r="H92" s="2"/>
      <c r="I92" s="2"/>
      <c r="J92" s="2"/>
    </row>
    <row r="93" spans="1:10" x14ac:dyDescent="0.25">
      <c r="A93" s="8" t="s">
        <v>1348</v>
      </c>
      <c r="C93" s="2"/>
      <c r="D93" s="2">
        <v>500</v>
      </c>
      <c r="E93" s="2"/>
      <c r="F93" s="2"/>
      <c r="G93" s="2"/>
      <c r="H93" s="2"/>
      <c r="I93" s="2"/>
      <c r="J93" s="2"/>
    </row>
    <row r="94" spans="1:10" x14ac:dyDescent="0.25">
      <c r="A94" s="8" t="s">
        <v>2135</v>
      </c>
      <c r="C94" s="2"/>
      <c r="D94" s="2">
        <v>2000</v>
      </c>
      <c r="E94" s="2"/>
      <c r="F94" s="2"/>
      <c r="G94" s="2"/>
      <c r="H94" s="2"/>
      <c r="I94" s="2"/>
      <c r="J94" s="2"/>
    </row>
    <row r="95" spans="1:10" x14ac:dyDescent="0.25">
      <c r="A95" s="8" t="s">
        <v>2136</v>
      </c>
      <c r="C95" s="2"/>
      <c r="D95" s="2">
        <v>1500</v>
      </c>
      <c r="E95" s="2"/>
      <c r="F95" s="2"/>
      <c r="G95" s="2"/>
      <c r="H95" s="2"/>
      <c r="I95" s="2"/>
      <c r="J95" s="2"/>
    </row>
    <row r="96" spans="1:10" x14ac:dyDescent="0.25">
      <c r="A96" s="8" t="s">
        <v>1349</v>
      </c>
      <c r="C96" s="2"/>
      <c r="D96" s="2">
        <v>1100</v>
      </c>
      <c r="E96" s="2"/>
      <c r="F96" s="2"/>
      <c r="G96" s="2"/>
      <c r="H96" s="2"/>
      <c r="I96" s="2"/>
      <c r="J96" s="2"/>
    </row>
    <row r="97" spans="1:10" x14ac:dyDescent="0.25">
      <c r="A97" s="8" t="s">
        <v>1010</v>
      </c>
      <c r="C97" s="2"/>
      <c r="D97" s="2">
        <v>775</v>
      </c>
      <c r="E97" s="2"/>
      <c r="F97" s="2"/>
      <c r="G97" s="2"/>
      <c r="H97" s="2"/>
      <c r="I97" s="2"/>
      <c r="J97" s="2"/>
    </row>
    <row r="98" spans="1:10" x14ac:dyDescent="0.25">
      <c r="A98" s="7" t="s">
        <v>1048</v>
      </c>
      <c r="B98" s="7"/>
      <c r="C98" s="2"/>
      <c r="D98" s="2">
        <v>17000</v>
      </c>
      <c r="E98" s="2"/>
      <c r="F98" s="2"/>
      <c r="G98" s="2"/>
      <c r="H98" s="2"/>
      <c r="I98" s="2"/>
      <c r="J98" s="2"/>
    </row>
    <row r="99" spans="1:10" x14ac:dyDescent="0.25">
      <c r="A99" s="7" t="s">
        <v>2213</v>
      </c>
      <c r="B99" s="7"/>
      <c r="C99" s="2"/>
      <c r="D99" s="2">
        <v>795</v>
      </c>
      <c r="E99" s="2"/>
      <c r="F99" s="2"/>
      <c r="G99" s="2"/>
      <c r="H99" s="2"/>
      <c r="I99" s="2"/>
      <c r="J99" s="2"/>
    </row>
    <row r="100" spans="1:10" x14ac:dyDescent="0.25">
      <c r="A100" s="7" t="s">
        <v>1074</v>
      </c>
      <c r="B100" s="7"/>
      <c r="C100" s="2"/>
      <c r="D100" s="2">
        <v>1300</v>
      </c>
      <c r="E100" s="2"/>
      <c r="F100" s="2"/>
      <c r="G100" s="2"/>
      <c r="H100" s="2"/>
      <c r="I100" s="2"/>
      <c r="J100" s="2"/>
    </row>
    <row r="101" spans="1:10" x14ac:dyDescent="0.25">
      <c r="A101" s="7" t="s">
        <v>1206</v>
      </c>
      <c r="B101" s="7"/>
      <c r="C101" s="2"/>
      <c r="D101" s="2">
        <v>200</v>
      </c>
      <c r="E101" s="2"/>
      <c r="F101" s="2"/>
      <c r="G101" s="2"/>
      <c r="H101" s="2"/>
      <c r="I101" s="2"/>
      <c r="J101" s="2"/>
    </row>
    <row r="102" spans="1:10" x14ac:dyDescent="0.25">
      <c r="A102" s="7" t="s">
        <v>1790</v>
      </c>
      <c r="B102" s="7"/>
      <c r="C102" s="2"/>
      <c r="D102" s="2">
        <v>250</v>
      </c>
      <c r="E102" s="2"/>
      <c r="F102" s="2"/>
      <c r="G102" s="2"/>
      <c r="H102" s="2"/>
      <c r="I102" s="2"/>
      <c r="J102" s="2"/>
    </row>
    <row r="103" spans="1:10" x14ac:dyDescent="0.25">
      <c r="A103" s="7" t="s">
        <v>2193</v>
      </c>
      <c r="B103" s="7"/>
      <c r="C103" s="2"/>
      <c r="D103" s="2">
        <v>2000</v>
      </c>
      <c r="E103" s="2"/>
      <c r="F103" s="2"/>
      <c r="G103" s="2"/>
      <c r="H103" s="2"/>
      <c r="I103" s="2"/>
      <c r="J103" s="2"/>
    </row>
    <row r="104" spans="1:10" x14ac:dyDescent="0.25">
      <c r="A104" s="7" t="s">
        <v>1940</v>
      </c>
      <c r="B104" s="7"/>
      <c r="C104" s="2"/>
      <c r="D104" s="2">
        <v>880</v>
      </c>
      <c r="E104" s="2"/>
      <c r="F104" s="2"/>
      <c r="G104" s="2"/>
      <c r="H104" s="2"/>
      <c r="I104" s="2"/>
      <c r="J104" s="2"/>
    </row>
    <row r="105" spans="1:10" x14ac:dyDescent="0.25">
      <c r="A105" s="7" t="s">
        <v>2194</v>
      </c>
      <c r="B105" s="7"/>
      <c r="C105" s="2"/>
      <c r="D105" s="2">
        <v>1675</v>
      </c>
      <c r="E105" s="2"/>
      <c r="F105" s="2"/>
      <c r="G105" s="2"/>
      <c r="H105" s="2"/>
      <c r="I105" s="2"/>
      <c r="J105" s="2"/>
    </row>
    <row r="106" spans="1:10" x14ac:dyDescent="0.25">
      <c r="A106" s="7" t="s">
        <v>2137</v>
      </c>
      <c r="B106" s="7"/>
      <c r="C106" s="2"/>
      <c r="D106" s="2">
        <v>1000</v>
      </c>
      <c r="E106" s="2"/>
      <c r="F106" s="2"/>
      <c r="G106" s="2"/>
      <c r="H106" s="2"/>
      <c r="I106" s="2"/>
      <c r="J106" s="2"/>
    </row>
    <row r="107" spans="1:10" ht="15" x14ac:dyDescent="0.4">
      <c r="A107" s="8" t="s">
        <v>1321</v>
      </c>
      <c r="C107" s="12"/>
      <c r="D107" s="12">
        <v>2000</v>
      </c>
      <c r="E107" s="2"/>
      <c r="F107" s="2"/>
      <c r="G107" s="2"/>
      <c r="H107" s="2"/>
      <c r="I107" s="2"/>
      <c r="J107" s="2"/>
    </row>
    <row r="108" spans="1:10" x14ac:dyDescent="0.25">
      <c r="A108" s="8" t="s">
        <v>1279</v>
      </c>
      <c r="C108" s="2"/>
      <c r="D108" s="2">
        <f>SUM(D90:D107)</f>
        <v>41423</v>
      </c>
      <c r="E108" s="2"/>
      <c r="H108" s="2"/>
      <c r="I108" s="2"/>
      <c r="J108" s="2"/>
    </row>
    <row r="109" spans="1:10" x14ac:dyDescent="0.25">
      <c r="C109" s="2"/>
      <c r="D109" s="2"/>
      <c r="E109" s="2"/>
      <c r="F109" s="2"/>
      <c r="G109" s="2"/>
      <c r="H109" s="2"/>
      <c r="I109" s="2"/>
      <c r="J109" s="2"/>
    </row>
    <row r="110" spans="1:10" ht="13.8" x14ac:dyDescent="0.3">
      <c r="A110" s="11" t="s">
        <v>1018</v>
      </c>
      <c r="C110" s="2"/>
      <c r="D110" s="2"/>
      <c r="E110" s="2">
        <v>7319</v>
      </c>
      <c r="F110" s="2">
        <v>6000</v>
      </c>
      <c r="G110" s="2">
        <v>5250</v>
      </c>
      <c r="H110" s="2">
        <v>5250</v>
      </c>
      <c r="I110" s="2">
        <v>5250</v>
      </c>
      <c r="J110" s="2">
        <v>5250</v>
      </c>
    </row>
    <row r="111" spans="1:10" x14ac:dyDescent="0.25">
      <c r="A111" s="8" t="s">
        <v>1019</v>
      </c>
      <c r="C111" s="2"/>
      <c r="D111" s="2">
        <v>750</v>
      </c>
      <c r="E111" s="2"/>
      <c r="F111" s="2"/>
      <c r="G111" s="2"/>
      <c r="H111" s="2"/>
      <c r="I111" s="2"/>
      <c r="J111" s="2"/>
    </row>
    <row r="112" spans="1:10" x14ac:dyDescent="0.25">
      <c r="A112" s="8" t="s">
        <v>1031</v>
      </c>
      <c r="C112" s="2"/>
      <c r="D112" s="2">
        <v>750</v>
      </c>
      <c r="E112" s="2"/>
      <c r="F112" s="2"/>
      <c r="G112" s="2"/>
      <c r="H112" s="2"/>
      <c r="I112" s="2"/>
      <c r="J112" s="2"/>
    </row>
    <row r="113" spans="1:10" ht="15" x14ac:dyDescent="0.4">
      <c r="A113" s="8" t="s">
        <v>1918</v>
      </c>
      <c r="C113" s="12"/>
      <c r="D113" s="2">
        <v>3000</v>
      </c>
      <c r="E113" s="2"/>
      <c r="F113" s="2"/>
      <c r="G113" s="2"/>
      <c r="H113" s="2"/>
      <c r="I113" s="2"/>
      <c r="J113" s="2"/>
    </row>
    <row r="114" spans="1:10" ht="15" x14ac:dyDescent="0.4">
      <c r="A114" s="8" t="s">
        <v>1612</v>
      </c>
      <c r="C114" s="12"/>
      <c r="D114" s="12">
        <v>750</v>
      </c>
      <c r="E114" s="2"/>
      <c r="F114" s="2"/>
      <c r="G114" s="2"/>
      <c r="H114" s="2"/>
      <c r="I114" s="2"/>
      <c r="J114" s="2"/>
    </row>
    <row r="115" spans="1:10" x14ac:dyDescent="0.25">
      <c r="A115" s="8" t="s">
        <v>1279</v>
      </c>
      <c r="C115" s="2"/>
      <c r="D115" s="2">
        <f>SUM(D111:D114)</f>
        <v>5250</v>
      </c>
      <c r="E115" s="2"/>
      <c r="F115" s="2"/>
      <c r="G115" s="2"/>
      <c r="H115" s="2"/>
      <c r="I115" s="2"/>
      <c r="J115" s="2"/>
    </row>
    <row r="116" spans="1:10" x14ac:dyDescent="0.25">
      <c r="C116" s="2"/>
      <c r="D116" s="2"/>
      <c r="E116" s="2"/>
      <c r="F116" s="2"/>
      <c r="G116" s="2"/>
      <c r="H116" s="2"/>
      <c r="I116" s="2"/>
      <c r="J116" s="2"/>
    </row>
    <row r="117" spans="1:10" ht="13.8" x14ac:dyDescent="0.3">
      <c r="A117" s="11" t="s">
        <v>1525</v>
      </c>
      <c r="C117" s="2"/>
      <c r="D117" s="2"/>
      <c r="E117" s="2">
        <v>110</v>
      </c>
      <c r="F117" s="2">
        <v>750</v>
      </c>
      <c r="G117" s="2">
        <v>750</v>
      </c>
      <c r="H117" s="2">
        <v>750</v>
      </c>
      <c r="I117" s="2">
        <v>750</v>
      </c>
      <c r="J117" s="2">
        <v>750</v>
      </c>
    </row>
    <row r="118" spans="1:10" x14ac:dyDescent="0.25">
      <c r="A118" s="25" t="s">
        <v>1791</v>
      </c>
      <c r="C118" s="2"/>
      <c r="D118" s="2">
        <v>750</v>
      </c>
      <c r="E118" s="2"/>
      <c r="F118" s="2"/>
      <c r="G118" s="2"/>
      <c r="H118" s="2"/>
      <c r="I118" s="2"/>
      <c r="J118" s="2"/>
    </row>
    <row r="119" spans="1:10" x14ac:dyDescent="0.25">
      <c r="C119" s="2"/>
      <c r="D119" s="2"/>
      <c r="E119" s="2"/>
      <c r="F119" s="2"/>
      <c r="G119" s="2"/>
      <c r="H119" s="2"/>
      <c r="I119" s="2"/>
      <c r="J119" s="2"/>
    </row>
    <row r="120" spans="1:10" ht="13.8" x14ac:dyDescent="0.3">
      <c r="A120" s="11" t="s">
        <v>1114</v>
      </c>
      <c r="C120" s="2"/>
      <c r="D120" s="2"/>
      <c r="E120" s="2">
        <v>1942</v>
      </c>
      <c r="F120" s="2">
        <v>0</v>
      </c>
      <c r="G120" s="2">
        <v>1500</v>
      </c>
      <c r="H120" s="2">
        <v>1500</v>
      </c>
      <c r="I120" s="2">
        <v>1500</v>
      </c>
      <c r="J120" s="2">
        <v>1500</v>
      </c>
    </row>
    <row r="121" spans="1:10" x14ac:dyDescent="0.25">
      <c r="A121" s="8" t="s">
        <v>2138</v>
      </c>
      <c r="C121" s="2"/>
      <c r="D121" s="2">
        <v>1500</v>
      </c>
      <c r="E121" s="2"/>
      <c r="F121" s="2"/>
      <c r="G121" s="2"/>
      <c r="H121" s="2"/>
      <c r="I121" s="2"/>
      <c r="J121" s="2"/>
    </row>
    <row r="122" spans="1:10" x14ac:dyDescent="0.25">
      <c r="C122" s="2"/>
      <c r="D122" s="2"/>
      <c r="E122" s="2"/>
      <c r="F122" s="2"/>
      <c r="G122" s="2"/>
      <c r="H122" s="2"/>
      <c r="I122" s="2"/>
      <c r="J122" s="2"/>
    </row>
    <row r="123" spans="1:10" x14ac:dyDescent="0.25">
      <c r="C123" s="2"/>
      <c r="D123" s="2"/>
      <c r="E123" s="2"/>
      <c r="F123" s="2"/>
      <c r="G123" s="2"/>
      <c r="H123" s="2"/>
      <c r="I123" s="2"/>
      <c r="J123" s="2"/>
    </row>
    <row r="124" spans="1:10" ht="13.8" x14ac:dyDescent="0.3">
      <c r="A124" s="11" t="s">
        <v>1976</v>
      </c>
      <c r="C124" s="2"/>
      <c r="D124" s="2"/>
      <c r="E124" s="2">
        <v>4900</v>
      </c>
      <c r="F124" s="2">
        <v>0</v>
      </c>
      <c r="G124" s="2">
        <v>12000</v>
      </c>
      <c r="H124" s="2">
        <v>15000</v>
      </c>
      <c r="I124" s="2">
        <v>15000</v>
      </c>
      <c r="J124" s="2">
        <v>15000</v>
      </c>
    </row>
    <row r="125" spans="1:10" x14ac:dyDescent="0.25">
      <c r="A125" s="8" t="s">
        <v>2214</v>
      </c>
      <c r="C125" s="2"/>
      <c r="D125" s="2">
        <v>15000</v>
      </c>
      <c r="E125" s="2"/>
      <c r="F125" s="2"/>
      <c r="G125" s="2"/>
      <c r="H125" s="2"/>
      <c r="I125" s="2"/>
      <c r="J125" s="2"/>
    </row>
    <row r="126" spans="1:10" ht="13.8" x14ac:dyDescent="0.3">
      <c r="A126" s="11"/>
      <c r="C126" s="2"/>
      <c r="D126" s="2"/>
      <c r="E126" s="2"/>
      <c r="F126" s="2"/>
      <c r="G126" s="2"/>
      <c r="H126" s="2"/>
      <c r="I126" s="2"/>
      <c r="J126" s="2"/>
    </row>
    <row r="127" spans="1:10" x14ac:dyDescent="0.25">
      <c r="C127" s="2"/>
      <c r="D127" s="2"/>
      <c r="E127" s="2"/>
      <c r="F127" s="2"/>
      <c r="G127" s="2"/>
      <c r="H127" s="2"/>
      <c r="I127" s="2"/>
      <c r="J127" s="2"/>
    </row>
    <row r="128" spans="1:10" ht="13.8" x14ac:dyDescent="0.3">
      <c r="A128" s="11" t="s">
        <v>557</v>
      </c>
      <c r="C128" s="9"/>
      <c r="D128" s="9"/>
      <c r="E128" s="2">
        <v>4728</v>
      </c>
      <c r="F128" s="2">
        <v>10000</v>
      </c>
      <c r="G128" s="2">
        <v>29200</v>
      </c>
      <c r="H128" s="2">
        <v>19200</v>
      </c>
      <c r="I128" s="2">
        <v>19200</v>
      </c>
      <c r="J128" s="2">
        <v>19200</v>
      </c>
    </row>
    <row r="129" spans="1:10" x14ac:dyDescent="0.25">
      <c r="A129" s="8" t="s">
        <v>2139</v>
      </c>
      <c r="C129" s="9"/>
      <c r="D129" s="2">
        <v>5200</v>
      </c>
      <c r="E129" s="2"/>
      <c r="H129" s="2"/>
      <c r="I129" s="2"/>
      <c r="J129" s="2"/>
    </row>
    <row r="130" spans="1:10" x14ac:dyDescent="0.25">
      <c r="A130" s="8" t="s">
        <v>2140</v>
      </c>
      <c r="C130" s="9"/>
      <c r="D130" s="2">
        <v>4000</v>
      </c>
      <c r="E130" s="2"/>
      <c r="H130" s="2"/>
      <c r="I130" s="2"/>
      <c r="J130" s="2"/>
    </row>
    <row r="131" spans="1:10" x14ac:dyDescent="0.25">
      <c r="A131" s="8" t="s">
        <v>2142</v>
      </c>
      <c r="C131" s="9"/>
      <c r="D131" s="2">
        <v>0</v>
      </c>
      <c r="E131" s="2"/>
      <c r="H131" s="2"/>
      <c r="I131" s="2"/>
      <c r="J131" s="2"/>
    </row>
    <row r="132" spans="1:10" ht="15" x14ac:dyDescent="0.4">
      <c r="A132" s="8" t="s">
        <v>2216</v>
      </c>
      <c r="C132" s="10"/>
      <c r="D132" s="19">
        <v>10000</v>
      </c>
      <c r="E132" s="2"/>
      <c r="H132" s="2"/>
      <c r="I132" s="2"/>
      <c r="J132" s="2"/>
    </row>
    <row r="133" spans="1:10" x14ac:dyDescent="0.25">
      <c r="A133" s="8" t="s">
        <v>1279</v>
      </c>
      <c r="C133" s="2"/>
      <c r="D133" s="2">
        <f>SUM(D129:D132)</f>
        <v>19200</v>
      </c>
      <c r="E133" s="2"/>
      <c r="H133" s="2"/>
      <c r="I133" s="2"/>
      <c r="J133" s="2"/>
    </row>
    <row r="134" spans="1:10" x14ac:dyDescent="0.25">
      <c r="C134" s="2"/>
      <c r="D134" s="2"/>
      <c r="E134" s="2"/>
      <c r="H134" s="2"/>
      <c r="I134" s="2"/>
      <c r="J134" s="2"/>
    </row>
    <row r="135" spans="1:10" ht="13.8" x14ac:dyDescent="0.3">
      <c r="A135" s="11" t="s">
        <v>2143</v>
      </c>
      <c r="C135" s="9"/>
      <c r="D135" s="9"/>
      <c r="E135" s="2">
        <v>0</v>
      </c>
      <c r="F135" s="2">
        <v>0</v>
      </c>
      <c r="G135" s="2">
        <v>22000</v>
      </c>
      <c r="H135" s="2">
        <v>0</v>
      </c>
      <c r="I135" s="2">
        <v>0</v>
      </c>
      <c r="J135" s="2">
        <v>0</v>
      </c>
    </row>
    <row r="136" spans="1:10" ht="15" x14ac:dyDescent="0.4">
      <c r="A136" s="8" t="s">
        <v>2195</v>
      </c>
      <c r="C136" s="10"/>
      <c r="D136" s="19">
        <v>0</v>
      </c>
      <c r="E136" s="2"/>
      <c r="I136" s="209"/>
      <c r="J136" s="213"/>
    </row>
    <row r="137" spans="1:10" x14ac:dyDescent="0.25">
      <c r="A137" s="8" t="s">
        <v>1279</v>
      </c>
      <c r="C137" s="2"/>
      <c r="D137" s="2">
        <f>SUM(D136:D136)</f>
        <v>0</v>
      </c>
      <c r="E137" s="2"/>
      <c r="I137" s="209"/>
      <c r="J137" s="213"/>
    </row>
    <row r="138" spans="1:10" x14ac:dyDescent="0.25">
      <c r="C138" s="2"/>
      <c r="D138" s="2"/>
      <c r="E138" s="2"/>
      <c r="F138" s="2"/>
      <c r="G138" s="2"/>
      <c r="I138" s="209"/>
      <c r="J138" s="213"/>
    </row>
    <row r="139" spans="1:10" x14ac:dyDescent="0.25">
      <c r="A139" s="8" t="s">
        <v>1366</v>
      </c>
      <c r="C139" s="2"/>
      <c r="D139" s="2"/>
      <c r="E139" s="2">
        <f t="shared" ref="E139:H139" si="0">SUM(E6:E138)</f>
        <v>270792</v>
      </c>
      <c r="F139" s="2">
        <f t="shared" si="0"/>
        <v>223456</v>
      </c>
      <c r="G139" s="2">
        <f t="shared" si="0"/>
        <v>286436</v>
      </c>
      <c r="H139" s="2">
        <f t="shared" si="0"/>
        <v>257162</v>
      </c>
      <c r="I139" s="2">
        <f>SUM(I6:I138)</f>
        <v>257162</v>
      </c>
      <c r="J139" s="2">
        <f>SUM(J6:J138)</f>
        <v>259128</v>
      </c>
    </row>
    <row r="140" spans="1:10" x14ac:dyDescent="0.25">
      <c r="I140" s="209"/>
      <c r="J140" s="213"/>
    </row>
    <row r="141" spans="1:10" x14ac:dyDescent="0.25">
      <c r="A141" s="8" t="s">
        <v>1001</v>
      </c>
      <c r="E141" s="2">
        <f t="shared" ref="E141:H141" si="1">SUM(E6:E54)</f>
        <v>100881</v>
      </c>
      <c r="F141" s="2">
        <f t="shared" si="1"/>
        <v>117020</v>
      </c>
      <c r="G141" s="2">
        <f t="shared" si="1"/>
        <v>118598</v>
      </c>
      <c r="H141" s="2">
        <f t="shared" si="1"/>
        <v>118598</v>
      </c>
      <c r="I141" s="2">
        <f>SUM(I6:I54)</f>
        <v>118598</v>
      </c>
      <c r="J141" s="2">
        <f>SUM(J6:J54)</f>
        <v>120564</v>
      </c>
    </row>
    <row r="142" spans="1:10" x14ac:dyDescent="0.25">
      <c r="A142" s="8" t="s">
        <v>975</v>
      </c>
      <c r="E142" s="2">
        <f>SUM(E55:E127)</f>
        <v>165183</v>
      </c>
      <c r="F142" s="2">
        <f>SUM(F55:F127)</f>
        <v>96436</v>
      </c>
      <c r="G142" s="2">
        <f>SUM(G55:G127)</f>
        <v>116638</v>
      </c>
      <c r="H142" s="2">
        <f>SUM(H55:H124)</f>
        <v>119364</v>
      </c>
      <c r="I142" s="2">
        <f>SUM(I55:I124)</f>
        <v>119364</v>
      </c>
      <c r="J142" s="2">
        <f>SUM(J55:J124)</f>
        <v>119364</v>
      </c>
    </row>
    <row r="143" spans="1:10" ht="15" x14ac:dyDescent="0.4">
      <c r="A143" s="8" t="s">
        <v>976</v>
      </c>
      <c r="E143" s="12">
        <f t="shared" ref="E143:I143" si="2">SUM(E128:E138)</f>
        <v>4728</v>
      </c>
      <c r="F143" s="12">
        <f t="shared" si="2"/>
        <v>10000</v>
      </c>
      <c r="G143" s="12">
        <f t="shared" si="2"/>
        <v>51200</v>
      </c>
      <c r="H143" s="12">
        <f t="shared" si="2"/>
        <v>19200</v>
      </c>
      <c r="I143" s="12">
        <f t="shared" si="2"/>
        <v>19200</v>
      </c>
      <c r="J143" s="12">
        <f t="shared" ref="J143" si="3">SUM(J128:J138)</f>
        <v>19200</v>
      </c>
    </row>
    <row r="144" spans="1:10" x14ac:dyDescent="0.25">
      <c r="A144" s="8" t="s">
        <v>1279</v>
      </c>
      <c r="E144" s="2">
        <f t="shared" ref="E144:H144" si="4">SUM(E141:E143)</f>
        <v>270792</v>
      </c>
      <c r="F144" s="2">
        <f t="shared" si="4"/>
        <v>223456</v>
      </c>
      <c r="G144" s="2">
        <f t="shared" si="4"/>
        <v>286436</v>
      </c>
      <c r="H144" s="2">
        <f t="shared" si="4"/>
        <v>257162</v>
      </c>
      <c r="I144" s="2">
        <f>SUM(I141:I143)</f>
        <v>257162</v>
      </c>
      <c r="J144" s="2">
        <f>SUM(J141:J143)</f>
        <v>259128</v>
      </c>
    </row>
    <row r="145" spans="9:10" x14ac:dyDescent="0.25">
      <c r="I145" s="209"/>
      <c r="J145" s="213"/>
    </row>
    <row r="146" spans="9:10" x14ac:dyDescent="0.25">
      <c r="I146" s="209"/>
      <c r="J146" s="213"/>
    </row>
    <row r="147" spans="9:10" x14ac:dyDescent="0.25">
      <c r="I147" s="209"/>
      <c r="J147" s="213"/>
    </row>
    <row r="148" spans="9:10" x14ac:dyDescent="0.25">
      <c r="I148" s="209"/>
      <c r="J148" s="213"/>
    </row>
    <row r="149" spans="9:10" x14ac:dyDescent="0.25">
      <c r="I149" s="209"/>
      <c r="J149" s="213"/>
    </row>
    <row r="150" spans="9:10" x14ac:dyDescent="0.25">
      <c r="I150" s="209"/>
      <c r="J150" s="213"/>
    </row>
    <row r="151" spans="9:10" x14ac:dyDescent="0.25">
      <c r="I151" s="209"/>
      <c r="J151" s="213"/>
    </row>
    <row r="152" spans="9:10" x14ac:dyDescent="0.25">
      <c r="I152" s="209"/>
      <c r="J152" s="213"/>
    </row>
    <row r="153" spans="9:10" x14ac:dyDescent="0.25">
      <c r="I153" s="209"/>
    </row>
    <row r="154" spans="9:10" x14ac:dyDescent="0.25">
      <c r="I154" s="209"/>
    </row>
    <row r="155" spans="9:10" x14ac:dyDescent="0.25">
      <c r="I155" s="209"/>
    </row>
    <row r="156" spans="9:10" x14ac:dyDescent="0.25">
      <c r="I156" s="209"/>
    </row>
    <row r="157" spans="9:10" x14ac:dyDescent="0.25">
      <c r="I157" s="209"/>
    </row>
  </sheetData>
  <mergeCells count="1">
    <mergeCell ref="A1:J1"/>
  </mergeCells>
  <phoneticPr fontId="0" type="noConversion"/>
  <printOptions gridLines="1"/>
  <pageMargins left="0.75" right="0.16" top="0.51" bottom="0.22" header="0.5" footer="0"/>
  <pageSetup scale="88" fitToHeight="5" orientation="landscape" r:id="rId1"/>
  <headerFooter alignWithMargins="0"/>
  <rowBreaks count="1" manualBreakCount="1">
    <brk id="109" max="9"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IL202"/>
  <sheetViews>
    <sheetView view="pageBreakPreview" topLeftCell="A121" zoomScaleNormal="100" zoomScaleSheetLayoutView="100" workbookViewId="0">
      <selection activeCell="A68" sqref="A68"/>
    </sheetView>
  </sheetViews>
  <sheetFormatPr defaultRowHeight="13.2" x14ac:dyDescent="0.25"/>
  <cols>
    <col min="1" max="1" width="57.6640625" style="8" bestFit="1" customWidth="1"/>
    <col min="2" max="2" width="8.88671875" style="8" customWidth="1"/>
    <col min="3" max="3" width="10.109375" style="8" customWidth="1"/>
    <col min="4" max="4" width="12" style="8" customWidth="1"/>
    <col min="5" max="6" width="10.88671875" style="8" customWidth="1"/>
    <col min="7" max="7" width="10.88671875" style="2" customWidth="1"/>
    <col min="8" max="8" width="14" style="8" bestFit="1" customWidth="1"/>
    <col min="9" max="10" width="10.88671875" style="8" customWidth="1"/>
    <col min="11" max="11" width="8.88671875" style="8"/>
    <col min="12" max="12" width="9.21875" style="8" bestFit="1" customWidth="1"/>
    <col min="13" max="16384" width="8.88671875" style="8"/>
  </cols>
  <sheetData>
    <row r="1" spans="1:246" x14ac:dyDescent="0.25">
      <c r="A1" s="217" t="s">
        <v>1972</v>
      </c>
      <c r="B1" s="218"/>
      <c r="C1" s="218"/>
      <c r="D1" s="218"/>
      <c r="E1" s="218"/>
      <c r="F1" s="218"/>
      <c r="G1" s="218"/>
      <c r="H1" s="218"/>
      <c r="I1" s="218"/>
      <c r="J1" s="218"/>
    </row>
    <row r="2" spans="1:246" ht="17.399999999999999" x14ac:dyDescent="0.3">
      <c r="A2" s="202" t="s">
        <v>2251</v>
      </c>
      <c r="B2" s="202"/>
      <c r="C2" s="202"/>
      <c r="D2" s="202"/>
      <c r="E2" s="202"/>
      <c r="F2" s="202"/>
      <c r="I2" s="22"/>
      <c r="J2" s="22"/>
    </row>
    <row r="3" spans="1:246" x14ac:dyDescent="0.25">
      <c r="B3" s="2"/>
      <c r="C3" s="2"/>
      <c r="D3" s="2"/>
      <c r="E3" s="2"/>
      <c r="F3" s="2"/>
      <c r="I3" s="22"/>
      <c r="J3" s="22"/>
    </row>
    <row r="4" spans="1:246" x14ac:dyDescent="0.25">
      <c r="B4" s="2"/>
      <c r="C4" s="2"/>
      <c r="D4" s="2"/>
      <c r="E4" s="9" t="s">
        <v>251</v>
      </c>
      <c r="F4" s="9" t="s">
        <v>252</v>
      </c>
      <c r="G4" s="9" t="s">
        <v>73</v>
      </c>
      <c r="H4" s="9" t="s">
        <v>430</v>
      </c>
      <c r="I4" s="2" t="s">
        <v>330</v>
      </c>
      <c r="J4" s="2" t="s">
        <v>364</v>
      </c>
    </row>
    <row r="5" spans="1:246" ht="15" x14ac:dyDescent="0.4">
      <c r="B5" s="2"/>
      <c r="C5" s="2"/>
      <c r="D5" s="2"/>
      <c r="E5" s="10" t="s">
        <v>1684</v>
      </c>
      <c r="F5" s="10" t="s">
        <v>1874</v>
      </c>
      <c r="G5" s="10" t="s">
        <v>1944</v>
      </c>
      <c r="H5" s="10" t="s">
        <v>1944</v>
      </c>
      <c r="I5" s="10" t="s">
        <v>1944</v>
      </c>
      <c r="J5" s="10" t="s">
        <v>1944</v>
      </c>
    </row>
    <row r="6" spans="1:246" ht="13.8" x14ac:dyDescent="0.3">
      <c r="A6" s="11" t="s">
        <v>1412</v>
      </c>
      <c r="B6" s="2"/>
      <c r="C6" s="2"/>
      <c r="D6" s="2"/>
      <c r="E6" s="2">
        <v>36836</v>
      </c>
      <c r="F6" s="49">
        <v>39432</v>
      </c>
      <c r="G6" s="49">
        <v>38688</v>
      </c>
      <c r="H6" s="49">
        <v>38688</v>
      </c>
      <c r="I6" s="49">
        <v>38688</v>
      </c>
      <c r="J6" s="49">
        <v>39468</v>
      </c>
      <c r="IL6" s="49"/>
    </row>
    <row r="7" spans="1:246" x14ac:dyDescent="0.25">
      <c r="A7" s="8" t="s">
        <v>155</v>
      </c>
      <c r="B7" s="2">
        <v>52</v>
      </c>
      <c r="C7" s="2">
        <v>759</v>
      </c>
      <c r="D7" s="2">
        <f>ROUND(B7*C7,0)</f>
        <v>39468</v>
      </c>
      <c r="E7" s="2"/>
      <c r="F7" s="49"/>
      <c r="G7" s="49"/>
      <c r="H7" s="49"/>
      <c r="I7" s="49"/>
      <c r="J7" s="49"/>
      <c r="L7" s="13">
        <f>1.02*C7</f>
        <v>774.18000000000006</v>
      </c>
      <c r="IL7" s="49"/>
    </row>
    <row r="8" spans="1:246" ht="15" x14ac:dyDescent="0.4">
      <c r="A8" s="8" t="s">
        <v>995</v>
      </c>
      <c r="B8" s="2" t="s">
        <v>417</v>
      </c>
      <c r="C8" s="2" t="s">
        <v>417</v>
      </c>
      <c r="D8" s="12">
        <v>0</v>
      </c>
      <c r="E8" s="2"/>
      <c r="F8" s="69"/>
      <c r="G8" s="69"/>
      <c r="H8" s="69"/>
      <c r="I8" s="69"/>
      <c r="J8" s="69"/>
      <c r="L8" s="13" t="e">
        <f t="shared" ref="L8:L22" si="0">1.02*C8</f>
        <v>#VALUE!</v>
      </c>
      <c r="IL8" s="69"/>
    </row>
    <row r="9" spans="1:246" x14ac:dyDescent="0.25">
      <c r="A9" s="8" t="s">
        <v>1279</v>
      </c>
      <c r="B9" s="2"/>
      <c r="C9" s="2"/>
      <c r="D9" s="2">
        <f>SUM(D7:D8)</f>
        <v>39468</v>
      </c>
      <c r="E9" s="2"/>
      <c r="F9" s="49"/>
      <c r="G9" s="49"/>
      <c r="H9" s="49"/>
      <c r="I9" s="49"/>
      <c r="J9" s="49"/>
      <c r="L9" s="13">
        <f t="shared" si="0"/>
        <v>0</v>
      </c>
      <c r="IL9" s="49"/>
    </row>
    <row r="10" spans="1:246" x14ac:dyDescent="0.25">
      <c r="B10" s="2"/>
      <c r="C10" s="2"/>
      <c r="D10" s="2"/>
      <c r="E10" s="2"/>
      <c r="F10" s="49"/>
      <c r="G10" s="49"/>
      <c r="H10" s="49"/>
      <c r="I10" s="49"/>
      <c r="J10" s="49"/>
      <c r="L10" s="13">
        <f t="shared" si="0"/>
        <v>0</v>
      </c>
      <c r="IL10" s="49"/>
    </row>
    <row r="11" spans="1:246" ht="13.8" x14ac:dyDescent="0.3">
      <c r="A11" s="11" t="s">
        <v>408</v>
      </c>
      <c r="B11" s="2"/>
      <c r="C11" s="2"/>
      <c r="D11" s="2"/>
      <c r="E11" s="2">
        <v>147058</v>
      </c>
      <c r="F11" s="49">
        <v>157207</v>
      </c>
      <c r="G11" s="49">
        <v>159369</v>
      </c>
      <c r="H11" s="49">
        <v>159369</v>
      </c>
      <c r="I11" s="49">
        <v>159369</v>
      </c>
      <c r="J11" s="49">
        <v>162525</v>
      </c>
      <c r="L11" s="13">
        <f t="shared" si="0"/>
        <v>0</v>
      </c>
      <c r="IL11" s="49"/>
    </row>
    <row r="12" spans="1:246" x14ac:dyDescent="0.25">
      <c r="A12" s="8" t="s">
        <v>409</v>
      </c>
      <c r="B12" s="2">
        <v>52</v>
      </c>
      <c r="C12" s="2">
        <v>1845</v>
      </c>
      <c r="D12" s="2">
        <f>ROUND(B12*C12,0)</f>
        <v>95940</v>
      </c>
      <c r="E12" s="2"/>
      <c r="F12" s="49"/>
      <c r="G12" s="49"/>
      <c r="H12" s="49"/>
      <c r="I12" s="49"/>
      <c r="J12" s="49"/>
      <c r="L12" s="13">
        <f t="shared" si="0"/>
        <v>1881.9</v>
      </c>
      <c r="IL12" s="49"/>
    </row>
    <row r="13" spans="1:246" x14ac:dyDescent="0.25">
      <c r="A13" s="8" t="s">
        <v>410</v>
      </c>
      <c r="B13" s="2">
        <v>52</v>
      </c>
      <c r="C13" s="2">
        <v>1245</v>
      </c>
      <c r="D13" s="2">
        <f>ROUND(B13*C13,0)</f>
        <v>64740</v>
      </c>
      <c r="E13" s="2"/>
      <c r="F13" s="49"/>
      <c r="G13" s="49"/>
      <c r="H13" s="49"/>
      <c r="I13" s="49"/>
      <c r="J13" s="49"/>
      <c r="L13" s="13">
        <f t="shared" si="0"/>
        <v>1269.9000000000001</v>
      </c>
      <c r="IL13" s="49"/>
    </row>
    <row r="14" spans="1:246" ht="15" x14ac:dyDescent="0.4">
      <c r="A14" s="8" t="s">
        <v>995</v>
      </c>
      <c r="B14" s="2"/>
      <c r="C14" s="2"/>
      <c r="D14" s="12">
        <v>1845</v>
      </c>
      <c r="E14" s="2"/>
      <c r="F14" s="49"/>
      <c r="G14" s="49"/>
      <c r="H14" s="49"/>
      <c r="I14" s="49"/>
      <c r="J14" s="49"/>
      <c r="L14" s="13">
        <f t="shared" si="0"/>
        <v>0</v>
      </c>
      <c r="IL14" s="49"/>
    </row>
    <row r="15" spans="1:246" x14ac:dyDescent="0.25">
      <c r="A15" s="8" t="s">
        <v>1279</v>
      </c>
      <c r="B15" s="2"/>
      <c r="C15" s="2"/>
      <c r="D15" s="2">
        <f>SUM(D12:D14)</f>
        <v>162525</v>
      </c>
      <c r="E15" s="2"/>
      <c r="F15" s="49"/>
      <c r="G15" s="49"/>
      <c r="H15" s="49"/>
      <c r="I15" s="49"/>
      <c r="J15" s="49"/>
      <c r="L15" s="13">
        <f t="shared" si="0"/>
        <v>0</v>
      </c>
      <c r="IL15" s="49"/>
    </row>
    <row r="16" spans="1:246" x14ac:dyDescent="0.25">
      <c r="B16" s="2"/>
      <c r="C16" s="2"/>
      <c r="D16" s="2"/>
      <c r="E16" s="2"/>
      <c r="F16" s="49"/>
      <c r="G16" s="49"/>
      <c r="H16" s="49"/>
      <c r="I16" s="49"/>
      <c r="J16" s="49"/>
      <c r="L16" s="13">
        <f t="shared" si="0"/>
        <v>0</v>
      </c>
      <c r="IL16" s="49"/>
    </row>
    <row r="17" spans="1:246" ht="13.8" x14ac:dyDescent="0.3">
      <c r="A17" s="11" t="s">
        <v>525</v>
      </c>
      <c r="B17" s="2"/>
      <c r="C17" s="2"/>
      <c r="D17" s="2"/>
      <c r="E17" s="2">
        <v>36911</v>
      </c>
      <c r="F17" s="49">
        <v>54908</v>
      </c>
      <c r="G17" s="49">
        <v>53456</v>
      </c>
      <c r="H17" s="49">
        <v>53456</v>
      </c>
      <c r="I17" s="49">
        <v>53456</v>
      </c>
      <c r="J17" s="49">
        <v>54548</v>
      </c>
      <c r="L17" s="13">
        <f t="shared" si="0"/>
        <v>0</v>
      </c>
      <c r="IL17" s="49"/>
    </row>
    <row r="18" spans="1:246" x14ac:dyDescent="0.25">
      <c r="A18" s="8" t="s">
        <v>328</v>
      </c>
      <c r="B18" s="2">
        <v>52</v>
      </c>
      <c r="C18" s="2">
        <v>1049</v>
      </c>
      <c r="D18" s="2">
        <f>ROUND(B18*C18,0)</f>
        <v>54548</v>
      </c>
      <c r="E18" s="2"/>
      <c r="F18" s="49"/>
      <c r="G18" s="49"/>
      <c r="H18" s="49"/>
      <c r="I18" s="49"/>
      <c r="J18" s="49"/>
      <c r="L18" s="13">
        <f t="shared" si="0"/>
        <v>1069.98</v>
      </c>
      <c r="IL18" s="49"/>
    </row>
    <row r="19" spans="1:246" x14ac:dyDescent="0.25">
      <c r="D19" s="2"/>
      <c r="E19" s="2"/>
      <c r="F19" s="49"/>
      <c r="G19" s="49"/>
      <c r="H19" s="49"/>
      <c r="I19" s="49"/>
      <c r="J19" s="49"/>
      <c r="L19" s="13">
        <f t="shared" si="0"/>
        <v>0</v>
      </c>
      <c r="IL19" s="49"/>
    </row>
    <row r="20" spans="1:246" ht="13.8" x14ac:dyDescent="0.3">
      <c r="A20" s="11" t="s">
        <v>648</v>
      </c>
      <c r="D20" s="2"/>
      <c r="E20" s="2">
        <f>6+23756</f>
        <v>23762</v>
      </c>
      <c r="F20" s="49">
        <v>24860</v>
      </c>
      <c r="G20" s="49">
        <v>24802</v>
      </c>
      <c r="H20" s="49">
        <v>24802</v>
      </c>
      <c r="I20" s="49">
        <v>24802</v>
      </c>
      <c r="J20" s="49">
        <v>25292</v>
      </c>
      <c r="L20" s="13">
        <f t="shared" si="0"/>
        <v>0</v>
      </c>
      <c r="IL20" s="49"/>
    </row>
    <row r="21" spans="1:246" x14ac:dyDescent="0.25">
      <c r="A21" s="8" t="s">
        <v>855</v>
      </c>
      <c r="B21" s="2">
        <v>200</v>
      </c>
      <c r="C21" s="13">
        <v>17.010000000000002</v>
      </c>
      <c r="D21" s="2">
        <f>ROUND(B21*C21,0)</f>
        <v>3402</v>
      </c>
      <c r="E21" s="2"/>
      <c r="F21" s="49"/>
      <c r="G21" s="49"/>
      <c r="H21" s="49"/>
      <c r="I21" s="49"/>
      <c r="J21" s="49"/>
      <c r="L21" s="13">
        <f t="shared" si="0"/>
        <v>17.350200000000001</v>
      </c>
      <c r="IL21" s="49"/>
    </row>
    <row r="22" spans="1:246" ht="15" x14ac:dyDescent="0.4">
      <c r="A22" s="8" t="s">
        <v>134</v>
      </c>
      <c r="B22" s="2">
        <v>1248</v>
      </c>
      <c r="C22" s="13">
        <v>17.54</v>
      </c>
      <c r="D22" s="12">
        <f>ROUND(B22*C22,0)</f>
        <v>21890</v>
      </c>
      <c r="E22" s="2"/>
      <c r="F22" s="49"/>
      <c r="G22" s="49"/>
      <c r="H22" s="49"/>
      <c r="I22" s="49"/>
      <c r="J22" s="49"/>
      <c r="L22" s="13">
        <f t="shared" si="0"/>
        <v>17.890799999999999</v>
      </c>
      <c r="IL22" s="49"/>
    </row>
    <row r="23" spans="1:246" x14ac:dyDescent="0.25">
      <c r="B23" s="2"/>
      <c r="C23" s="13"/>
      <c r="D23" s="2">
        <f>SUM(D21:D22)</f>
        <v>25292</v>
      </c>
      <c r="E23" s="2"/>
      <c r="F23" s="49"/>
      <c r="G23" s="49"/>
      <c r="H23" s="49"/>
      <c r="I23" s="49"/>
      <c r="J23" s="49"/>
      <c r="IL23" s="49"/>
    </row>
    <row r="24" spans="1:246" x14ac:dyDescent="0.25">
      <c r="D24" s="2"/>
      <c r="E24" s="2"/>
      <c r="F24" s="49"/>
      <c r="G24" s="49"/>
      <c r="H24" s="49"/>
      <c r="I24" s="49"/>
      <c r="J24" s="49"/>
      <c r="IL24" s="49"/>
    </row>
    <row r="25" spans="1:246" ht="13.8" x14ac:dyDescent="0.3">
      <c r="A25" s="11" t="s">
        <v>220</v>
      </c>
      <c r="B25" s="77"/>
      <c r="D25" s="2"/>
      <c r="E25" s="2">
        <v>18534</v>
      </c>
      <c r="F25" s="49">
        <v>21145</v>
      </c>
      <c r="G25" s="49">
        <v>21138</v>
      </c>
      <c r="H25" s="49">
        <v>21138</v>
      </c>
      <c r="I25" s="49">
        <v>21138</v>
      </c>
      <c r="J25" s="49">
        <v>21560</v>
      </c>
      <c r="IL25" s="49"/>
    </row>
    <row r="26" spans="1:246" hidden="1" x14ac:dyDescent="0.25">
      <c r="A26" s="14" t="s">
        <v>1280</v>
      </c>
      <c r="B26" s="2">
        <f>+D9</f>
        <v>39468</v>
      </c>
      <c r="C26" s="15">
        <v>7.6499999999999999E-2</v>
      </c>
      <c r="D26" s="2">
        <f>ROUND(B26*C26,0)</f>
        <v>3019</v>
      </c>
      <c r="E26" s="2"/>
      <c r="F26" s="49"/>
      <c r="G26" s="49"/>
      <c r="H26" s="49"/>
      <c r="I26" s="49"/>
      <c r="J26" s="49"/>
      <c r="IL26" s="49"/>
    </row>
    <row r="27" spans="1:246" hidden="1" x14ac:dyDescent="0.25">
      <c r="A27" s="14" t="s">
        <v>1281</v>
      </c>
      <c r="B27" s="2">
        <f>+D15</f>
        <v>162525</v>
      </c>
      <c r="C27" s="15">
        <v>7.6499999999999999E-2</v>
      </c>
      <c r="D27" s="2">
        <f>ROUND(B27*C27,0)</f>
        <v>12433</v>
      </c>
      <c r="E27" s="2"/>
      <c r="F27" s="49"/>
      <c r="G27" s="49"/>
      <c r="H27" s="49"/>
      <c r="I27" s="49"/>
      <c r="J27" s="49"/>
      <c r="IL27" s="49"/>
    </row>
    <row r="28" spans="1:246" hidden="1" x14ac:dyDescent="0.25">
      <c r="A28" s="14" t="s">
        <v>1282</v>
      </c>
      <c r="B28" s="2">
        <f>+D18</f>
        <v>54548</v>
      </c>
      <c r="C28" s="15">
        <v>7.6499999999999999E-2</v>
      </c>
      <c r="D28" s="2">
        <f>ROUND(B28*C28,0)</f>
        <v>4173</v>
      </c>
      <c r="E28" s="2"/>
      <c r="F28" s="49"/>
      <c r="G28" s="49"/>
      <c r="H28" s="49"/>
      <c r="I28" s="49"/>
      <c r="J28" s="49"/>
      <c r="IL28" s="49"/>
    </row>
    <row r="29" spans="1:246" ht="15" hidden="1" x14ac:dyDescent="0.4">
      <c r="A29" s="14" t="s">
        <v>1283</v>
      </c>
      <c r="B29" s="2">
        <f>+D23</f>
        <v>25292</v>
      </c>
      <c r="C29" s="15">
        <v>7.6499999999999999E-2</v>
      </c>
      <c r="D29" s="12">
        <f>ROUND(B29*C29,0)</f>
        <v>1935</v>
      </c>
      <c r="E29" s="2"/>
      <c r="F29" s="49"/>
      <c r="G29" s="49"/>
      <c r="H29" s="49"/>
      <c r="I29" s="49"/>
      <c r="J29" s="49"/>
      <c r="IL29" s="49"/>
    </row>
    <row r="30" spans="1:246" hidden="1" x14ac:dyDescent="0.25">
      <c r="A30" s="8" t="s">
        <v>1279</v>
      </c>
      <c r="B30" s="2" t="s">
        <v>417</v>
      </c>
      <c r="D30" s="2">
        <f>SUM(D26:D29)</f>
        <v>21560</v>
      </c>
      <c r="E30" s="2"/>
      <c r="F30" s="49"/>
      <c r="G30" s="49"/>
      <c r="H30" s="49"/>
      <c r="I30" s="49"/>
      <c r="J30" s="49"/>
      <c r="IL30" s="49"/>
    </row>
    <row r="31" spans="1:246" x14ac:dyDescent="0.25">
      <c r="D31" s="2"/>
      <c r="E31" s="2"/>
      <c r="F31" s="49"/>
      <c r="G31" s="49"/>
      <c r="H31" s="49"/>
      <c r="I31" s="49"/>
      <c r="J31" s="49"/>
      <c r="IL31" s="49"/>
    </row>
    <row r="32" spans="1:246" ht="13.8" x14ac:dyDescent="0.3">
      <c r="A32" s="16" t="s">
        <v>221</v>
      </c>
      <c r="D32" s="2"/>
      <c r="E32" s="2">
        <v>24683</v>
      </c>
      <c r="F32" s="49">
        <v>28098</v>
      </c>
      <c r="G32" s="49">
        <v>30559</v>
      </c>
      <c r="H32" s="49">
        <v>30559</v>
      </c>
      <c r="I32" s="49">
        <v>30559</v>
      </c>
      <c r="J32" s="49">
        <v>31170</v>
      </c>
      <c r="IL32" s="49"/>
    </row>
    <row r="33" spans="1:246" hidden="1" x14ac:dyDescent="0.25">
      <c r="A33" s="14" t="s">
        <v>1280</v>
      </c>
      <c r="B33" s="2">
        <f>+D9</f>
        <v>39468</v>
      </c>
      <c r="C33" s="15">
        <v>0.1215</v>
      </c>
      <c r="D33" s="2">
        <f>ROUND(B33*C33,0)</f>
        <v>4795</v>
      </c>
      <c r="E33" s="2"/>
      <c r="F33" s="49"/>
      <c r="G33" s="49"/>
      <c r="H33" s="49"/>
      <c r="I33" s="49"/>
      <c r="J33" s="49"/>
      <c r="IL33" s="49"/>
    </row>
    <row r="34" spans="1:246" hidden="1" x14ac:dyDescent="0.25">
      <c r="A34" s="14" t="s">
        <v>1281</v>
      </c>
      <c r="B34" s="2">
        <f>+D15</f>
        <v>162525</v>
      </c>
      <c r="C34" s="15">
        <v>0.1215</v>
      </c>
      <c r="D34" s="2">
        <f>ROUND(B34*C34,0)</f>
        <v>19747</v>
      </c>
      <c r="E34" s="2"/>
      <c r="F34" s="49"/>
      <c r="G34" s="49"/>
      <c r="H34" s="49"/>
      <c r="I34" s="49"/>
      <c r="J34" s="49"/>
      <c r="IL34" s="49"/>
    </row>
    <row r="35" spans="1:246" ht="15" hidden="1" x14ac:dyDescent="0.4">
      <c r="A35" s="14" t="s">
        <v>1282</v>
      </c>
      <c r="B35" s="2">
        <f>+D18</f>
        <v>54548</v>
      </c>
      <c r="C35" s="15">
        <v>0.1215</v>
      </c>
      <c r="D35" s="12">
        <f>ROUND(B35*C35,0)</f>
        <v>6628</v>
      </c>
      <c r="E35" s="2"/>
      <c r="F35" s="49"/>
      <c r="G35" s="49"/>
      <c r="H35" s="49"/>
      <c r="I35" s="49"/>
      <c r="J35" s="49"/>
      <c r="IL35" s="49"/>
    </row>
    <row r="36" spans="1:246" hidden="1" x14ac:dyDescent="0.25">
      <c r="A36" s="8" t="s">
        <v>1279</v>
      </c>
      <c r="D36" s="2">
        <f>SUM(D33:D35)</f>
        <v>31170</v>
      </c>
      <c r="E36" s="2"/>
      <c r="F36" s="49"/>
      <c r="G36" s="49"/>
      <c r="H36" s="49"/>
      <c r="I36" s="49"/>
      <c r="J36" s="49"/>
      <c r="IL36" s="49"/>
    </row>
    <row r="37" spans="1:246" x14ac:dyDescent="0.25">
      <c r="D37" s="2"/>
      <c r="E37" s="2"/>
      <c r="F37" s="49"/>
      <c r="G37" s="49"/>
      <c r="H37" s="49"/>
      <c r="I37" s="49"/>
      <c r="J37" s="49"/>
      <c r="IL37" s="49"/>
    </row>
    <row r="38" spans="1:246" ht="13.8" x14ac:dyDescent="0.3">
      <c r="A38" s="11" t="s">
        <v>538</v>
      </c>
      <c r="D38" s="2"/>
      <c r="E38" s="2">
        <v>66539</v>
      </c>
      <c r="F38" s="49">
        <v>68000</v>
      </c>
      <c r="G38" s="49">
        <v>69000</v>
      </c>
      <c r="H38" s="49">
        <v>69000</v>
      </c>
      <c r="I38" s="49">
        <v>69000</v>
      </c>
      <c r="J38" s="49">
        <v>69000</v>
      </c>
      <c r="IL38" s="49"/>
    </row>
    <row r="39" spans="1:246" x14ac:dyDescent="0.25">
      <c r="A39" s="8" t="s">
        <v>243</v>
      </c>
      <c r="B39" s="2">
        <v>4</v>
      </c>
      <c r="C39" s="2">
        <v>17250</v>
      </c>
      <c r="D39" s="2">
        <f>ROUND(B39*C39,0)</f>
        <v>69000</v>
      </c>
      <c r="E39" s="2"/>
      <c r="F39" s="49"/>
      <c r="G39" s="49"/>
      <c r="H39" s="49"/>
      <c r="I39" s="49"/>
      <c r="J39" s="49"/>
      <c r="IL39" s="49"/>
    </row>
    <row r="40" spans="1:246" x14ac:dyDescent="0.25">
      <c r="D40" s="2"/>
      <c r="E40" s="2"/>
      <c r="F40" s="49"/>
      <c r="G40" s="49"/>
      <c r="H40" s="49"/>
      <c r="I40" s="49"/>
      <c r="J40" s="49"/>
      <c r="IL40" s="49"/>
    </row>
    <row r="41" spans="1:246" ht="13.8" x14ac:dyDescent="0.3">
      <c r="A41" s="11" t="s">
        <v>539</v>
      </c>
      <c r="D41" s="2"/>
      <c r="E41" s="2">
        <v>4449</v>
      </c>
      <c r="F41" s="49">
        <v>4680</v>
      </c>
      <c r="G41" s="49">
        <v>4680</v>
      </c>
      <c r="H41" s="49">
        <v>4680</v>
      </c>
      <c r="I41" s="49">
        <v>4680</v>
      </c>
      <c r="J41" s="49">
        <v>4680</v>
      </c>
      <c r="IL41" s="49"/>
    </row>
    <row r="42" spans="1:246" x14ac:dyDescent="0.25">
      <c r="A42" s="8" t="s">
        <v>438</v>
      </c>
      <c r="B42" s="2">
        <v>4</v>
      </c>
      <c r="C42" s="2">
        <v>1300</v>
      </c>
      <c r="D42" s="2">
        <f>ROUND(B42*C42,0)</f>
        <v>5200</v>
      </c>
      <c r="E42" s="2"/>
      <c r="F42" s="49"/>
      <c r="G42" s="49"/>
      <c r="H42" s="49"/>
      <c r="I42" s="49"/>
      <c r="J42" s="49"/>
      <c r="IL42" s="49"/>
    </row>
    <row r="43" spans="1:246" ht="15" x14ac:dyDescent="0.4">
      <c r="A43" s="8" t="s">
        <v>245</v>
      </c>
      <c r="B43" s="2"/>
      <c r="C43" s="2"/>
      <c r="D43" s="12">
        <f>-C42*B42*0.1</f>
        <v>-520</v>
      </c>
      <c r="E43" s="2"/>
      <c r="F43" s="49"/>
      <c r="G43" s="49"/>
      <c r="H43" s="49"/>
      <c r="I43" s="49"/>
      <c r="J43" s="49"/>
      <c r="IL43" s="49"/>
    </row>
    <row r="44" spans="1:246" x14ac:dyDescent="0.25">
      <c r="A44" s="8" t="s">
        <v>825</v>
      </c>
      <c r="B44" s="2"/>
      <c r="C44" s="2"/>
      <c r="D44" s="2">
        <f>SUM(D42:D43)</f>
        <v>4680</v>
      </c>
      <c r="E44" s="2"/>
      <c r="F44" s="49"/>
      <c r="G44" s="49"/>
      <c r="H44" s="49"/>
      <c r="I44" s="49"/>
      <c r="J44" s="49"/>
      <c r="IL44" s="49"/>
    </row>
    <row r="45" spans="1:246" x14ac:dyDescent="0.25">
      <c r="D45" s="2"/>
      <c r="E45" s="2"/>
      <c r="F45" s="49"/>
      <c r="G45" s="49"/>
      <c r="H45" s="49"/>
      <c r="I45" s="49"/>
      <c r="J45" s="49"/>
      <c r="IL45" s="49"/>
    </row>
    <row r="46" spans="1:246" ht="13.8" x14ac:dyDescent="0.3">
      <c r="A46" s="11" t="s">
        <v>494</v>
      </c>
      <c r="D46" s="2"/>
      <c r="E46" s="2">
        <v>492</v>
      </c>
      <c r="F46" s="49">
        <v>540</v>
      </c>
      <c r="G46" s="49">
        <v>540</v>
      </c>
      <c r="H46" s="49">
        <v>540</v>
      </c>
      <c r="I46" s="49">
        <v>540</v>
      </c>
      <c r="J46" s="49">
        <v>540</v>
      </c>
      <c r="IL46" s="49"/>
    </row>
    <row r="47" spans="1:246" hidden="1" x14ac:dyDescent="0.25">
      <c r="A47" s="8" t="s">
        <v>438</v>
      </c>
      <c r="B47" s="2">
        <v>4</v>
      </c>
      <c r="C47" s="2">
        <v>135</v>
      </c>
      <c r="D47" s="2">
        <f>ROUND(B47*C47,0)</f>
        <v>540</v>
      </c>
      <c r="E47" s="2"/>
      <c r="F47" s="49"/>
      <c r="G47" s="49"/>
      <c r="H47" s="49"/>
      <c r="I47" s="49"/>
      <c r="J47" s="49"/>
      <c r="IL47" s="49"/>
    </row>
    <row r="48" spans="1:246" x14ac:dyDescent="0.25">
      <c r="D48" s="2"/>
      <c r="E48" s="2"/>
      <c r="F48" s="49"/>
      <c r="G48" s="49"/>
      <c r="H48" s="49"/>
      <c r="I48" s="49"/>
      <c r="J48" s="49"/>
      <c r="IL48" s="49"/>
    </row>
    <row r="49" spans="1:246" ht="13.8" x14ac:dyDescent="0.3">
      <c r="A49" s="11" t="s">
        <v>495</v>
      </c>
      <c r="D49" s="2"/>
      <c r="E49" s="2">
        <v>1655</v>
      </c>
      <c r="F49" s="49">
        <v>1640</v>
      </c>
      <c r="G49" s="49">
        <v>1640</v>
      </c>
      <c r="H49" s="49">
        <v>1640</v>
      </c>
      <c r="I49" s="49">
        <v>1640</v>
      </c>
      <c r="J49" s="49">
        <v>1640</v>
      </c>
      <c r="IL49" s="49"/>
    </row>
    <row r="50" spans="1:246" hidden="1" x14ac:dyDescent="0.25">
      <c r="A50" s="8" t="s">
        <v>438</v>
      </c>
      <c r="B50" s="2">
        <v>4</v>
      </c>
      <c r="C50" s="2">
        <v>410</v>
      </c>
      <c r="D50" s="2">
        <f>ROUND(B50*C50,0)</f>
        <v>1640</v>
      </c>
      <c r="E50" s="2"/>
      <c r="F50" s="49"/>
      <c r="G50" s="49"/>
      <c r="H50" s="49"/>
      <c r="I50" s="49"/>
      <c r="J50" s="49"/>
      <c r="IL50" s="49"/>
    </row>
    <row r="51" spans="1:246" x14ac:dyDescent="0.25">
      <c r="D51" s="2"/>
      <c r="E51" s="2"/>
      <c r="F51" s="49"/>
      <c r="G51" s="49"/>
      <c r="H51" s="49"/>
      <c r="I51" s="49"/>
      <c r="J51" s="49"/>
      <c r="IL51" s="49"/>
    </row>
    <row r="52" spans="1:246" ht="13.8" x14ac:dyDescent="0.3">
      <c r="A52" s="11" t="s">
        <v>496</v>
      </c>
      <c r="D52" s="2"/>
      <c r="E52" s="2">
        <v>6961</v>
      </c>
      <c r="F52" s="49">
        <v>5742</v>
      </c>
      <c r="G52" s="49">
        <v>5423</v>
      </c>
      <c r="H52" s="49">
        <v>5393</v>
      </c>
      <c r="I52" s="49">
        <v>5393</v>
      </c>
      <c r="J52" s="49">
        <v>5440</v>
      </c>
      <c r="IL52" s="49"/>
    </row>
    <row r="53" spans="1:246" hidden="1" x14ac:dyDescent="0.25">
      <c r="A53" s="14" t="s">
        <v>1280</v>
      </c>
      <c r="B53" s="2">
        <f>+D9</f>
        <v>39468</v>
      </c>
      <c r="C53" s="15">
        <v>1.6999999999999999E-3</v>
      </c>
      <c r="D53" s="2">
        <f>ROUND(B53*C53,0)</f>
        <v>67</v>
      </c>
      <c r="E53" s="2"/>
      <c r="F53" s="49"/>
      <c r="G53" s="49"/>
      <c r="H53" s="49"/>
      <c r="I53" s="49"/>
      <c r="J53" s="49"/>
      <c r="IL53" s="49"/>
    </row>
    <row r="54" spans="1:246" hidden="1" x14ac:dyDescent="0.25">
      <c r="A54" s="25" t="s">
        <v>1284</v>
      </c>
      <c r="B54" s="2">
        <v>85324</v>
      </c>
      <c r="C54" s="15">
        <v>3.49E-2</v>
      </c>
      <c r="D54" s="2">
        <f>ROUND(B54*C54,0)</f>
        <v>2978</v>
      </c>
      <c r="E54" s="2"/>
      <c r="F54" s="49"/>
      <c r="G54" s="49"/>
      <c r="H54" s="49"/>
      <c r="I54" s="49"/>
      <c r="J54" s="49"/>
      <c r="IL54" s="49"/>
    </row>
    <row r="55" spans="1:246" hidden="1" x14ac:dyDescent="0.25">
      <c r="A55" s="8" t="s">
        <v>959</v>
      </c>
      <c r="B55" s="2">
        <f>+D13</f>
        <v>64740</v>
      </c>
      <c r="C55" s="15">
        <v>3.49E-2</v>
      </c>
      <c r="D55" s="2">
        <f>ROUND(B55*C55,0)</f>
        <v>2259</v>
      </c>
      <c r="E55" s="2"/>
      <c r="F55" s="49"/>
      <c r="G55" s="49"/>
      <c r="H55" s="49"/>
      <c r="I55" s="49"/>
      <c r="J55" s="49"/>
      <c r="IL55" s="49"/>
    </row>
    <row r="56" spans="1:246" hidden="1" x14ac:dyDescent="0.25">
      <c r="A56" s="14" t="s">
        <v>315</v>
      </c>
      <c r="B56" s="2">
        <f>+D18</f>
        <v>54548</v>
      </c>
      <c r="C56" s="15">
        <v>1.6999999999999999E-3</v>
      </c>
      <c r="D56" s="2">
        <f>ROUND(B56*C56,0)</f>
        <v>93</v>
      </c>
      <c r="E56" s="2"/>
      <c r="F56" s="49"/>
      <c r="G56" s="49"/>
      <c r="H56" s="49"/>
      <c r="I56" s="49"/>
      <c r="J56" s="49"/>
      <c r="IL56" s="49"/>
    </row>
    <row r="57" spans="1:246" ht="15" hidden="1" x14ac:dyDescent="0.4">
      <c r="A57" s="14" t="s">
        <v>1286</v>
      </c>
      <c r="B57" s="2">
        <f>+D23</f>
        <v>25292</v>
      </c>
      <c r="C57" s="15">
        <v>1.6999999999999999E-3</v>
      </c>
      <c r="D57" s="12">
        <f>ROUND(B57*C57,0)</f>
        <v>43</v>
      </c>
      <c r="E57" s="2"/>
      <c r="F57" s="49"/>
      <c r="G57" s="49"/>
      <c r="H57" s="49"/>
      <c r="I57" s="49"/>
      <c r="J57" s="49"/>
      <c r="IL57" s="49"/>
    </row>
    <row r="58" spans="1:246" hidden="1" x14ac:dyDescent="0.25">
      <c r="A58" s="8" t="s">
        <v>1279</v>
      </c>
      <c r="D58" s="2">
        <f>SUM(D53:D57)</f>
        <v>5440</v>
      </c>
      <c r="E58" s="2"/>
      <c r="F58" s="49"/>
      <c r="G58" s="49"/>
      <c r="H58" s="49"/>
      <c r="I58" s="49"/>
      <c r="J58" s="49"/>
      <c r="IL58" s="49"/>
    </row>
    <row r="59" spans="1:246" x14ac:dyDescent="0.25">
      <c r="D59" s="2"/>
      <c r="E59" s="2"/>
      <c r="F59" s="49"/>
      <c r="G59" s="49"/>
      <c r="H59" s="49"/>
      <c r="I59" s="49"/>
      <c r="J59" s="49"/>
      <c r="IL59" s="49"/>
    </row>
    <row r="60" spans="1:246" ht="13.8" x14ac:dyDescent="0.3">
      <c r="A60" s="11" t="s">
        <v>498</v>
      </c>
      <c r="D60" s="2"/>
      <c r="E60" s="2">
        <v>228</v>
      </c>
      <c r="F60" s="49">
        <v>251</v>
      </c>
      <c r="G60" s="49">
        <v>183</v>
      </c>
      <c r="H60" s="49">
        <v>183</v>
      </c>
      <c r="I60" s="49">
        <v>183</v>
      </c>
      <c r="J60" s="49">
        <v>183</v>
      </c>
      <c r="IL60" s="49"/>
    </row>
    <row r="61" spans="1:246" hidden="1" x14ac:dyDescent="0.25">
      <c r="A61" s="14" t="s">
        <v>1280</v>
      </c>
      <c r="B61" s="2">
        <v>1</v>
      </c>
      <c r="C61" s="2">
        <v>35</v>
      </c>
      <c r="D61" s="2">
        <f>ROUND(B61*C61,0)</f>
        <v>35</v>
      </c>
      <c r="E61" s="2"/>
      <c r="F61" s="49"/>
      <c r="G61" s="49"/>
      <c r="H61" s="49"/>
      <c r="I61" s="49"/>
      <c r="J61" s="49"/>
      <c r="IL61" s="49"/>
    </row>
    <row r="62" spans="1:246" hidden="1" x14ac:dyDescent="0.25">
      <c r="A62" s="14" t="s">
        <v>1281</v>
      </c>
      <c r="B62" s="2">
        <v>2</v>
      </c>
      <c r="C62" s="2">
        <v>35</v>
      </c>
      <c r="D62" s="2">
        <f>ROUND(B62*C62,0)</f>
        <v>70</v>
      </c>
      <c r="E62" s="2"/>
      <c r="F62" s="49"/>
      <c r="G62" s="49"/>
      <c r="H62" s="49"/>
      <c r="I62" s="49"/>
      <c r="J62" s="49"/>
      <c r="IL62" s="49"/>
    </row>
    <row r="63" spans="1:246" hidden="1" x14ac:dyDescent="0.25">
      <c r="A63" s="14" t="s">
        <v>1282</v>
      </c>
      <c r="B63" s="2">
        <v>1</v>
      </c>
      <c r="C63" s="2">
        <v>35</v>
      </c>
      <c r="D63" s="2">
        <f>ROUND(B63*C63,0)</f>
        <v>35</v>
      </c>
      <c r="E63" s="2"/>
      <c r="F63" s="49"/>
      <c r="G63" s="49"/>
      <c r="H63" s="49"/>
      <c r="I63" s="49"/>
      <c r="J63" s="49"/>
      <c r="IL63" s="49"/>
    </row>
    <row r="64" spans="1:246" hidden="1" x14ac:dyDescent="0.25">
      <c r="A64" s="14" t="s">
        <v>1283</v>
      </c>
      <c r="B64" s="2">
        <f>+D21</f>
        <v>3402</v>
      </c>
      <c r="C64" s="15">
        <v>2.5000000000000001E-3</v>
      </c>
      <c r="D64" s="2">
        <f>ROUND(B64*C64,0)</f>
        <v>9</v>
      </c>
      <c r="E64" s="2"/>
      <c r="F64" s="49"/>
      <c r="G64" s="49"/>
      <c r="H64" s="49"/>
      <c r="I64" s="49"/>
      <c r="J64" s="49"/>
      <c r="IL64" s="49"/>
    </row>
    <row r="65" spans="1:246" hidden="1" x14ac:dyDescent="0.25">
      <c r="A65" s="14" t="s">
        <v>1283</v>
      </c>
      <c r="B65" s="2">
        <v>1</v>
      </c>
      <c r="C65" s="2">
        <v>35</v>
      </c>
      <c r="D65" s="19">
        <f>ROUND(B65*C65,0)</f>
        <v>35</v>
      </c>
      <c r="E65" s="2"/>
      <c r="F65" s="49"/>
      <c r="G65" s="49"/>
      <c r="H65" s="49"/>
      <c r="I65" s="49"/>
      <c r="J65" s="49"/>
      <c r="IL65" s="49"/>
    </row>
    <row r="66" spans="1:246" hidden="1" x14ac:dyDescent="0.25">
      <c r="A66" s="8" t="s">
        <v>1279</v>
      </c>
      <c r="B66" s="2" t="s">
        <v>417</v>
      </c>
      <c r="C66" s="15" t="s">
        <v>417</v>
      </c>
      <c r="D66" s="2">
        <f>SUM(D61:D65)</f>
        <v>184</v>
      </c>
      <c r="E66" s="2"/>
      <c r="F66" s="49"/>
      <c r="G66" s="49"/>
      <c r="H66" s="49"/>
      <c r="I66" s="49"/>
      <c r="J66" s="49"/>
      <c r="IL66" s="49"/>
    </row>
    <row r="67" spans="1:246" x14ac:dyDescent="0.25">
      <c r="D67" s="2"/>
      <c r="E67" s="2"/>
      <c r="F67" s="49"/>
      <c r="G67" s="49"/>
      <c r="H67" s="49"/>
      <c r="I67" s="49"/>
      <c r="J67" s="49"/>
      <c r="IL67" s="49"/>
    </row>
    <row r="68" spans="1:246" ht="13.8" x14ac:dyDescent="0.3">
      <c r="A68" s="11" t="s">
        <v>499</v>
      </c>
      <c r="D68" s="2"/>
      <c r="E68" s="2">
        <v>2321</v>
      </c>
      <c r="F68" s="49">
        <v>3500</v>
      </c>
      <c r="G68" s="49">
        <v>3500</v>
      </c>
      <c r="H68" s="49">
        <v>3500</v>
      </c>
      <c r="I68" s="49">
        <v>3500</v>
      </c>
      <c r="J68" s="49">
        <v>3500</v>
      </c>
      <c r="IL68" s="49"/>
    </row>
    <row r="69" spans="1:246" x14ac:dyDescent="0.25">
      <c r="A69" s="8" t="s">
        <v>1683</v>
      </c>
      <c r="D69" s="2">
        <v>3500</v>
      </c>
      <c r="E69" s="2"/>
      <c r="F69" s="49"/>
      <c r="G69" s="49"/>
      <c r="H69" s="49"/>
      <c r="I69" s="49"/>
      <c r="J69" s="49"/>
      <c r="IL69" s="49"/>
    </row>
    <row r="70" spans="1:246" x14ac:dyDescent="0.25">
      <c r="A70" s="8" t="s">
        <v>417</v>
      </c>
      <c r="D70" s="2" t="s">
        <v>417</v>
      </c>
      <c r="E70" s="2"/>
      <c r="F70" s="49"/>
      <c r="G70" s="49"/>
      <c r="H70" s="49"/>
      <c r="I70" s="49"/>
      <c r="J70" s="49"/>
      <c r="IL70" s="49"/>
    </row>
    <row r="71" spans="1:246" ht="13.8" x14ac:dyDescent="0.3">
      <c r="A71" s="11" t="s">
        <v>489</v>
      </c>
      <c r="D71" s="2"/>
      <c r="E71" s="2">
        <v>0</v>
      </c>
      <c r="F71" s="49">
        <v>100</v>
      </c>
      <c r="G71" s="49">
        <v>100</v>
      </c>
      <c r="H71" s="49">
        <v>100</v>
      </c>
      <c r="I71" s="49">
        <v>100</v>
      </c>
      <c r="J71" s="49">
        <v>100</v>
      </c>
      <c r="IL71" s="49"/>
    </row>
    <row r="72" spans="1:246" x14ac:dyDescent="0.25">
      <c r="A72" s="8" t="s">
        <v>490</v>
      </c>
      <c r="B72" s="2"/>
      <c r="D72" s="2">
        <v>100</v>
      </c>
      <c r="E72" s="2"/>
      <c r="F72" s="49"/>
      <c r="G72" s="49"/>
      <c r="H72" s="49"/>
      <c r="I72" s="49"/>
      <c r="J72" s="49"/>
      <c r="IL72" s="49"/>
    </row>
    <row r="73" spans="1:246" x14ac:dyDescent="0.25">
      <c r="D73" s="2"/>
      <c r="E73" s="2"/>
      <c r="F73" s="49"/>
      <c r="G73" s="49"/>
      <c r="H73" s="49"/>
      <c r="I73" s="49"/>
      <c r="J73" s="49"/>
      <c r="IL73" s="49"/>
    </row>
    <row r="74" spans="1:246" ht="13.8" x14ac:dyDescent="0.3">
      <c r="A74" s="11" t="s">
        <v>917</v>
      </c>
      <c r="D74" s="2"/>
      <c r="E74" s="2">
        <v>121</v>
      </c>
      <c r="F74" s="49">
        <v>200</v>
      </c>
      <c r="G74" s="49">
        <v>200</v>
      </c>
      <c r="H74" s="49">
        <v>200</v>
      </c>
      <c r="I74" s="49">
        <v>200</v>
      </c>
      <c r="J74" s="49">
        <v>200</v>
      </c>
      <c r="IL74" s="49"/>
    </row>
    <row r="75" spans="1:246" x14ac:dyDescent="0.25">
      <c r="A75" s="8" t="s">
        <v>856</v>
      </c>
      <c r="D75" s="2">
        <v>200</v>
      </c>
      <c r="E75" s="2"/>
      <c r="F75" s="49"/>
      <c r="G75" s="49"/>
      <c r="H75" s="49"/>
      <c r="I75" s="49"/>
      <c r="J75" s="49"/>
      <c r="IL75" s="49"/>
    </row>
    <row r="76" spans="1:246" x14ac:dyDescent="0.25">
      <c r="D76" s="2"/>
      <c r="E76" s="2"/>
      <c r="F76" s="49"/>
      <c r="G76" s="49"/>
      <c r="H76" s="49"/>
      <c r="I76" s="49"/>
      <c r="J76" s="49"/>
      <c r="IL76" s="49"/>
    </row>
    <row r="77" spans="1:246" ht="13.8" x14ac:dyDescent="0.3">
      <c r="A77" s="11" t="s">
        <v>918</v>
      </c>
      <c r="D77" s="2"/>
      <c r="E77" s="2">
        <v>7913</v>
      </c>
      <c r="F77" s="49">
        <v>3500</v>
      </c>
      <c r="G77" s="49">
        <v>6850</v>
      </c>
      <c r="H77" s="49">
        <v>6850</v>
      </c>
      <c r="I77" s="49">
        <v>6850</v>
      </c>
      <c r="J77" s="49">
        <v>6850</v>
      </c>
      <c r="IL77" s="49"/>
    </row>
    <row r="78" spans="1:246" x14ac:dyDescent="0.25">
      <c r="A78" s="8" t="s">
        <v>337</v>
      </c>
      <c r="B78" s="2" t="s">
        <v>417</v>
      </c>
      <c r="D78" s="2">
        <v>0</v>
      </c>
      <c r="E78" s="2"/>
      <c r="F78" s="49"/>
      <c r="G78" s="49"/>
      <c r="H78" s="49"/>
      <c r="I78" s="49"/>
      <c r="J78" s="49"/>
      <c r="IL78" s="49"/>
    </row>
    <row r="79" spans="1:246" ht="15" x14ac:dyDescent="0.4">
      <c r="A79" s="8" t="s">
        <v>340</v>
      </c>
      <c r="B79" s="2"/>
      <c r="D79" s="12">
        <v>6850</v>
      </c>
      <c r="E79" s="2"/>
      <c r="F79" s="2"/>
      <c r="H79" s="2"/>
      <c r="I79" s="2"/>
      <c r="J79" s="2"/>
      <c r="IL79" s="2"/>
    </row>
    <row r="80" spans="1:246" x14ac:dyDescent="0.25">
      <c r="A80" s="8" t="s">
        <v>1279</v>
      </c>
      <c r="B80" s="2"/>
      <c r="D80" s="2">
        <f>SUM(D78:D79)</f>
        <v>6850</v>
      </c>
      <c r="E80" s="2"/>
      <c r="F80" s="49"/>
      <c r="G80" s="49"/>
      <c r="H80" s="49"/>
      <c r="I80" s="49"/>
      <c r="J80" s="49"/>
      <c r="IL80" s="49"/>
    </row>
    <row r="81" spans="1:246" x14ac:dyDescent="0.25">
      <c r="E81" s="2"/>
      <c r="F81" s="49"/>
      <c r="G81" s="49"/>
      <c r="H81" s="49"/>
      <c r="I81" s="49"/>
      <c r="J81" s="49"/>
      <c r="IL81" s="49"/>
    </row>
    <row r="82" spans="1:246" ht="13.8" x14ac:dyDescent="0.3">
      <c r="A82" s="11" t="s">
        <v>49</v>
      </c>
      <c r="E82" s="2">
        <v>102</v>
      </c>
      <c r="F82" s="49">
        <v>120</v>
      </c>
      <c r="G82" s="49">
        <v>125</v>
      </c>
      <c r="H82" s="49">
        <v>125</v>
      </c>
      <c r="I82" s="49">
        <v>125</v>
      </c>
      <c r="J82" s="49">
        <v>125</v>
      </c>
      <c r="IL82" s="49"/>
    </row>
    <row r="83" spans="1:246" x14ac:dyDescent="0.25">
      <c r="A83" s="8" t="s">
        <v>1317</v>
      </c>
      <c r="B83" s="2">
        <v>50</v>
      </c>
      <c r="C83" s="13">
        <v>2.5</v>
      </c>
      <c r="D83" s="2">
        <f>+C83*B83</f>
        <v>125</v>
      </c>
      <c r="E83" s="2"/>
      <c r="F83" s="49"/>
      <c r="G83" s="49"/>
      <c r="H83" s="49"/>
      <c r="I83" s="49"/>
      <c r="J83" s="49"/>
      <c r="IL83" s="49"/>
    </row>
    <row r="84" spans="1:246" x14ac:dyDescent="0.25">
      <c r="B84" s="2"/>
      <c r="D84" s="15"/>
      <c r="E84" s="2"/>
      <c r="F84" s="49"/>
      <c r="G84" s="49"/>
      <c r="H84" s="49"/>
      <c r="I84" s="49"/>
      <c r="J84" s="49"/>
      <c r="IL84" s="49"/>
    </row>
    <row r="85" spans="1:246" ht="13.8" x14ac:dyDescent="0.3">
      <c r="A85" s="11" t="s">
        <v>230</v>
      </c>
      <c r="B85" s="2"/>
      <c r="D85" s="15"/>
      <c r="E85" s="2">
        <v>3548</v>
      </c>
      <c r="F85" s="49">
        <v>2866</v>
      </c>
      <c r="G85" s="49">
        <v>3520</v>
      </c>
      <c r="H85" s="49">
        <v>3520</v>
      </c>
      <c r="I85" s="49">
        <v>3520</v>
      </c>
      <c r="J85" s="49">
        <v>3520</v>
      </c>
      <c r="IL85" s="49"/>
    </row>
    <row r="86" spans="1:246" x14ac:dyDescent="0.25">
      <c r="A86" s="8" t="s">
        <v>977</v>
      </c>
      <c r="B86" s="2"/>
      <c r="D86" s="2">
        <v>2500</v>
      </c>
      <c r="E86" s="2"/>
      <c r="F86" s="49"/>
      <c r="G86" s="49"/>
      <c r="H86" s="49"/>
      <c r="I86" s="49"/>
      <c r="J86" s="49"/>
      <c r="IL86" s="49"/>
    </row>
    <row r="87" spans="1:246" ht="15" x14ac:dyDescent="0.4">
      <c r="A87" s="8" t="s">
        <v>231</v>
      </c>
      <c r="B87" s="2"/>
      <c r="D87" s="12">
        <f>85*12</f>
        <v>1020</v>
      </c>
      <c r="E87" s="2"/>
      <c r="F87" s="49"/>
      <c r="G87" s="49"/>
      <c r="H87" s="49"/>
      <c r="I87" s="49"/>
      <c r="J87" s="49"/>
      <c r="IL87" s="49"/>
    </row>
    <row r="88" spans="1:246" x14ac:dyDescent="0.25">
      <c r="A88" s="8" t="s">
        <v>1279</v>
      </c>
      <c r="B88" s="2"/>
      <c r="D88" s="2">
        <f>SUM(D86:D87)</f>
        <v>3520</v>
      </c>
      <c r="E88" s="2"/>
      <c r="F88" s="49"/>
      <c r="G88" s="49"/>
      <c r="H88" s="49"/>
      <c r="I88" s="49"/>
      <c r="J88" s="49"/>
      <c r="IL88" s="49"/>
    </row>
    <row r="89" spans="1:246" x14ac:dyDescent="0.25">
      <c r="D89" s="2"/>
      <c r="E89" s="2"/>
      <c r="F89" s="49"/>
      <c r="G89" s="49"/>
      <c r="H89" s="49"/>
      <c r="I89" s="49"/>
      <c r="J89" s="49"/>
      <c r="IL89" s="49"/>
    </row>
    <row r="90" spans="1:246" ht="13.8" x14ac:dyDescent="0.3">
      <c r="A90" s="11" t="s">
        <v>673</v>
      </c>
      <c r="D90" s="2"/>
      <c r="E90" s="2">
        <v>22665</v>
      </c>
      <c r="F90" s="49">
        <v>22600</v>
      </c>
      <c r="G90" s="49">
        <v>22800</v>
      </c>
      <c r="H90" s="49">
        <v>22800</v>
      </c>
      <c r="I90" s="49">
        <v>22800</v>
      </c>
      <c r="J90" s="49">
        <v>22800</v>
      </c>
      <c r="IL90" s="49"/>
    </row>
    <row r="91" spans="1:246" x14ac:dyDescent="0.25">
      <c r="A91" s="8" t="s">
        <v>162</v>
      </c>
      <c r="B91" s="2" t="s">
        <v>417</v>
      </c>
      <c r="D91" s="2">
        <v>21100</v>
      </c>
      <c r="E91" s="2"/>
      <c r="F91" s="2"/>
      <c r="H91" s="2"/>
      <c r="I91" s="2"/>
      <c r="J91" s="2"/>
      <c r="IL91" s="2"/>
    </row>
    <row r="92" spans="1:246" x14ac:dyDescent="0.25">
      <c r="A92" s="8" t="s">
        <v>1225</v>
      </c>
      <c r="D92" s="2">
        <v>1300</v>
      </c>
      <c r="E92" s="2"/>
      <c r="F92" s="2"/>
      <c r="H92" s="2"/>
      <c r="I92" s="2"/>
      <c r="J92" s="2"/>
      <c r="IL92" s="2"/>
    </row>
    <row r="93" spans="1:246" ht="15" x14ac:dyDescent="0.4">
      <c r="A93" s="8" t="s">
        <v>895</v>
      </c>
      <c r="D93" s="12">
        <v>400</v>
      </c>
      <c r="E93" s="2"/>
      <c r="F93" s="49"/>
      <c r="G93" s="49"/>
      <c r="H93" s="49"/>
      <c r="I93" s="49"/>
      <c r="J93" s="49"/>
      <c r="IL93" s="49"/>
    </row>
    <row r="94" spans="1:246" x14ac:dyDescent="0.25">
      <c r="A94" s="8" t="s">
        <v>1279</v>
      </c>
      <c r="D94" s="2">
        <f>SUM(D91:D93)</f>
        <v>22800</v>
      </c>
      <c r="E94" s="2"/>
      <c r="F94" s="49"/>
      <c r="G94" s="49"/>
      <c r="H94" s="49"/>
      <c r="I94" s="49"/>
      <c r="J94" s="49"/>
      <c r="IL94" s="49"/>
    </row>
    <row r="95" spans="1:246" x14ac:dyDescent="0.25">
      <c r="D95" s="2"/>
      <c r="E95" s="2"/>
      <c r="F95" s="49"/>
      <c r="G95" s="49"/>
      <c r="H95" s="49"/>
      <c r="I95" s="49"/>
      <c r="J95" s="49"/>
      <c r="IL95" s="49"/>
    </row>
    <row r="96" spans="1:246" ht="13.8" x14ac:dyDescent="0.3">
      <c r="A96" s="18" t="s">
        <v>896</v>
      </c>
      <c r="D96" s="2"/>
      <c r="E96" s="2">
        <v>3536</v>
      </c>
      <c r="F96" s="49">
        <v>3543</v>
      </c>
      <c r="G96" s="49">
        <v>4162</v>
      </c>
      <c r="H96" s="49">
        <v>3913</v>
      </c>
      <c r="I96" s="49">
        <v>3913</v>
      </c>
      <c r="J96" s="49">
        <v>3913</v>
      </c>
      <c r="IL96" s="49"/>
    </row>
    <row r="97" spans="1:246" x14ac:dyDescent="0.25">
      <c r="A97" s="8" t="s">
        <v>897</v>
      </c>
      <c r="D97" s="2">
        <v>3913</v>
      </c>
      <c r="E97" s="2"/>
      <c r="F97" s="49"/>
      <c r="G97" s="49"/>
      <c r="H97" s="49"/>
      <c r="I97" s="49"/>
      <c r="J97" s="49"/>
      <c r="IL97" s="49"/>
    </row>
    <row r="98" spans="1:246" x14ac:dyDescent="0.25">
      <c r="D98" s="2"/>
      <c r="E98" s="2"/>
      <c r="F98" s="49"/>
      <c r="G98" s="49"/>
      <c r="H98" s="49"/>
      <c r="I98" s="49"/>
      <c r="J98" s="49"/>
      <c r="IL98" s="49"/>
    </row>
    <row r="99" spans="1:246" ht="13.8" x14ac:dyDescent="0.3">
      <c r="A99" s="11" t="s">
        <v>898</v>
      </c>
      <c r="D99" s="2"/>
      <c r="E99" s="2">
        <v>8.64</v>
      </c>
      <c r="F99" s="49">
        <v>1500</v>
      </c>
      <c r="G99" s="49">
        <v>1500</v>
      </c>
      <c r="H99" s="49">
        <v>1500</v>
      </c>
      <c r="I99" s="49">
        <v>1500</v>
      </c>
      <c r="J99" s="49">
        <v>1500</v>
      </c>
      <c r="IL99" s="49"/>
    </row>
    <row r="100" spans="1:246" x14ac:dyDescent="0.25">
      <c r="A100" s="8" t="s">
        <v>540</v>
      </c>
      <c r="D100" s="2">
        <v>1500</v>
      </c>
      <c r="E100" s="2"/>
      <c r="F100" s="49"/>
      <c r="G100" s="49"/>
      <c r="H100" s="49"/>
      <c r="I100" s="49"/>
      <c r="J100" s="49"/>
      <c r="IL100" s="49"/>
    </row>
    <row r="101" spans="1:246" x14ac:dyDescent="0.25">
      <c r="A101" s="8" t="s">
        <v>417</v>
      </c>
      <c r="D101" s="2" t="s">
        <v>417</v>
      </c>
      <c r="E101" s="2"/>
      <c r="F101" s="49"/>
      <c r="G101" s="49"/>
      <c r="H101" s="49"/>
      <c r="I101" s="49"/>
      <c r="J101" s="49"/>
      <c r="IL101" s="49"/>
    </row>
    <row r="102" spans="1:246" ht="13.8" x14ac:dyDescent="0.3">
      <c r="A102" s="11" t="s">
        <v>192</v>
      </c>
      <c r="D102" s="2"/>
      <c r="E102" s="2">
        <v>0</v>
      </c>
      <c r="F102" s="49">
        <v>300</v>
      </c>
      <c r="G102" s="49">
        <v>150</v>
      </c>
      <c r="H102" s="49">
        <v>150</v>
      </c>
      <c r="I102" s="49">
        <v>150</v>
      </c>
      <c r="J102" s="49">
        <v>150</v>
      </c>
      <c r="IL102" s="49"/>
    </row>
    <row r="103" spans="1:246" x14ac:dyDescent="0.25">
      <c r="A103" s="8" t="s">
        <v>193</v>
      </c>
      <c r="D103" s="2">
        <v>150</v>
      </c>
      <c r="E103" s="2"/>
      <c r="F103" s="49"/>
      <c r="G103" s="49"/>
      <c r="H103" s="49"/>
      <c r="I103" s="49"/>
      <c r="J103" s="49"/>
      <c r="IL103" s="49"/>
    </row>
    <row r="104" spans="1:246" x14ac:dyDescent="0.25">
      <c r="D104" s="2"/>
      <c r="E104" s="2"/>
      <c r="F104" s="49"/>
      <c r="G104" s="49"/>
      <c r="H104" s="49"/>
      <c r="I104" s="49"/>
      <c r="J104" s="49"/>
      <c r="IL104" s="49"/>
    </row>
    <row r="105" spans="1:246" ht="13.8" x14ac:dyDescent="0.3">
      <c r="A105" s="11" t="s">
        <v>1318</v>
      </c>
      <c r="D105" s="2"/>
      <c r="E105" s="2">
        <f>1360+9852</f>
        <v>11212</v>
      </c>
      <c r="F105" s="49">
        <v>5000</v>
      </c>
      <c r="G105" s="49">
        <v>7500</v>
      </c>
      <c r="H105" s="49">
        <v>7500</v>
      </c>
      <c r="I105" s="49">
        <v>7500</v>
      </c>
      <c r="J105" s="49">
        <v>7500</v>
      </c>
      <c r="IL105" s="49"/>
    </row>
    <row r="106" spans="1:246" x14ac:dyDescent="0.25">
      <c r="A106" s="8" t="s">
        <v>833</v>
      </c>
      <c r="D106" s="2">
        <v>7500</v>
      </c>
      <c r="E106" s="2"/>
      <c r="F106" s="49"/>
      <c r="G106" s="49"/>
      <c r="H106" s="49"/>
      <c r="I106" s="49"/>
      <c r="J106" s="49"/>
      <c r="IL106" s="49"/>
    </row>
    <row r="107" spans="1:246" x14ac:dyDescent="0.25">
      <c r="E107" s="2"/>
      <c r="F107" s="49"/>
      <c r="G107" s="49"/>
      <c r="H107" s="49"/>
      <c r="I107" s="49"/>
      <c r="J107" s="49"/>
      <c r="IL107" s="49"/>
    </row>
    <row r="108" spans="1:246" ht="13.8" x14ac:dyDescent="0.3">
      <c r="A108" s="11" t="s">
        <v>244</v>
      </c>
      <c r="B108" s="32" t="s">
        <v>417</v>
      </c>
      <c r="D108" s="39"/>
      <c r="E108" s="2">
        <v>1670</v>
      </c>
      <c r="F108" s="49">
        <v>5000</v>
      </c>
      <c r="G108" s="49">
        <v>3000</v>
      </c>
      <c r="H108" s="49">
        <v>3000</v>
      </c>
      <c r="I108" s="49">
        <v>3000</v>
      </c>
      <c r="J108" s="49">
        <v>3000</v>
      </c>
      <c r="IL108" s="49"/>
    </row>
    <row r="109" spans="1:246" x14ac:dyDescent="0.25">
      <c r="A109" s="8" t="s">
        <v>1652</v>
      </c>
      <c r="B109" s="2" t="s">
        <v>417</v>
      </c>
      <c r="D109" s="2">
        <v>3000</v>
      </c>
      <c r="E109" s="2"/>
      <c r="F109" s="2"/>
      <c r="H109" s="2"/>
      <c r="I109" s="2"/>
      <c r="J109" s="2"/>
      <c r="IL109" s="2"/>
    </row>
    <row r="110" spans="1:246" x14ac:dyDescent="0.25">
      <c r="B110" s="2"/>
      <c r="D110" s="2"/>
      <c r="E110" s="2"/>
      <c r="F110" s="2"/>
      <c r="H110" s="2"/>
      <c r="I110" s="2"/>
      <c r="J110" s="2"/>
      <c r="IL110" s="2"/>
    </row>
    <row r="111" spans="1:246" ht="13.8" x14ac:dyDescent="0.3">
      <c r="A111" s="11" t="s">
        <v>786</v>
      </c>
      <c r="E111" s="2">
        <v>600</v>
      </c>
      <c r="F111" s="49">
        <v>2500</v>
      </c>
      <c r="G111" s="49">
        <v>2500</v>
      </c>
      <c r="H111" s="49">
        <v>2500</v>
      </c>
      <c r="I111" s="49">
        <v>2500</v>
      </c>
      <c r="J111" s="49">
        <v>2500</v>
      </c>
      <c r="IL111" s="49"/>
    </row>
    <row r="112" spans="1:246" x14ac:dyDescent="0.25">
      <c r="A112" s="8" t="s">
        <v>48</v>
      </c>
      <c r="D112" s="2">
        <v>500</v>
      </c>
      <c r="E112" s="2"/>
      <c r="F112" s="49"/>
      <c r="G112" s="49"/>
      <c r="H112" s="49"/>
      <c r="I112" s="49"/>
      <c r="J112" s="49"/>
      <c r="IL112" s="49"/>
    </row>
    <row r="113" spans="1:246" x14ac:dyDescent="0.25">
      <c r="A113" s="8" t="s">
        <v>1671</v>
      </c>
      <c r="D113" s="2">
        <v>600</v>
      </c>
      <c r="E113" s="2"/>
      <c r="F113" s="49"/>
      <c r="G113" s="49"/>
      <c r="H113" s="49"/>
      <c r="I113" s="49"/>
      <c r="J113" s="49"/>
      <c r="IL113" s="49"/>
    </row>
    <row r="114" spans="1:246" x14ac:dyDescent="0.25">
      <c r="A114" s="8" t="s">
        <v>380</v>
      </c>
      <c r="D114" s="2">
        <v>1200</v>
      </c>
      <c r="E114" s="2"/>
      <c r="F114" s="49"/>
      <c r="G114" s="49"/>
      <c r="H114" s="49"/>
      <c r="I114" s="49"/>
      <c r="J114" s="49"/>
      <c r="IL114" s="49"/>
    </row>
    <row r="115" spans="1:246" ht="15" x14ac:dyDescent="0.4">
      <c r="A115" s="8" t="s">
        <v>1341</v>
      </c>
      <c r="D115" s="12">
        <v>200</v>
      </c>
      <c r="E115" s="2"/>
      <c r="F115" s="49"/>
      <c r="G115" s="49"/>
      <c r="H115" s="49"/>
      <c r="I115" s="49"/>
      <c r="J115" s="49"/>
      <c r="IL115" s="49"/>
    </row>
    <row r="116" spans="1:246" x14ac:dyDescent="0.25">
      <c r="A116" s="8" t="s">
        <v>1279</v>
      </c>
      <c r="D116" s="2">
        <f>SUM(D112:D115)</f>
        <v>2500</v>
      </c>
      <c r="E116" s="2"/>
      <c r="F116" s="49"/>
      <c r="G116" s="49"/>
      <c r="H116" s="49"/>
      <c r="I116" s="49"/>
      <c r="J116" s="49"/>
      <c r="IL116" s="49"/>
    </row>
    <row r="117" spans="1:246" x14ac:dyDescent="0.25">
      <c r="D117" s="2"/>
      <c r="E117" s="2"/>
      <c r="F117" s="49"/>
      <c r="G117" s="49"/>
      <c r="H117" s="49"/>
      <c r="I117" s="49"/>
      <c r="J117" s="49"/>
      <c r="IL117" s="49"/>
    </row>
    <row r="118" spans="1:246" ht="13.8" x14ac:dyDescent="0.3">
      <c r="A118" s="11" t="s">
        <v>15</v>
      </c>
      <c r="D118" s="39"/>
      <c r="E118" s="2">
        <v>3077</v>
      </c>
      <c r="F118" s="49">
        <v>1500</v>
      </c>
      <c r="G118" s="49">
        <v>1500</v>
      </c>
      <c r="H118" s="49">
        <v>1500</v>
      </c>
      <c r="I118" s="49">
        <v>1500</v>
      </c>
      <c r="J118" s="49">
        <v>1500</v>
      </c>
      <c r="IL118" s="49"/>
    </row>
    <row r="119" spans="1:246" x14ac:dyDescent="0.25">
      <c r="A119" s="8" t="s">
        <v>16</v>
      </c>
      <c r="D119" s="2">
        <v>1000</v>
      </c>
      <c r="E119" s="2"/>
      <c r="F119" s="49"/>
      <c r="G119" s="49"/>
      <c r="H119" s="49"/>
      <c r="I119" s="49"/>
      <c r="J119" s="49"/>
      <c r="IL119" s="49"/>
    </row>
    <row r="120" spans="1:246" ht="15" x14ac:dyDescent="0.4">
      <c r="A120" s="8" t="s">
        <v>804</v>
      </c>
      <c r="D120" s="12">
        <v>500</v>
      </c>
      <c r="E120" s="2"/>
      <c r="F120" s="49"/>
      <c r="G120" s="49"/>
      <c r="H120" s="49"/>
      <c r="I120" s="49"/>
      <c r="J120" s="49"/>
      <c r="IL120" s="49"/>
    </row>
    <row r="121" spans="1:246" x14ac:dyDescent="0.25">
      <c r="A121" s="8" t="s">
        <v>1279</v>
      </c>
      <c r="D121" s="2">
        <f>SUM(D119:D120)</f>
        <v>1500</v>
      </c>
      <c r="E121" s="2"/>
      <c r="F121" s="49"/>
      <c r="G121" s="49"/>
      <c r="H121" s="49"/>
      <c r="I121" s="49"/>
      <c r="J121" s="49"/>
      <c r="IL121" s="49"/>
    </row>
    <row r="122" spans="1:246" x14ac:dyDescent="0.25">
      <c r="D122" s="2"/>
      <c r="E122" s="2"/>
      <c r="F122" s="49"/>
      <c r="G122" s="49"/>
      <c r="H122" s="49"/>
      <c r="I122" s="49"/>
      <c r="J122" s="49"/>
      <c r="IL122" s="49"/>
    </row>
    <row r="123" spans="1:246" ht="13.8" x14ac:dyDescent="0.3">
      <c r="A123" s="11" t="s">
        <v>1379</v>
      </c>
      <c r="D123" s="2"/>
      <c r="E123" s="9">
        <v>0</v>
      </c>
      <c r="F123" s="49">
        <v>5000</v>
      </c>
      <c r="G123" s="49">
        <v>5000</v>
      </c>
      <c r="H123" s="49">
        <v>5000</v>
      </c>
      <c r="I123" s="49">
        <v>5000</v>
      </c>
      <c r="J123" s="49">
        <v>5000</v>
      </c>
      <c r="IL123" s="49"/>
    </row>
    <row r="124" spans="1:246" x14ac:dyDescent="0.25">
      <c r="A124" s="8" t="s">
        <v>1695</v>
      </c>
      <c r="D124" s="9">
        <v>5000</v>
      </c>
      <c r="E124" s="2"/>
      <c r="F124" s="49"/>
      <c r="G124" s="49"/>
      <c r="H124" s="49"/>
      <c r="I124" s="49"/>
      <c r="J124" s="49"/>
      <c r="IL124" s="49"/>
    </row>
    <row r="125" spans="1:246" x14ac:dyDescent="0.25">
      <c r="E125" s="2"/>
      <c r="F125" s="49"/>
      <c r="G125" s="49"/>
      <c r="H125" s="49"/>
      <c r="I125" s="49"/>
      <c r="J125" s="49"/>
      <c r="IL125" s="49"/>
    </row>
    <row r="126" spans="1:246" ht="13.8" x14ac:dyDescent="0.3">
      <c r="A126" s="11" t="s">
        <v>674</v>
      </c>
      <c r="D126" s="39"/>
      <c r="E126" s="2">
        <v>2399</v>
      </c>
      <c r="F126" s="49">
        <v>4231</v>
      </c>
      <c r="G126" s="49">
        <v>4231</v>
      </c>
      <c r="H126" s="49">
        <v>4231</v>
      </c>
      <c r="I126" s="49">
        <v>4231</v>
      </c>
      <c r="J126" s="49">
        <v>4231</v>
      </c>
      <c r="IL126" s="49"/>
    </row>
    <row r="127" spans="1:246" x14ac:dyDescent="0.25">
      <c r="A127" s="8" t="s">
        <v>675</v>
      </c>
      <c r="E127" s="2"/>
      <c r="F127" s="49"/>
      <c r="G127" s="49"/>
      <c r="H127" s="49"/>
      <c r="I127" s="49"/>
      <c r="J127" s="49"/>
      <c r="IL127" s="49"/>
    </row>
    <row r="128" spans="1:246" x14ac:dyDescent="0.25">
      <c r="A128" s="8" t="s">
        <v>598</v>
      </c>
      <c r="D128" s="2" t="s">
        <v>417</v>
      </c>
      <c r="E128" s="2"/>
      <c r="F128" s="2"/>
      <c r="H128" s="2"/>
      <c r="I128" s="2"/>
      <c r="J128" s="2"/>
      <c r="IL128" s="2"/>
    </row>
    <row r="129" spans="1:246" x14ac:dyDescent="0.25">
      <c r="A129" s="8" t="s">
        <v>301</v>
      </c>
      <c r="D129" s="2">
        <v>963</v>
      </c>
      <c r="E129" s="2"/>
      <c r="F129" s="2"/>
      <c r="H129" s="2"/>
      <c r="I129" s="2"/>
      <c r="J129" s="2"/>
      <c r="IL129" s="2"/>
    </row>
    <row r="130" spans="1:246" x14ac:dyDescent="0.25">
      <c r="A130" s="8" t="s">
        <v>39</v>
      </c>
      <c r="D130" s="2">
        <v>250</v>
      </c>
      <c r="E130" s="2"/>
      <c r="F130" s="2"/>
      <c r="H130" s="2"/>
      <c r="I130" s="2"/>
      <c r="J130" s="2"/>
      <c r="IL130" s="2"/>
    </row>
    <row r="131" spans="1:246" x14ac:dyDescent="0.25">
      <c r="A131" s="8" t="s">
        <v>559</v>
      </c>
      <c r="D131" s="2">
        <v>200</v>
      </c>
      <c r="E131" s="2"/>
      <c r="F131" s="49"/>
      <c r="G131" s="49"/>
      <c r="H131" s="49"/>
      <c r="I131" s="49"/>
      <c r="J131" s="49"/>
      <c r="IL131" s="49"/>
    </row>
    <row r="132" spans="1:246" x14ac:dyDescent="0.25">
      <c r="A132" s="8" t="s">
        <v>1653</v>
      </c>
      <c r="D132" s="2">
        <v>400</v>
      </c>
      <c r="E132" s="2"/>
      <c r="F132" s="49"/>
      <c r="G132" s="49"/>
      <c r="H132" s="49"/>
      <c r="I132" s="49"/>
      <c r="J132" s="49"/>
      <c r="IL132" s="49"/>
    </row>
    <row r="133" spans="1:246" x14ac:dyDescent="0.25">
      <c r="A133" s="8" t="s">
        <v>1141</v>
      </c>
      <c r="D133" s="2">
        <v>380</v>
      </c>
      <c r="E133" s="2"/>
      <c r="F133" s="49"/>
      <c r="G133" s="49"/>
      <c r="H133" s="49"/>
      <c r="I133" s="49"/>
      <c r="J133" s="49"/>
      <c r="IL133" s="49"/>
    </row>
    <row r="134" spans="1:246" x14ac:dyDescent="0.25">
      <c r="A134" s="8" t="s">
        <v>1654</v>
      </c>
      <c r="D134" s="2">
        <v>150</v>
      </c>
      <c r="E134" s="2"/>
      <c r="F134" s="49"/>
      <c r="G134" s="49"/>
      <c r="H134" s="49"/>
      <c r="I134" s="49"/>
      <c r="J134" s="49"/>
      <c r="IL134" s="49"/>
    </row>
    <row r="135" spans="1:246" x14ac:dyDescent="0.25">
      <c r="A135" s="8" t="s">
        <v>421</v>
      </c>
      <c r="D135" s="2">
        <v>200</v>
      </c>
      <c r="E135" s="2"/>
      <c r="F135" s="49"/>
      <c r="G135" s="49"/>
      <c r="H135" s="49"/>
      <c r="I135" s="49"/>
      <c r="J135" s="49"/>
      <c r="IL135" s="49"/>
    </row>
    <row r="136" spans="1:246" ht="15" x14ac:dyDescent="0.4">
      <c r="A136" s="8" t="s">
        <v>422</v>
      </c>
      <c r="D136" s="12">
        <v>1688</v>
      </c>
      <c r="E136" s="2"/>
      <c r="F136" s="49"/>
      <c r="G136" s="49"/>
      <c r="H136" s="49"/>
      <c r="I136" s="49"/>
      <c r="J136" s="49"/>
      <c r="IL136" s="49"/>
    </row>
    <row r="137" spans="1:246" x14ac:dyDescent="0.25">
      <c r="A137" s="8" t="s">
        <v>423</v>
      </c>
      <c r="D137" s="2">
        <f>SUM(D128:D136)</f>
        <v>4231</v>
      </c>
      <c r="E137" s="2"/>
      <c r="F137" s="49"/>
      <c r="G137" s="49"/>
      <c r="H137" s="49"/>
      <c r="I137" s="49"/>
      <c r="J137" s="49"/>
      <c r="IL137" s="49"/>
    </row>
    <row r="138" spans="1:246" x14ac:dyDescent="0.25">
      <c r="D138" s="2"/>
      <c r="E138" s="2"/>
      <c r="F138" s="49"/>
      <c r="G138" s="49"/>
      <c r="H138" s="49"/>
      <c r="I138" s="49"/>
      <c r="J138" s="49"/>
      <c r="IL138" s="49"/>
    </row>
    <row r="139" spans="1:246" ht="13.8" x14ac:dyDescent="0.3">
      <c r="A139" s="11" t="s">
        <v>506</v>
      </c>
      <c r="E139" s="2">
        <v>2784</v>
      </c>
      <c r="F139" s="49">
        <v>1500</v>
      </c>
      <c r="G139" s="49">
        <v>1750</v>
      </c>
      <c r="H139" s="49">
        <v>1750</v>
      </c>
      <c r="I139" s="49">
        <v>1750</v>
      </c>
      <c r="J139" s="49">
        <v>1750</v>
      </c>
      <c r="IL139" s="49"/>
    </row>
    <row r="140" spans="1:246" x14ac:dyDescent="0.25">
      <c r="A140" s="8" t="s">
        <v>236</v>
      </c>
      <c r="D140" s="2">
        <v>1750</v>
      </c>
      <c r="E140" s="2"/>
      <c r="F140" s="49"/>
      <c r="G140" s="49"/>
      <c r="H140" s="49"/>
      <c r="I140" s="49"/>
      <c r="J140" s="49"/>
      <c r="IL140" s="49"/>
    </row>
    <row r="141" spans="1:246" x14ac:dyDescent="0.25">
      <c r="D141" s="2"/>
      <c r="E141" s="2"/>
      <c r="F141" s="49"/>
      <c r="G141" s="49"/>
      <c r="H141" s="49"/>
      <c r="I141" s="49"/>
      <c r="J141" s="49"/>
      <c r="IL141" s="49"/>
    </row>
    <row r="142" spans="1:246" ht="13.8" x14ac:dyDescent="0.3">
      <c r="A142" s="11" t="s">
        <v>144</v>
      </c>
      <c r="D142" s="2"/>
      <c r="E142" s="2"/>
      <c r="F142" s="49"/>
      <c r="G142" s="49"/>
      <c r="H142" s="49"/>
      <c r="I142" s="49"/>
      <c r="J142" s="49"/>
      <c r="IL142" s="49"/>
    </row>
    <row r="143" spans="1:246" ht="15" x14ac:dyDescent="0.4">
      <c r="E143" s="2"/>
      <c r="F143" s="12"/>
      <c r="G143" s="12"/>
      <c r="H143" s="12"/>
      <c r="I143" s="12"/>
      <c r="J143" s="12"/>
      <c r="IL143" s="12"/>
    </row>
    <row r="144" spans="1:246" ht="15" x14ac:dyDescent="0.4">
      <c r="A144" s="11" t="s">
        <v>427</v>
      </c>
      <c r="E144" s="2"/>
      <c r="F144" s="12"/>
      <c r="G144" s="12"/>
      <c r="H144" s="12"/>
      <c r="I144" s="12"/>
      <c r="J144" s="12"/>
      <c r="IL144" s="12"/>
    </row>
    <row r="145" spans="1:246" x14ac:dyDescent="0.25">
      <c r="E145" s="2"/>
      <c r="F145" s="2"/>
      <c r="H145" s="2"/>
      <c r="I145" s="2"/>
      <c r="J145" s="2"/>
      <c r="IL145" s="2"/>
    </row>
    <row r="146" spans="1:246" ht="13.8" x14ac:dyDescent="0.3">
      <c r="A146" s="11" t="s">
        <v>288</v>
      </c>
      <c r="D146" s="39"/>
      <c r="E146" s="2">
        <v>209</v>
      </c>
      <c r="F146" s="2">
        <v>150</v>
      </c>
      <c r="G146" s="2">
        <v>1150</v>
      </c>
      <c r="H146" s="2">
        <v>1150</v>
      </c>
      <c r="I146" s="2">
        <v>1150</v>
      </c>
      <c r="J146" s="2">
        <v>1150</v>
      </c>
      <c r="IL146" s="2"/>
    </row>
    <row r="147" spans="1:246" ht="15" x14ac:dyDescent="0.4">
      <c r="A147" s="8" t="s">
        <v>2141</v>
      </c>
      <c r="D147" s="2">
        <v>1150</v>
      </c>
      <c r="E147" s="12"/>
      <c r="F147" s="2"/>
      <c r="H147" s="2"/>
      <c r="I147" s="2"/>
      <c r="J147" s="2"/>
      <c r="IL147" s="2"/>
    </row>
    <row r="148" spans="1:246" ht="15" x14ac:dyDescent="0.4">
      <c r="D148" s="2"/>
      <c r="E148" s="12"/>
      <c r="F148" s="2"/>
      <c r="H148" s="2"/>
      <c r="I148" s="2"/>
      <c r="J148" s="2"/>
      <c r="IL148" s="2"/>
    </row>
    <row r="149" spans="1:246" ht="13.8" x14ac:dyDescent="0.3">
      <c r="A149" s="11" t="s">
        <v>1678</v>
      </c>
      <c r="D149" s="19"/>
      <c r="E149" s="2">
        <v>65000</v>
      </c>
      <c r="F149" s="2">
        <v>65000</v>
      </c>
      <c r="G149" s="2">
        <v>20000</v>
      </c>
      <c r="H149" s="2">
        <v>20000</v>
      </c>
      <c r="I149" s="2">
        <v>20000</v>
      </c>
      <c r="J149" s="2">
        <v>20000</v>
      </c>
      <c r="IL149" s="2"/>
    </row>
    <row r="150" spans="1:246" ht="15" x14ac:dyDescent="0.4">
      <c r="D150" s="2"/>
      <c r="E150" s="12"/>
      <c r="F150" s="2"/>
      <c r="H150" s="2"/>
      <c r="I150" s="2"/>
      <c r="J150" s="2"/>
      <c r="IL150" s="2"/>
    </row>
    <row r="151" spans="1:246" ht="15" x14ac:dyDescent="0.4">
      <c r="A151" s="11" t="s">
        <v>1883</v>
      </c>
      <c r="D151" s="19"/>
      <c r="E151" s="12">
        <v>0</v>
      </c>
      <c r="F151" s="12">
        <v>135000</v>
      </c>
      <c r="G151" s="12">
        <v>0</v>
      </c>
      <c r="H151" s="12">
        <v>0</v>
      </c>
      <c r="I151" s="12">
        <v>0</v>
      </c>
      <c r="J151" s="12">
        <v>0</v>
      </c>
      <c r="IL151" s="12"/>
    </row>
    <row r="152" spans="1:246" ht="15" x14ac:dyDescent="0.4">
      <c r="D152" s="2"/>
      <c r="E152" s="12"/>
      <c r="F152" s="2"/>
      <c r="H152" s="2"/>
      <c r="I152" s="2"/>
      <c r="J152" s="2"/>
      <c r="IL152" s="2"/>
    </row>
    <row r="153" spans="1:246" ht="15" x14ac:dyDescent="0.4">
      <c r="D153" s="2"/>
      <c r="E153" s="12"/>
      <c r="F153" s="2"/>
      <c r="H153" s="2"/>
      <c r="I153" s="2"/>
      <c r="J153" s="2"/>
      <c r="IL153" s="2"/>
    </row>
    <row r="154" spans="1:246" ht="13.8" x14ac:dyDescent="0.3">
      <c r="A154" s="61" t="s">
        <v>417</v>
      </c>
      <c r="D154" s="2"/>
      <c r="E154" s="2"/>
      <c r="F154" s="2"/>
      <c r="H154" s="2"/>
      <c r="I154" s="2"/>
      <c r="J154" s="2"/>
      <c r="IL154" s="2"/>
    </row>
    <row r="155" spans="1:246" x14ac:dyDescent="0.25">
      <c r="A155" s="21" t="s">
        <v>1366</v>
      </c>
      <c r="D155" s="2"/>
      <c r="E155" s="2">
        <f t="shared" ref="E155:H155" si="1">SUM(E6:E151)</f>
        <v>495273.64</v>
      </c>
      <c r="F155" s="2">
        <f t="shared" si="1"/>
        <v>669613</v>
      </c>
      <c r="G155" s="2">
        <f t="shared" si="1"/>
        <v>499016</v>
      </c>
      <c r="H155" s="2">
        <f t="shared" si="1"/>
        <v>498737</v>
      </c>
      <c r="I155" s="2">
        <f>SUM(I6:I151)</f>
        <v>498737</v>
      </c>
      <c r="J155" s="2">
        <f>SUM(J6:J151)</f>
        <v>505335</v>
      </c>
      <c r="IL155" s="2"/>
    </row>
    <row r="156" spans="1:246" x14ac:dyDescent="0.25">
      <c r="A156" s="21"/>
      <c r="D156" s="2"/>
      <c r="E156" s="2"/>
      <c r="F156" s="2"/>
      <c r="H156" s="2"/>
      <c r="I156" s="2"/>
      <c r="J156" s="2"/>
      <c r="IL156" s="2"/>
    </row>
    <row r="157" spans="1:246" x14ac:dyDescent="0.25">
      <c r="A157" s="21"/>
      <c r="D157" s="2"/>
      <c r="E157" s="2"/>
      <c r="F157" s="2"/>
      <c r="H157" s="2"/>
      <c r="I157" s="2"/>
      <c r="J157" s="2"/>
      <c r="IL157" s="2"/>
    </row>
    <row r="158" spans="1:246" x14ac:dyDescent="0.25">
      <c r="A158" s="21"/>
      <c r="D158" s="2"/>
      <c r="E158" s="2"/>
      <c r="F158" s="2"/>
      <c r="H158" s="2"/>
      <c r="I158" s="2"/>
      <c r="J158" s="2"/>
      <c r="IL158" s="2"/>
    </row>
    <row r="159" spans="1:246" x14ac:dyDescent="0.25">
      <c r="A159" s="8" t="s">
        <v>1001</v>
      </c>
      <c r="E159" s="2">
        <f t="shared" ref="E159:H159" si="2">SUM(E6:E66)</f>
        <v>368108</v>
      </c>
      <c r="F159" s="2">
        <f t="shared" si="2"/>
        <v>406503</v>
      </c>
      <c r="G159" s="2">
        <f t="shared" si="2"/>
        <v>409478</v>
      </c>
      <c r="H159" s="2">
        <f t="shared" si="2"/>
        <v>409448</v>
      </c>
      <c r="I159" s="2">
        <f>SUM(I6:I66)</f>
        <v>409448</v>
      </c>
      <c r="J159" s="2">
        <f>SUM(J6:J66)</f>
        <v>416046</v>
      </c>
      <c r="IL159" s="2"/>
    </row>
    <row r="160" spans="1:246" x14ac:dyDescent="0.25">
      <c r="A160" s="8" t="s">
        <v>975</v>
      </c>
      <c r="E160" s="2">
        <f t="shared" ref="E160:H160" si="3">SUM(E68:E143)</f>
        <v>61956.639999999999</v>
      </c>
      <c r="F160" s="2">
        <f t="shared" si="3"/>
        <v>62960</v>
      </c>
      <c r="G160" s="2">
        <f t="shared" si="3"/>
        <v>68388</v>
      </c>
      <c r="H160" s="2">
        <f t="shared" si="3"/>
        <v>68139</v>
      </c>
      <c r="I160" s="2">
        <f>SUM(I68:I143)</f>
        <v>68139</v>
      </c>
      <c r="J160" s="2">
        <f>SUM(J68:J143)</f>
        <v>68139</v>
      </c>
      <c r="IL160" s="2"/>
    </row>
    <row r="161" spans="1:246" ht="15" x14ac:dyDescent="0.4">
      <c r="A161" s="8" t="s">
        <v>976</v>
      </c>
      <c r="E161" s="12">
        <f t="shared" ref="E161:H161" si="4">SUM(E146:E151)</f>
        <v>65209</v>
      </c>
      <c r="F161" s="12">
        <f t="shared" si="4"/>
        <v>200150</v>
      </c>
      <c r="G161" s="12">
        <f t="shared" si="4"/>
        <v>21150</v>
      </c>
      <c r="H161" s="12">
        <f t="shared" si="4"/>
        <v>21150</v>
      </c>
      <c r="I161" s="12">
        <f>SUM(I146:I151)</f>
        <v>21150</v>
      </c>
      <c r="J161" s="12">
        <f>SUM(J146:J151)</f>
        <v>21150</v>
      </c>
      <c r="IL161" s="12"/>
    </row>
    <row r="162" spans="1:246" x14ac:dyDescent="0.25">
      <c r="E162" s="2">
        <f t="shared" ref="E162:H162" si="5">SUM(E159:E161)</f>
        <v>495273.64</v>
      </c>
      <c r="F162" s="2">
        <f t="shared" si="5"/>
        <v>669613</v>
      </c>
      <c r="G162" s="2">
        <f t="shared" si="5"/>
        <v>499016</v>
      </c>
      <c r="H162" s="2">
        <f t="shared" si="5"/>
        <v>498737</v>
      </c>
      <c r="I162" s="2">
        <f>SUM(I159:I161)</f>
        <v>498737</v>
      </c>
      <c r="J162" s="2">
        <f>SUM(J159:J161)</f>
        <v>505335</v>
      </c>
      <c r="IL162" s="2"/>
    </row>
    <row r="163" spans="1:246" x14ac:dyDescent="0.25">
      <c r="E163" s="2"/>
      <c r="F163" s="2"/>
      <c r="H163" s="2"/>
      <c r="I163" s="2"/>
      <c r="J163" s="2"/>
      <c r="IL163" s="2"/>
    </row>
    <row r="164" spans="1:246" x14ac:dyDescent="0.25">
      <c r="E164" s="2"/>
      <c r="F164" s="2"/>
      <c r="H164" s="2"/>
      <c r="I164" s="2"/>
      <c r="J164" s="2"/>
      <c r="IL164" s="2"/>
    </row>
    <row r="165" spans="1:246" x14ac:dyDescent="0.25">
      <c r="E165" s="2"/>
      <c r="F165" s="2"/>
      <c r="H165" s="2"/>
      <c r="I165" s="2"/>
      <c r="J165" s="2"/>
      <c r="IL165" s="2"/>
    </row>
    <row r="166" spans="1:246" x14ac:dyDescent="0.25">
      <c r="E166" s="2"/>
      <c r="F166" s="2"/>
      <c r="H166" s="2"/>
      <c r="I166" s="2"/>
      <c r="J166" s="2"/>
      <c r="IL166" s="2"/>
    </row>
    <row r="167" spans="1:246" x14ac:dyDescent="0.25">
      <c r="E167" s="2"/>
      <c r="F167" s="2"/>
      <c r="H167" s="2"/>
      <c r="I167" s="2"/>
      <c r="J167" s="2"/>
      <c r="IL167" s="2"/>
    </row>
    <row r="168" spans="1:246" x14ac:dyDescent="0.25">
      <c r="E168" s="2"/>
      <c r="F168" s="2"/>
      <c r="H168" s="2"/>
      <c r="I168" s="2"/>
      <c r="J168" s="2"/>
      <c r="IL168" s="2"/>
    </row>
    <row r="169" spans="1:246" x14ac:dyDescent="0.25">
      <c r="E169" s="2"/>
      <c r="F169" s="2"/>
      <c r="H169" s="2"/>
      <c r="I169" s="2"/>
      <c r="J169" s="2"/>
      <c r="IL169" s="2"/>
    </row>
    <row r="170" spans="1:246" x14ac:dyDescent="0.25">
      <c r="E170" s="2"/>
      <c r="F170" s="2"/>
      <c r="H170" s="2"/>
      <c r="I170" s="2"/>
      <c r="J170" s="2"/>
      <c r="IL170" s="2"/>
    </row>
    <row r="171" spans="1:246" x14ac:dyDescent="0.25">
      <c r="E171" s="2"/>
      <c r="F171" s="2"/>
      <c r="H171" s="2"/>
      <c r="I171" s="2"/>
      <c r="J171" s="2"/>
      <c r="IL171" s="2"/>
    </row>
    <row r="172" spans="1:246" x14ac:dyDescent="0.25">
      <c r="E172" s="2"/>
      <c r="F172" s="2"/>
      <c r="H172" s="2"/>
      <c r="I172" s="2"/>
      <c r="J172" s="2"/>
      <c r="IL172" s="2"/>
    </row>
    <row r="173" spans="1:246" x14ac:dyDescent="0.25">
      <c r="G173" s="8"/>
      <c r="I173" s="209"/>
      <c r="J173" s="213"/>
      <c r="IL173" s="2"/>
    </row>
    <row r="174" spans="1:246" x14ac:dyDescent="0.25">
      <c r="G174" s="8"/>
      <c r="I174" s="209"/>
      <c r="J174" s="213"/>
      <c r="IL174" s="2"/>
    </row>
    <row r="175" spans="1:246" x14ac:dyDescent="0.25">
      <c r="G175" s="8"/>
      <c r="I175" s="209"/>
      <c r="J175" s="213"/>
      <c r="IL175" s="2"/>
    </row>
    <row r="176" spans="1:246" x14ac:dyDescent="0.25">
      <c r="G176" s="8"/>
      <c r="I176" s="209"/>
      <c r="J176" s="213"/>
      <c r="IL176" s="2"/>
    </row>
    <row r="177" spans="7:246" x14ac:dyDescent="0.25">
      <c r="G177" s="8"/>
      <c r="I177" s="209"/>
      <c r="J177" s="213"/>
      <c r="IL177" s="2"/>
    </row>
    <row r="178" spans="7:246" x14ac:dyDescent="0.25">
      <c r="G178" s="8"/>
      <c r="I178" s="209"/>
      <c r="J178" s="213"/>
      <c r="IL178" s="2"/>
    </row>
    <row r="179" spans="7:246" x14ac:dyDescent="0.25">
      <c r="G179" s="8"/>
      <c r="I179" s="209"/>
      <c r="J179" s="213"/>
      <c r="IL179" s="2"/>
    </row>
    <row r="180" spans="7:246" x14ac:dyDescent="0.25">
      <c r="G180" s="8"/>
      <c r="I180" s="209"/>
      <c r="J180" s="213"/>
      <c r="IL180" s="2"/>
    </row>
    <row r="181" spans="7:246" x14ac:dyDescent="0.25">
      <c r="G181" s="8"/>
      <c r="I181" s="209"/>
      <c r="J181" s="213"/>
      <c r="IL181" s="2"/>
    </row>
    <row r="182" spans="7:246" x14ac:dyDescent="0.25">
      <c r="G182" s="8"/>
      <c r="I182" s="209"/>
      <c r="J182" s="213"/>
      <c r="IL182" s="2"/>
    </row>
    <row r="183" spans="7:246" x14ac:dyDescent="0.25">
      <c r="G183" s="8"/>
      <c r="I183" s="209"/>
      <c r="J183" s="213"/>
    </row>
    <row r="184" spans="7:246" x14ac:dyDescent="0.25">
      <c r="G184" s="8"/>
      <c r="I184" s="209"/>
      <c r="J184" s="213"/>
    </row>
    <row r="185" spans="7:246" x14ac:dyDescent="0.25">
      <c r="G185" s="8"/>
      <c r="I185" s="209"/>
      <c r="J185" s="213"/>
    </row>
    <row r="186" spans="7:246" x14ac:dyDescent="0.25">
      <c r="G186" s="8"/>
      <c r="I186" s="209"/>
      <c r="J186" s="213"/>
    </row>
    <row r="187" spans="7:246" x14ac:dyDescent="0.25">
      <c r="G187" s="8"/>
      <c r="I187" s="209"/>
      <c r="J187" s="213"/>
    </row>
    <row r="188" spans="7:246" x14ac:dyDescent="0.25">
      <c r="G188" s="8"/>
      <c r="I188" s="209"/>
      <c r="J188" s="213"/>
    </row>
    <row r="189" spans="7:246" x14ac:dyDescent="0.25">
      <c r="G189" s="8"/>
      <c r="I189" s="209"/>
      <c r="J189" s="213"/>
    </row>
    <row r="190" spans="7:246" x14ac:dyDescent="0.25">
      <c r="G190" s="8"/>
      <c r="I190" s="209"/>
      <c r="J190" s="213"/>
    </row>
    <row r="191" spans="7:246" x14ac:dyDescent="0.25">
      <c r="G191" s="8"/>
      <c r="I191" s="209"/>
      <c r="J191" s="213"/>
    </row>
    <row r="192" spans="7:246" x14ac:dyDescent="0.25">
      <c r="G192" s="8"/>
      <c r="I192" s="209"/>
      <c r="J192" s="213"/>
    </row>
    <row r="193" spans="7:10" x14ac:dyDescent="0.25">
      <c r="G193" s="8"/>
      <c r="I193" s="209"/>
      <c r="J193" s="213"/>
    </row>
    <row r="194" spans="7:10" x14ac:dyDescent="0.25">
      <c r="G194" s="8"/>
      <c r="I194" s="209"/>
      <c r="J194" s="213"/>
    </row>
    <row r="195" spans="7:10" x14ac:dyDescent="0.25">
      <c r="G195" s="8"/>
      <c r="I195" s="209"/>
      <c r="J195" s="213"/>
    </row>
    <row r="196" spans="7:10" x14ac:dyDescent="0.25">
      <c r="G196" s="8"/>
      <c r="I196" s="209"/>
      <c r="J196" s="213"/>
    </row>
    <row r="197" spans="7:10" x14ac:dyDescent="0.25">
      <c r="G197" s="8"/>
      <c r="J197" s="213"/>
    </row>
    <row r="198" spans="7:10" x14ac:dyDescent="0.25">
      <c r="G198" s="8"/>
      <c r="J198" s="213"/>
    </row>
    <row r="199" spans="7:10" x14ac:dyDescent="0.25">
      <c r="G199" s="8"/>
      <c r="J199" s="213"/>
    </row>
    <row r="200" spans="7:10" x14ac:dyDescent="0.25">
      <c r="G200" s="8"/>
    </row>
    <row r="201" spans="7:10" x14ac:dyDescent="0.25">
      <c r="G201" s="8"/>
    </row>
    <row r="202" spans="7:10" x14ac:dyDescent="0.25">
      <c r="G202" s="8"/>
    </row>
  </sheetData>
  <mergeCells count="1">
    <mergeCell ref="A1:J1"/>
  </mergeCells>
  <phoneticPr fontId="0" type="noConversion"/>
  <printOptions gridLines="1"/>
  <pageMargins left="0.75" right="0.16" top="0.51" bottom="0.22" header="0.5" footer="0"/>
  <pageSetup scale="83" fitToHeight="4"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K171"/>
  <sheetViews>
    <sheetView view="pageBreakPreview" zoomScaleNormal="100" zoomScaleSheetLayoutView="100" workbookViewId="0">
      <selection activeCell="A112" sqref="A112"/>
    </sheetView>
  </sheetViews>
  <sheetFormatPr defaultRowHeight="13.2" x14ac:dyDescent="0.25"/>
  <cols>
    <col min="1" max="1" width="50.6640625" style="8" customWidth="1"/>
    <col min="2" max="2" width="9.88671875" style="8" customWidth="1"/>
    <col min="3" max="3" width="10.33203125" style="8" customWidth="1"/>
    <col min="4" max="4" width="10.5546875" style="8" customWidth="1"/>
    <col min="5" max="7" width="10.88671875" style="8" customWidth="1"/>
    <col min="8" max="8" width="14" style="8" bestFit="1" customWidth="1"/>
    <col min="9" max="10" width="10.88671875" style="8" customWidth="1"/>
    <col min="11" max="16384" width="8.88671875" style="8"/>
  </cols>
  <sheetData>
    <row r="1" spans="1:11" x14ac:dyDescent="0.25">
      <c r="A1" s="217" t="s">
        <v>1972</v>
      </c>
      <c r="B1" s="218"/>
      <c r="C1" s="218"/>
      <c r="D1" s="218"/>
      <c r="E1" s="218"/>
      <c r="F1" s="218"/>
      <c r="G1" s="218"/>
      <c r="H1" s="218"/>
      <c r="I1" s="218"/>
      <c r="J1" s="218"/>
    </row>
    <row r="2" spans="1:11" ht="17.399999999999999" x14ac:dyDescent="0.3">
      <c r="A2" s="202" t="s">
        <v>2252</v>
      </c>
      <c r="B2" s="202"/>
      <c r="C2" s="202"/>
      <c r="D2" s="202"/>
      <c r="E2" s="202"/>
      <c r="F2" s="202"/>
    </row>
    <row r="3" spans="1:11" x14ac:dyDescent="0.25">
      <c r="B3" s="2"/>
      <c r="C3" s="2"/>
      <c r="D3" s="2"/>
      <c r="E3" s="2"/>
      <c r="F3" s="2"/>
    </row>
    <row r="4" spans="1:11" x14ac:dyDescent="0.25">
      <c r="B4" s="2"/>
      <c r="C4" s="2"/>
      <c r="D4" s="2"/>
      <c r="E4" s="9" t="s">
        <v>251</v>
      </c>
      <c r="F4" s="9" t="s">
        <v>252</v>
      </c>
      <c r="G4" s="9" t="s">
        <v>73</v>
      </c>
      <c r="H4" s="9" t="s">
        <v>430</v>
      </c>
      <c r="I4" s="2" t="s">
        <v>330</v>
      </c>
      <c r="J4" s="2" t="s">
        <v>364</v>
      </c>
    </row>
    <row r="5" spans="1:11" ht="15" x14ac:dyDescent="0.4">
      <c r="B5" s="2"/>
      <c r="C5" s="2"/>
      <c r="D5" s="2"/>
      <c r="E5" s="10" t="s">
        <v>1684</v>
      </c>
      <c r="F5" s="10" t="s">
        <v>1874</v>
      </c>
      <c r="G5" s="10" t="s">
        <v>1944</v>
      </c>
      <c r="H5" s="10" t="s">
        <v>1944</v>
      </c>
      <c r="I5" s="10" t="s">
        <v>1944</v>
      </c>
      <c r="J5" s="10" t="s">
        <v>1944</v>
      </c>
    </row>
    <row r="6" spans="1:11" ht="13.8" x14ac:dyDescent="0.3">
      <c r="A6" s="11" t="s">
        <v>1069</v>
      </c>
      <c r="B6" s="2"/>
      <c r="C6" s="2"/>
      <c r="D6" s="2"/>
      <c r="E6" s="2">
        <v>70266</v>
      </c>
      <c r="F6" s="2">
        <v>75492</v>
      </c>
      <c r="G6" s="2">
        <v>74094</v>
      </c>
      <c r="H6" s="2">
        <v>74094</v>
      </c>
      <c r="I6" s="2">
        <v>74094</v>
      </c>
      <c r="J6" s="2">
        <v>75631</v>
      </c>
    </row>
    <row r="7" spans="1:11" x14ac:dyDescent="0.25">
      <c r="A7" s="8" t="s">
        <v>1070</v>
      </c>
      <c r="B7" s="2">
        <v>52</v>
      </c>
      <c r="C7" s="2">
        <v>1427</v>
      </c>
      <c r="D7" s="2">
        <f>ROUND(B7*C7,0)</f>
        <v>74204</v>
      </c>
      <c r="E7" s="2"/>
      <c r="F7" s="2"/>
      <c r="G7" s="2"/>
      <c r="H7" s="2"/>
      <c r="I7" s="2"/>
      <c r="J7" s="2"/>
    </row>
    <row r="8" spans="1:11" ht="15" x14ac:dyDescent="0.4">
      <c r="A8" s="8" t="s">
        <v>995</v>
      </c>
      <c r="B8" s="2" t="s">
        <v>417</v>
      </c>
      <c r="C8" s="2" t="s">
        <v>417</v>
      </c>
      <c r="D8" s="12">
        <f>+C7</f>
        <v>1427</v>
      </c>
      <c r="E8" s="2"/>
      <c r="F8" s="2"/>
      <c r="G8" s="2"/>
      <c r="H8" s="2"/>
      <c r="I8" s="2"/>
      <c r="J8" s="2"/>
      <c r="K8" s="216"/>
    </row>
    <row r="9" spans="1:11" x14ac:dyDescent="0.25">
      <c r="A9" s="8" t="s">
        <v>1279</v>
      </c>
      <c r="B9" s="2"/>
      <c r="C9" s="2"/>
      <c r="D9" s="2">
        <f>SUM(D7:D8)</f>
        <v>75631</v>
      </c>
      <c r="E9" s="2"/>
      <c r="F9" s="2"/>
      <c r="G9" s="2"/>
      <c r="H9" s="2"/>
      <c r="I9" s="2"/>
      <c r="J9" s="2"/>
      <c r="K9" s="216"/>
    </row>
    <row r="10" spans="1:11" x14ac:dyDescent="0.25">
      <c r="B10" s="2"/>
      <c r="C10" s="2"/>
      <c r="D10" s="2"/>
      <c r="E10" s="2"/>
      <c r="F10" s="2"/>
      <c r="G10" s="2"/>
      <c r="H10" s="2"/>
      <c r="I10" s="2"/>
      <c r="J10" s="2"/>
      <c r="K10" s="216"/>
    </row>
    <row r="11" spans="1:11" ht="13.8" x14ac:dyDescent="0.3">
      <c r="A11" s="11" t="s">
        <v>808</v>
      </c>
      <c r="B11" s="2"/>
      <c r="C11" s="2"/>
      <c r="D11" s="2"/>
      <c r="E11" s="2">
        <v>99692</v>
      </c>
      <c r="F11" s="2">
        <v>107529</v>
      </c>
      <c r="G11" s="2">
        <v>111960</v>
      </c>
      <c r="H11" s="2">
        <v>111960</v>
      </c>
      <c r="I11" s="2">
        <v>111960</v>
      </c>
      <c r="J11" s="2">
        <v>114320</v>
      </c>
      <c r="K11" s="216"/>
    </row>
    <row r="12" spans="1:11" x14ac:dyDescent="0.25">
      <c r="A12" s="8" t="s">
        <v>1118</v>
      </c>
      <c r="B12" s="2">
        <v>52</v>
      </c>
      <c r="C12" s="2">
        <v>752</v>
      </c>
      <c r="D12" s="2">
        <f>ROUND(B12*C12,0)</f>
        <v>39104</v>
      </c>
      <c r="E12" s="2"/>
      <c r="F12" s="2"/>
      <c r="G12" s="2"/>
      <c r="H12" s="2"/>
      <c r="I12" s="2"/>
      <c r="J12" s="2"/>
      <c r="K12" s="216"/>
    </row>
    <row r="13" spans="1:11" x14ac:dyDescent="0.25">
      <c r="A13" s="8" t="s">
        <v>1118</v>
      </c>
      <c r="B13" s="2">
        <v>52</v>
      </c>
      <c r="C13" s="2">
        <v>761</v>
      </c>
      <c r="D13" s="2">
        <f>ROUND(B13*C13,0)</f>
        <v>39572</v>
      </c>
      <c r="E13" s="2"/>
      <c r="F13" s="2"/>
      <c r="G13" s="2"/>
      <c r="H13" s="2"/>
      <c r="I13" s="2"/>
      <c r="J13" s="2"/>
      <c r="K13" s="216"/>
    </row>
    <row r="14" spans="1:11" x14ac:dyDescent="0.25">
      <c r="A14" s="8" t="s">
        <v>1118</v>
      </c>
      <c r="B14" s="2">
        <v>52</v>
      </c>
      <c r="C14" s="2">
        <v>671</v>
      </c>
      <c r="D14" s="2">
        <f>ROUND(B14*C14,0)</f>
        <v>34892</v>
      </c>
      <c r="E14" s="2"/>
      <c r="F14" s="2"/>
      <c r="G14" s="2"/>
      <c r="H14" s="2"/>
      <c r="I14" s="2"/>
      <c r="J14" s="2"/>
      <c r="K14" s="216"/>
    </row>
    <row r="15" spans="1:11" ht="15" x14ac:dyDescent="0.4">
      <c r="A15" s="8" t="s">
        <v>995</v>
      </c>
      <c r="B15" s="2" t="s">
        <v>417</v>
      </c>
      <c r="C15" s="2" t="s">
        <v>417</v>
      </c>
      <c r="D15" s="12">
        <v>752</v>
      </c>
      <c r="E15" s="2"/>
      <c r="F15" s="2"/>
      <c r="G15" s="2"/>
      <c r="H15" s="2"/>
      <c r="I15" s="2"/>
      <c r="J15" s="2"/>
      <c r="K15" s="216"/>
    </row>
    <row r="16" spans="1:11" x14ac:dyDescent="0.25">
      <c r="A16" s="8" t="s">
        <v>1279</v>
      </c>
      <c r="B16" s="2"/>
      <c r="C16" s="2"/>
      <c r="D16" s="2">
        <f>SUM(D12:D15)</f>
        <v>114320</v>
      </c>
      <c r="E16" s="2"/>
      <c r="F16" s="2"/>
      <c r="G16" s="2"/>
      <c r="H16" s="2"/>
      <c r="I16" s="2"/>
      <c r="J16" s="2"/>
      <c r="K16" s="216"/>
    </row>
    <row r="17" spans="1:11" x14ac:dyDescent="0.25">
      <c r="B17" s="2"/>
      <c r="C17" s="2"/>
      <c r="D17" s="2"/>
      <c r="E17" s="2"/>
      <c r="F17" s="2"/>
      <c r="G17" s="2"/>
      <c r="H17" s="2"/>
      <c r="I17" s="2"/>
      <c r="J17" s="2"/>
      <c r="K17" s="216"/>
    </row>
    <row r="18" spans="1:11" ht="13.8" x14ac:dyDescent="0.3">
      <c r="A18" s="11" t="s">
        <v>574</v>
      </c>
      <c r="B18" s="2"/>
      <c r="C18" s="2"/>
      <c r="D18" s="2"/>
      <c r="E18" s="2">
        <v>54641</v>
      </c>
      <c r="F18" s="2">
        <v>58484</v>
      </c>
      <c r="G18" s="2">
        <v>57400</v>
      </c>
      <c r="H18" s="2">
        <v>57400</v>
      </c>
      <c r="I18" s="2">
        <v>57400</v>
      </c>
      <c r="J18" s="2">
        <v>58618</v>
      </c>
      <c r="K18" s="216"/>
    </row>
    <row r="19" spans="1:11" x14ac:dyDescent="0.25">
      <c r="A19" s="8" t="s">
        <v>246</v>
      </c>
      <c r="B19" s="2">
        <v>52</v>
      </c>
      <c r="C19" s="2">
        <v>1106</v>
      </c>
      <c r="D19" s="2">
        <f>ROUND(B19*C19,0)</f>
        <v>57512</v>
      </c>
      <c r="E19" s="2"/>
      <c r="F19" s="2"/>
      <c r="G19" s="2"/>
      <c r="H19" s="2"/>
      <c r="I19" s="2"/>
      <c r="J19" s="2"/>
      <c r="K19" s="216"/>
    </row>
    <row r="20" spans="1:11" ht="15" x14ac:dyDescent="0.4">
      <c r="A20" s="8" t="s">
        <v>995</v>
      </c>
      <c r="B20" s="2"/>
      <c r="C20" s="2"/>
      <c r="D20" s="12">
        <v>1106</v>
      </c>
      <c r="E20" s="2"/>
      <c r="F20" s="2"/>
      <c r="G20" s="2"/>
      <c r="H20" s="2"/>
      <c r="I20" s="2"/>
      <c r="J20" s="2"/>
      <c r="K20" s="216"/>
    </row>
    <row r="21" spans="1:11" x14ac:dyDescent="0.25">
      <c r="A21" s="8" t="s">
        <v>1279</v>
      </c>
      <c r="B21" s="2"/>
      <c r="C21" s="2"/>
      <c r="D21" s="2">
        <f>SUM(D19:D20)</f>
        <v>58618</v>
      </c>
      <c r="E21" s="2"/>
      <c r="F21" s="2"/>
      <c r="G21" s="2"/>
      <c r="H21" s="2"/>
      <c r="I21" s="2"/>
      <c r="J21" s="2"/>
      <c r="K21" s="216"/>
    </row>
    <row r="22" spans="1:11" x14ac:dyDescent="0.25">
      <c r="D22" s="2"/>
      <c r="E22" s="2"/>
      <c r="F22" s="2"/>
      <c r="G22" s="2"/>
      <c r="H22" s="2"/>
      <c r="I22" s="2"/>
      <c r="J22" s="2"/>
      <c r="K22" s="216"/>
    </row>
    <row r="23" spans="1:11" ht="13.8" x14ac:dyDescent="0.3">
      <c r="A23" s="11" t="s">
        <v>1035</v>
      </c>
      <c r="D23" s="2"/>
      <c r="E23" s="2">
        <v>31684</v>
      </c>
      <c r="F23" s="2">
        <v>39399</v>
      </c>
      <c r="G23" s="2">
        <v>39747</v>
      </c>
      <c r="H23" s="2">
        <v>39747</v>
      </c>
      <c r="I23" s="2">
        <v>39747</v>
      </c>
      <c r="J23" s="2">
        <v>40549</v>
      </c>
      <c r="K23" s="216"/>
    </row>
    <row r="24" spans="1:11" x14ac:dyDescent="0.25">
      <c r="A24" s="8" t="s">
        <v>1118</v>
      </c>
      <c r="B24" s="2">
        <v>1040</v>
      </c>
      <c r="C24" s="13">
        <v>15.57</v>
      </c>
      <c r="D24" s="2">
        <f>ROUND(B24*C24,0)</f>
        <v>16193</v>
      </c>
      <c r="E24" s="2"/>
      <c r="F24" s="2"/>
      <c r="G24" s="2"/>
      <c r="H24" s="2"/>
      <c r="I24" s="2"/>
      <c r="J24" s="2"/>
      <c r="K24" s="216"/>
    </row>
    <row r="25" spans="1:11" x14ac:dyDescent="0.25">
      <c r="A25" s="8" t="s">
        <v>1118</v>
      </c>
      <c r="B25" s="2">
        <v>1456</v>
      </c>
      <c r="C25" s="13">
        <v>15.75</v>
      </c>
      <c r="D25" s="2">
        <f>+B25*C25</f>
        <v>22932</v>
      </c>
      <c r="E25" s="2"/>
      <c r="F25" s="2"/>
      <c r="G25" s="2"/>
      <c r="H25" s="2"/>
      <c r="I25" s="2"/>
      <c r="J25" s="2"/>
      <c r="K25" s="216"/>
    </row>
    <row r="26" spans="1:11" x14ac:dyDescent="0.25">
      <c r="A26" s="8" t="s">
        <v>1473</v>
      </c>
      <c r="B26" s="2">
        <v>0</v>
      </c>
      <c r="C26" s="13">
        <v>18.55</v>
      </c>
      <c r="D26" s="2">
        <f>ROUND(B26*C26,0)</f>
        <v>0</v>
      </c>
      <c r="E26" s="2"/>
      <c r="F26" s="2"/>
      <c r="G26" s="2"/>
      <c r="H26" s="2"/>
      <c r="I26" s="2"/>
      <c r="J26" s="2"/>
      <c r="K26" s="216"/>
    </row>
    <row r="27" spans="1:11" x14ac:dyDescent="0.25">
      <c r="A27" s="8" t="s">
        <v>1573</v>
      </c>
      <c r="B27" s="2">
        <v>120</v>
      </c>
      <c r="C27" s="13">
        <v>11.87</v>
      </c>
      <c r="D27" s="19">
        <f>ROUND(B27*C27,0)</f>
        <v>1424</v>
      </c>
      <c r="E27" s="2"/>
      <c r="F27" s="2"/>
      <c r="G27" s="2"/>
      <c r="H27" s="2"/>
      <c r="I27" s="2"/>
      <c r="J27" s="2"/>
      <c r="K27" s="216"/>
    </row>
    <row r="28" spans="1:11" x14ac:dyDescent="0.25">
      <c r="D28" s="2">
        <f>SUM(D24:D27)</f>
        <v>40549</v>
      </c>
      <c r="E28" s="2"/>
      <c r="F28" s="2"/>
      <c r="G28" s="2"/>
      <c r="H28" s="2"/>
      <c r="I28" s="2"/>
      <c r="J28" s="2"/>
    </row>
    <row r="29" spans="1:11" x14ac:dyDescent="0.25">
      <c r="D29" s="2"/>
      <c r="E29" s="2"/>
      <c r="F29" s="2"/>
      <c r="G29" s="2"/>
      <c r="H29" s="2"/>
      <c r="I29" s="2"/>
      <c r="J29" s="2"/>
    </row>
    <row r="30" spans="1:11" ht="13.8" x14ac:dyDescent="0.3">
      <c r="A30" s="11" t="s">
        <v>1036</v>
      </c>
      <c r="D30" s="2"/>
      <c r="E30" s="2">
        <v>702</v>
      </c>
      <c r="F30" s="2">
        <v>1009</v>
      </c>
      <c r="G30" s="2">
        <v>1071</v>
      </c>
      <c r="H30" s="2">
        <v>1071</v>
      </c>
      <c r="I30" s="2">
        <v>1071</v>
      </c>
      <c r="J30" s="2">
        <v>1092</v>
      </c>
    </row>
    <row r="31" spans="1:11" x14ac:dyDescent="0.25">
      <c r="A31" s="8" t="s">
        <v>1113</v>
      </c>
      <c r="B31" s="2">
        <v>40</v>
      </c>
      <c r="C31" s="13">
        <f>SUM(C12:C14)/40/3*1.5</f>
        <v>27.299999999999997</v>
      </c>
      <c r="D31" s="2">
        <f>ROUND(C31*B31,0)</f>
        <v>1092</v>
      </c>
      <c r="E31" s="2"/>
      <c r="F31" s="2"/>
      <c r="G31" s="2"/>
      <c r="H31" s="2"/>
      <c r="I31" s="2"/>
      <c r="J31" s="2"/>
    </row>
    <row r="32" spans="1:11" x14ac:dyDescent="0.25">
      <c r="A32" s="8" t="s">
        <v>417</v>
      </c>
      <c r="B32" s="2" t="s">
        <v>417</v>
      </c>
      <c r="C32" s="13" t="s">
        <v>417</v>
      </c>
      <c r="D32" s="2" t="s">
        <v>417</v>
      </c>
      <c r="E32" s="2"/>
      <c r="F32" s="2"/>
      <c r="G32" s="2"/>
      <c r="H32" s="2"/>
      <c r="I32" s="2"/>
      <c r="J32" s="2"/>
    </row>
    <row r="33" spans="1:10" ht="13.8" x14ac:dyDescent="0.3">
      <c r="A33" s="11" t="s">
        <v>439</v>
      </c>
      <c r="D33" s="2"/>
      <c r="E33" s="2">
        <v>14487</v>
      </c>
      <c r="F33" s="2">
        <v>16886</v>
      </c>
      <c r="G33" s="2">
        <v>17153</v>
      </c>
      <c r="H33" s="2">
        <v>17153</v>
      </c>
      <c r="I33" s="2">
        <v>17153</v>
      </c>
      <c r="J33" s="2">
        <v>17512</v>
      </c>
    </row>
    <row r="34" spans="1:10" hidden="1" x14ac:dyDescent="0.25">
      <c r="A34" s="14" t="s">
        <v>440</v>
      </c>
      <c r="B34" s="2">
        <f>+D9</f>
        <v>75631</v>
      </c>
      <c r="C34" s="15">
        <v>1.4500000000000001E-2</v>
      </c>
      <c r="D34" s="2">
        <f>ROUND(B34*C34,0)</f>
        <v>1097</v>
      </c>
      <c r="E34" s="2"/>
      <c r="F34" s="2"/>
      <c r="G34" s="2"/>
      <c r="H34" s="2"/>
      <c r="I34" s="2"/>
      <c r="J34" s="2"/>
    </row>
    <row r="35" spans="1:10" hidden="1" x14ac:dyDescent="0.25">
      <c r="A35" s="14" t="s">
        <v>923</v>
      </c>
      <c r="B35" s="2">
        <f>+D16</f>
        <v>114320</v>
      </c>
      <c r="C35" s="15">
        <v>7.6499999999999999E-2</v>
      </c>
      <c r="D35" s="2">
        <f>ROUND(B35*C35,0)</f>
        <v>8745</v>
      </c>
      <c r="E35" s="2"/>
      <c r="F35" s="2"/>
      <c r="G35" s="2"/>
      <c r="H35" s="2"/>
      <c r="I35" s="2"/>
      <c r="J35" s="2"/>
    </row>
    <row r="36" spans="1:10" hidden="1" x14ac:dyDescent="0.25">
      <c r="A36" s="14" t="s">
        <v>1511</v>
      </c>
      <c r="B36" s="2">
        <f>+D21</f>
        <v>58618</v>
      </c>
      <c r="C36" s="15">
        <v>7.6499999999999999E-2</v>
      </c>
      <c r="D36" s="2">
        <f>ROUND(B36*C36,0)</f>
        <v>4484</v>
      </c>
      <c r="E36" s="2"/>
      <c r="F36" s="2"/>
      <c r="G36" s="2"/>
      <c r="H36" s="2"/>
      <c r="I36" s="2"/>
      <c r="J36" s="2"/>
    </row>
    <row r="37" spans="1:10" hidden="1" x14ac:dyDescent="0.25">
      <c r="A37" s="14" t="s">
        <v>201</v>
      </c>
      <c r="B37" s="2">
        <f>+D28</f>
        <v>40549</v>
      </c>
      <c r="C37" s="15">
        <v>7.6499999999999999E-2</v>
      </c>
      <c r="D37" s="2">
        <f>ROUND(B37*C37,0)</f>
        <v>3102</v>
      </c>
      <c r="E37" s="2"/>
      <c r="F37" s="2"/>
      <c r="G37" s="2"/>
      <c r="H37" s="2"/>
      <c r="I37" s="2"/>
      <c r="J37" s="2"/>
    </row>
    <row r="38" spans="1:10" ht="15" hidden="1" x14ac:dyDescent="0.4">
      <c r="A38" s="14" t="s">
        <v>202</v>
      </c>
      <c r="B38" s="2">
        <f>+D31</f>
        <v>1092</v>
      </c>
      <c r="C38" s="15">
        <v>7.6499999999999999E-2</v>
      </c>
      <c r="D38" s="12">
        <f>ROUND(B38*C38,0)</f>
        <v>84</v>
      </c>
      <c r="E38" s="2"/>
      <c r="F38" s="2"/>
      <c r="G38" s="2"/>
      <c r="H38" s="2"/>
      <c r="I38" s="2"/>
      <c r="J38" s="2"/>
    </row>
    <row r="39" spans="1:10" hidden="1" x14ac:dyDescent="0.25">
      <c r="A39" s="8" t="s">
        <v>1279</v>
      </c>
      <c r="B39" s="2" t="s">
        <v>417</v>
      </c>
      <c r="D39" s="2">
        <f>SUM(D34:D38)</f>
        <v>17512</v>
      </c>
      <c r="E39" s="2"/>
      <c r="F39" s="2"/>
      <c r="G39" s="2"/>
      <c r="H39" s="2"/>
      <c r="I39" s="2"/>
      <c r="J39" s="2"/>
    </row>
    <row r="40" spans="1:10" x14ac:dyDescent="0.25">
      <c r="D40" s="2"/>
      <c r="E40" s="2"/>
      <c r="F40" s="2"/>
      <c r="G40" s="2"/>
      <c r="H40" s="2"/>
      <c r="I40" s="2"/>
      <c r="J40" s="2"/>
    </row>
    <row r="41" spans="1:10" ht="13.8" x14ac:dyDescent="0.3">
      <c r="A41" s="16" t="s">
        <v>1489</v>
      </c>
      <c r="D41" s="2"/>
      <c r="E41" s="2">
        <v>25206</v>
      </c>
      <c r="F41" s="2">
        <v>27089</v>
      </c>
      <c r="G41" s="2">
        <v>29709</v>
      </c>
      <c r="H41" s="2">
        <v>29709</v>
      </c>
      <c r="I41" s="2">
        <v>29709</v>
      </c>
      <c r="J41" s="2">
        <v>30334</v>
      </c>
    </row>
    <row r="42" spans="1:10" hidden="1" x14ac:dyDescent="0.25">
      <c r="A42" s="14" t="s">
        <v>199</v>
      </c>
      <c r="B42" s="2">
        <f>+D9</f>
        <v>75631</v>
      </c>
      <c r="C42" s="15">
        <v>0.1215</v>
      </c>
      <c r="D42" s="2">
        <f>ROUND(B42*C42,0)</f>
        <v>9189</v>
      </c>
      <c r="E42" s="2"/>
      <c r="F42" s="2"/>
      <c r="G42" s="2"/>
      <c r="H42" s="2"/>
      <c r="I42" s="2"/>
      <c r="J42" s="2"/>
    </row>
    <row r="43" spans="1:10" hidden="1" x14ac:dyDescent="0.25">
      <c r="A43" s="14" t="s">
        <v>923</v>
      </c>
      <c r="B43" s="2">
        <f>+D16</f>
        <v>114320</v>
      </c>
      <c r="C43" s="15">
        <v>0.1215</v>
      </c>
      <c r="D43" s="2">
        <f>ROUND(B43*C43,0)</f>
        <v>13890</v>
      </c>
      <c r="E43" s="2"/>
      <c r="F43" s="2"/>
      <c r="G43" s="2"/>
      <c r="H43" s="2"/>
      <c r="I43" s="2"/>
      <c r="J43" s="2"/>
    </row>
    <row r="44" spans="1:10" hidden="1" x14ac:dyDescent="0.25">
      <c r="A44" s="25">
        <v>8103</v>
      </c>
      <c r="B44" s="2">
        <f>+D21</f>
        <v>58618</v>
      </c>
      <c r="C44" s="15">
        <v>0.1215</v>
      </c>
      <c r="D44" s="2">
        <f>ROUND(B44*C44,0)</f>
        <v>7122</v>
      </c>
      <c r="E44" s="2"/>
      <c r="F44" s="2"/>
      <c r="G44" s="2"/>
      <c r="H44" s="2"/>
      <c r="I44" s="2"/>
      <c r="J44" s="2"/>
    </row>
    <row r="45" spans="1:10" ht="15" hidden="1" x14ac:dyDescent="0.4">
      <c r="A45" s="14" t="s">
        <v>202</v>
      </c>
      <c r="B45" s="2">
        <f>+D31</f>
        <v>1092</v>
      </c>
      <c r="C45" s="15">
        <v>0.1215</v>
      </c>
      <c r="D45" s="12">
        <f>ROUND(B45*C45,0)</f>
        <v>133</v>
      </c>
      <c r="E45" s="2"/>
      <c r="F45" s="2"/>
      <c r="G45" s="2"/>
      <c r="H45" s="2"/>
      <c r="I45" s="2"/>
      <c r="J45" s="2"/>
    </row>
    <row r="46" spans="1:10" hidden="1" x14ac:dyDescent="0.25">
      <c r="A46" s="8" t="s">
        <v>1279</v>
      </c>
      <c r="D46" s="2">
        <f>SUM(D42:D45)</f>
        <v>30334</v>
      </c>
      <c r="E46" s="2"/>
      <c r="F46" s="2"/>
      <c r="G46" s="2"/>
      <c r="H46" s="2"/>
      <c r="I46" s="2"/>
      <c r="J46" s="2"/>
    </row>
    <row r="47" spans="1:10" x14ac:dyDescent="0.25">
      <c r="D47" s="2"/>
      <c r="E47" s="2"/>
      <c r="F47" s="2"/>
      <c r="G47" s="2"/>
      <c r="H47" s="2"/>
      <c r="I47" s="2"/>
      <c r="J47" s="2"/>
    </row>
    <row r="48" spans="1:10" ht="13.8" x14ac:dyDescent="0.3">
      <c r="A48" s="11" t="s">
        <v>1490</v>
      </c>
      <c r="D48" s="2"/>
      <c r="E48" s="2">
        <v>88756</v>
      </c>
      <c r="F48" s="2">
        <v>85000</v>
      </c>
      <c r="G48" s="2">
        <v>86250</v>
      </c>
      <c r="H48" s="2">
        <v>86250</v>
      </c>
      <c r="I48" s="2">
        <v>86250</v>
      </c>
      <c r="J48" s="2">
        <v>86250</v>
      </c>
    </row>
    <row r="49" spans="1:10" x14ac:dyDescent="0.25">
      <c r="A49" s="8" t="s">
        <v>438</v>
      </c>
      <c r="B49" s="2">
        <v>5</v>
      </c>
      <c r="C49" s="2">
        <v>17250</v>
      </c>
      <c r="D49" s="2">
        <f>ROUND(B49*C49,0)</f>
        <v>86250</v>
      </c>
      <c r="E49" s="2"/>
      <c r="F49" s="2"/>
      <c r="G49" s="2"/>
      <c r="H49" s="2"/>
      <c r="I49" s="2"/>
      <c r="J49" s="2"/>
    </row>
    <row r="50" spans="1:10" x14ac:dyDescent="0.25">
      <c r="D50" s="2"/>
      <c r="E50" s="2"/>
      <c r="F50" s="2"/>
      <c r="G50" s="2"/>
      <c r="H50" s="2"/>
      <c r="I50" s="2"/>
      <c r="J50" s="2"/>
    </row>
    <row r="51" spans="1:10" ht="13.8" x14ac:dyDescent="0.3">
      <c r="A51" s="11" t="s">
        <v>1491</v>
      </c>
      <c r="D51" s="2"/>
      <c r="E51" s="2">
        <v>5937</v>
      </c>
      <c r="F51" s="2">
        <v>5850</v>
      </c>
      <c r="G51" s="2">
        <v>5850</v>
      </c>
      <c r="H51" s="2">
        <v>5850</v>
      </c>
      <c r="I51" s="2">
        <v>5850</v>
      </c>
      <c r="J51" s="2">
        <v>5850</v>
      </c>
    </row>
    <row r="52" spans="1:10" x14ac:dyDescent="0.25">
      <c r="A52" s="8" t="s">
        <v>438</v>
      </c>
      <c r="B52" s="2">
        <v>5</v>
      </c>
      <c r="C52" s="2">
        <v>1300</v>
      </c>
      <c r="D52" s="2">
        <f>ROUND(B52*C52,0)</f>
        <v>6500</v>
      </c>
      <c r="E52" s="2"/>
      <c r="F52" s="2"/>
      <c r="G52" s="2"/>
      <c r="H52" s="2"/>
      <c r="I52" s="2"/>
      <c r="J52" s="2"/>
    </row>
    <row r="53" spans="1:10" ht="15" x14ac:dyDescent="0.4">
      <c r="A53" s="8" t="s">
        <v>245</v>
      </c>
      <c r="B53" s="2"/>
      <c r="C53" s="2"/>
      <c r="D53" s="12">
        <f>+C52*-0.1*B52</f>
        <v>-650</v>
      </c>
      <c r="E53" s="2"/>
      <c r="F53" s="2"/>
      <c r="G53" s="2"/>
      <c r="H53" s="2"/>
      <c r="I53" s="2"/>
      <c r="J53" s="2"/>
    </row>
    <row r="54" spans="1:10" x14ac:dyDescent="0.25">
      <c r="A54" s="8" t="s">
        <v>825</v>
      </c>
      <c r="B54" s="2"/>
      <c r="C54" s="2"/>
      <c r="D54" s="2">
        <f>SUM(D52:D53)</f>
        <v>5850</v>
      </c>
      <c r="E54" s="2"/>
      <c r="F54" s="2"/>
      <c r="G54" s="2"/>
      <c r="H54" s="2"/>
      <c r="I54" s="2"/>
      <c r="J54" s="2"/>
    </row>
    <row r="55" spans="1:10" x14ac:dyDescent="0.25">
      <c r="B55" s="2"/>
      <c r="C55" s="2"/>
      <c r="D55" s="2"/>
      <c r="E55" s="2"/>
      <c r="F55" s="2"/>
      <c r="G55" s="2"/>
      <c r="H55" s="2"/>
      <c r="I55" s="2"/>
      <c r="J55" s="2"/>
    </row>
    <row r="56" spans="1:10" ht="13.8" x14ac:dyDescent="0.3">
      <c r="A56" s="11" t="s">
        <v>1104</v>
      </c>
      <c r="D56" s="2"/>
      <c r="E56" s="2">
        <v>506</v>
      </c>
      <c r="F56" s="2">
        <v>675</v>
      </c>
      <c r="G56" s="2">
        <v>675</v>
      </c>
      <c r="H56" s="2">
        <v>675</v>
      </c>
      <c r="I56" s="2">
        <v>675</v>
      </c>
      <c r="J56" s="2">
        <v>675</v>
      </c>
    </row>
    <row r="57" spans="1:10" x14ac:dyDescent="0.25">
      <c r="A57" s="8" t="s">
        <v>438</v>
      </c>
      <c r="B57" s="2">
        <v>5</v>
      </c>
      <c r="C57" s="2">
        <v>135</v>
      </c>
      <c r="D57" s="2">
        <f>ROUND(B57*C57,0)</f>
        <v>675</v>
      </c>
      <c r="E57" s="2"/>
      <c r="F57" s="2"/>
      <c r="G57" s="2"/>
      <c r="H57" s="2"/>
      <c r="I57" s="2"/>
      <c r="J57" s="2"/>
    </row>
    <row r="58" spans="1:10" x14ac:dyDescent="0.25">
      <c r="D58" s="2"/>
      <c r="E58" s="2"/>
      <c r="F58" s="2"/>
      <c r="G58" s="2"/>
      <c r="H58" s="2"/>
      <c r="I58" s="2"/>
      <c r="J58" s="2"/>
    </row>
    <row r="59" spans="1:10" ht="13.8" x14ac:dyDescent="0.3">
      <c r="A59" s="11" t="s">
        <v>1105</v>
      </c>
      <c r="D59" s="2"/>
      <c r="E59" s="2">
        <v>1844</v>
      </c>
      <c r="F59" s="2">
        <v>2050</v>
      </c>
      <c r="G59" s="2">
        <v>2050</v>
      </c>
      <c r="H59" s="2">
        <v>2050</v>
      </c>
      <c r="I59" s="2">
        <v>2050</v>
      </c>
      <c r="J59" s="2">
        <v>2050</v>
      </c>
    </row>
    <row r="60" spans="1:10" x14ac:dyDescent="0.25">
      <c r="A60" s="8" t="s">
        <v>438</v>
      </c>
      <c r="B60" s="2">
        <v>5</v>
      </c>
      <c r="C60" s="2">
        <v>410</v>
      </c>
      <c r="D60" s="2">
        <f>ROUND(B60*C60,0)</f>
        <v>2050</v>
      </c>
      <c r="E60" s="2"/>
      <c r="F60" s="2"/>
      <c r="G60" s="2"/>
      <c r="H60" s="2"/>
      <c r="I60" s="2"/>
      <c r="J60" s="2"/>
    </row>
    <row r="61" spans="1:10" x14ac:dyDescent="0.25">
      <c r="D61" s="2"/>
      <c r="E61" s="2"/>
      <c r="F61" s="2"/>
      <c r="G61" s="2"/>
      <c r="H61" s="2"/>
      <c r="I61" s="2"/>
      <c r="J61" s="2"/>
    </row>
    <row r="62" spans="1:10" ht="13.8" x14ac:dyDescent="0.3">
      <c r="A62" s="11" t="s">
        <v>578</v>
      </c>
      <c r="D62" s="2"/>
      <c r="E62" s="2">
        <v>405</v>
      </c>
      <c r="F62" s="2">
        <v>452</v>
      </c>
      <c r="G62" s="2">
        <v>484</v>
      </c>
      <c r="H62" s="2">
        <v>484</v>
      </c>
      <c r="I62" s="2">
        <v>484</v>
      </c>
      <c r="J62" s="2">
        <v>494</v>
      </c>
    </row>
    <row r="63" spans="1:10" hidden="1" x14ac:dyDescent="0.25">
      <c r="A63" s="14" t="s">
        <v>199</v>
      </c>
      <c r="B63" s="2">
        <f>+D9</f>
        <v>75631</v>
      </c>
      <c r="C63" s="15">
        <v>1.6999999999999999E-3</v>
      </c>
      <c r="D63" s="2">
        <f>ROUND(B63*C63,0)</f>
        <v>129</v>
      </c>
      <c r="E63" s="2"/>
      <c r="F63" s="2"/>
      <c r="G63" s="2"/>
      <c r="H63" s="2"/>
      <c r="I63" s="2"/>
      <c r="J63" s="2"/>
    </row>
    <row r="64" spans="1:10" hidden="1" x14ac:dyDescent="0.25">
      <c r="A64" s="14" t="s">
        <v>923</v>
      </c>
      <c r="B64" s="2">
        <f>+D16</f>
        <v>114320</v>
      </c>
      <c r="C64" s="15">
        <v>1.6999999999999999E-3</v>
      </c>
      <c r="D64" s="2">
        <f>ROUND(B64*C64,0)</f>
        <v>194</v>
      </c>
      <c r="E64" s="2"/>
      <c r="F64" s="2"/>
      <c r="G64" s="2"/>
      <c r="H64" s="2"/>
      <c r="I64" s="2"/>
      <c r="J64" s="2"/>
    </row>
    <row r="65" spans="1:10" hidden="1" x14ac:dyDescent="0.25">
      <c r="A65" s="14" t="s">
        <v>1511</v>
      </c>
      <c r="B65" s="2">
        <f>+D21</f>
        <v>58618</v>
      </c>
      <c r="C65" s="15">
        <v>1.6999999999999999E-3</v>
      </c>
      <c r="D65" s="2">
        <f>ROUND(B65*C65,0)</f>
        <v>100</v>
      </c>
      <c r="E65" s="2"/>
      <c r="F65" s="2"/>
      <c r="G65" s="2"/>
      <c r="H65" s="2"/>
      <c r="I65" s="2"/>
      <c r="J65" s="2"/>
    </row>
    <row r="66" spans="1:10" hidden="1" x14ac:dyDescent="0.25">
      <c r="A66" s="14" t="s">
        <v>201</v>
      </c>
      <c r="B66" s="2">
        <f>+B37</f>
        <v>40549</v>
      </c>
      <c r="C66" s="15">
        <v>1.6999999999999999E-3</v>
      </c>
      <c r="D66" s="2">
        <f>ROUND(B66*C66,0)</f>
        <v>69</v>
      </c>
      <c r="E66" s="2"/>
      <c r="F66" s="2"/>
      <c r="G66" s="2"/>
      <c r="H66" s="2"/>
      <c r="I66" s="2"/>
      <c r="J66" s="2"/>
    </row>
    <row r="67" spans="1:10" ht="15" hidden="1" x14ac:dyDescent="0.4">
      <c r="A67" s="14" t="s">
        <v>354</v>
      </c>
      <c r="B67" s="2">
        <f>+D31</f>
        <v>1092</v>
      </c>
      <c r="C67" s="15">
        <v>1.6999999999999999E-3</v>
      </c>
      <c r="D67" s="12">
        <f>ROUND(B67*C67,0)</f>
        <v>2</v>
      </c>
      <c r="E67" s="2"/>
      <c r="F67" s="2"/>
      <c r="G67" s="2"/>
      <c r="H67" s="2"/>
      <c r="I67" s="2"/>
      <c r="J67" s="2"/>
    </row>
    <row r="68" spans="1:10" hidden="1" x14ac:dyDescent="0.25">
      <c r="A68" s="8" t="s">
        <v>1279</v>
      </c>
      <c r="D68" s="2">
        <f>SUM(D63:D67)</f>
        <v>494</v>
      </c>
      <c r="E68" s="2"/>
      <c r="F68" s="2"/>
      <c r="G68" s="2"/>
      <c r="H68" s="2"/>
      <c r="I68" s="2"/>
      <c r="J68" s="2"/>
    </row>
    <row r="69" spans="1:10" x14ac:dyDescent="0.25">
      <c r="D69" s="2"/>
      <c r="E69" s="2"/>
      <c r="F69" s="2"/>
      <c r="G69" s="2"/>
      <c r="H69" s="2"/>
      <c r="I69" s="2"/>
      <c r="J69" s="2"/>
    </row>
    <row r="70" spans="1:10" ht="13.8" x14ac:dyDescent="0.3">
      <c r="A70" s="11" t="s">
        <v>1542</v>
      </c>
      <c r="D70" s="2"/>
      <c r="E70" s="2">
        <v>251</v>
      </c>
      <c r="F70" s="2">
        <v>298</v>
      </c>
      <c r="G70" s="2">
        <v>213</v>
      </c>
      <c r="H70" s="2">
        <v>213</v>
      </c>
      <c r="I70" s="2">
        <v>213</v>
      </c>
      <c r="J70" s="2">
        <v>213</v>
      </c>
    </row>
    <row r="71" spans="1:10" hidden="1" x14ac:dyDescent="0.25">
      <c r="A71" s="14" t="s">
        <v>1543</v>
      </c>
      <c r="B71" s="2">
        <v>0</v>
      </c>
      <c r="C71" s="2">
        <v>35</v>
      </c>
      <c r="D71" s="2">
        <f>ROUND(B71*C71,0)</f>
        <v>0</v>
      </c>
      <c r="E71" s="2"/>
      <c r="F71" s="2"/>
      <c r="G71" s="2"/>
      <c r="H71" s="2"/>
      <c r="I71" s="2"/>
      <c r="J71" s="2"/>
    </row>
    <row r="72" spans="1:10" hidden="1" x14ac:dyDescent="0.25">
      <c r="A72" s="14" t="s">
        <v>923</v>
      </c>
      <c r="B72" s="2">
        <v>3</v>
      </c>
      <c r="C72" s="2">
        <v>35</v>
      </c>
      <c r="D72" s="2">
        <f>ROUND(B72*C72,0)</f>
        <v>105</v>
      </c>
      <c r="E72" s="2"/>
      <c r="F72" s="2"/>
      <c r="G72" s="2"/>
      <c r="H72" s="2"/>
      <c r="I72" s="2"/>
      <c r="J72" s="2"/>
    </row>
    <row r="73" spans="1:10" hidden="1" x14ac:dyDescent="0.25">
      <c r="A73" s="14" t="s">
        <v>1511</v>
      </c>
      <c r="B73" s="2">
        <v>1</v>
      </c>
      <c r="C73" s="2">
        <v>35</v>
      </c>
      <c r="D73" s="2">
        <f>ROUND(B73*C73,0)</f>
        <v>35</v>
      </c>
      <c r="E73" s="2"/>
      <c r="F73" s="2"/>
      <c r="G73" s="2"/>
      <c r="H73" s="2"/>
      <c r="I73" s="2"/>
      <c r="J73" s="2"/>
    </row>
    <row r="74" spans="1:10" hidden="1" x14ac:dyDescent="0.25">
      <c r="A74" s="14" t="s">
        <v>1474</v>
      </c>
      <c r="B74" s="2">
        <f>+D27</f>
        <v>1424</v>
      </c>
      <c r="C74" s="15">
        <v>2.5000000000000001E-3</v>
      </c>
      <c r="D74" s="2">
        <f>ROUND(B74*C74,0)</f>
        <v>4</v>
      </c>
      <c r="E74" s="2"/>
      <c r="F74" s="2"/>
      <c r="G74" s="2"/>
      <c r="H74" s="2"/>
      <c r="I74" s="2"/>
      <c r="J74" s="2"/>
    </row>
    <row r="75" spans="1:10" hidden="1" x14ac:dyDescent="0.25">
      <c r="A75" s="14" t="s">
        <v>201</v>
      </c>
      <c r="B75" s="2">
        <v>2</v>
      </c>
      <c r="C75" s="2">
        <v>35</v>
      </c>
      <c r="D75" s="19">
        <f>ROUND(B75*C75,0)</f>
        <v>70</v>
      </c>
      <c r="E75" s="2"/>
      <c r="F75" s="2"/>
      <c r="G75" s="2"/>
      <c r="H75" s="2"/>
      <c r="I75" s="2"/>
      <c r="J75" s="2"/>
    </row>
    <row r="76" spans="1:10" hidden="1" x14ac:dyDescent="0.25">
      <c r="A76" s="8" t="s">
        <v>1279</v>
      </c>
      <c r="D76" s="2">
        <f>SUM(D71:D75)</f>
        <v>214</v>
      </c>
      <c r="E76" s="2"/>
      <c r="F76" s="2"/>
      <c r="G76" s="2"/>
      <c r="H76" s="2"/>
      <c r="I76" s="2"/>
      <c r="J76" s="2"/>
    </row>
    <row r="77" spans="1:10" x14ac:dyDescent="0.25">
      <c r="D77" s="2"/>
      <c r="E77" s="2"/>
      <c r="F77" s="2"/>
      <c r="G77" s="2"/>
      <c r="H77" s="2"/>
      <c r="I77" s="2"/>
      <c r="J77" s="2"/>
    </row>
    <row r="78" spans="1:10" ht="13.8" x14ac:dyDescent="0.3">
      <c r="A78" s="11" t="s">
        <v>390</v>
      </c>
      <c r="D78" s="2"/>
      <c r="E78" s="2">
        <v>6463</v>
      </c>
      <c r="F78" s="2">
        <v>6700</v>
      </c>
      <c r="G78" s="2">
        <v>6700</v>
      </c>
      <c r="H78" s="2">
        <v>6700</v>
      </c>
      <c r="I78" s="2">
        <v>6700</v>
      </c>
      <c r="J78" s="2">
        <v>6700</v>
      </c>
    </row>
    <row r="79" spans="1:10" x14ac:dyDescent="0.25">
      <c r="A79" s="8" t="s">
        <v>391</v>
      </c>
      <c r="C79" s="2"/>
      <c r="D79" s="2">
        <v>150</v>
      </c>
      <c r="E79" s="2"/>
      <c r="F79" s="2"/>
      <c r="G79" s="2"/>
      <c r="H79" s="2"/>
      <c r="I79" s="2"/>
      <c r="J79" s="2"/>
    </row>
    <row r="80" spans="1:10" x14ac:dyDescent="0.25">
      <c r="A80" s="8" t="s">
        <v>719</v>
      </c>
      <c r="C80" s="2"/>
      <c r="D80" s="2">
        <v>500</v>
      </c>
      <c r="E80" s="2"/>
      <c r="F80" s="2"/>
      <c r="G80" s="2"/>
      <c r="H80" s="2"/>
      <c r="I80" s="2"/>
      <c r="J80" s="2"/>
    </row>
    <row r="81" spans="1:10" x14ac:dyDescent="0.25">
      <c r="A81" s="8" t="s">
        <v>1526</v>
      </c>
      <c r="C81" s="2"/>
      <c r="D81" s="2">
        <v>3395</v>
      </c>
      <c r="E81" s="2"/>
      <c r="F81" s="2"/>
      <c r="G81" s="2"/>
      <c r="H81" s="2"/>
      <c r="I81" s="2"/>
      <c r="J81" s="2"/>
    </row>
    <row r="82" spans="1:10" x14ac:dyDescent="0.25">
      <c r="A82" s="8" t="s">
        <v>392</v>
      </c>
      <c r="C82" s="2"/>
      <c r="D82" s="2">
        <v>1650</v>
      </c>
      <c r="E82" s="2"/>
      <c r="F82" s="2"/>
      <c r="G82" s="2"/>
      <c r="H82" s="2"/>
      <c r="I82" s="2"/>
      <c r="J82" s="2"/>
    </row>
    <row r="83" spans="1:10" x14ac:dyDescent="0.25">
      <c r="A83" s="8" t="s">
        <v>281</v>
      </c>
      <c r="C83" s="2"/>
      <c r="D83" s="2">
        <v>250</v>
      </c>
      <c r="E83" s="2"/>
      <c r="F83" s="2"/>
      <c r="G83" s="2"/>
      <c r="H83" s="2"/>
      <c r="I83" s="2"/>
      <c r="J83" s="2"/>
    </row>
    <row r="84" spans="1:10" ht="15" x14ac:dyDescent="0.4">
      <c r="A84" s="8" t="s">
        <v>1081</v>
      </c>
      <c r="C84" s="12"/>
      <c r="D84" s="12">
        <v>755</v>
      </c>
      <c r="E84" s="2"/>
      <c r="F84" s="2"/>
      <c r="G84" s="2"/>
      <c r="H84" s="2"/>
      <c r="I84" s="2"/>
      <c r="J84" s="2"/>
    </row>
    <row r="85" spans="1:10" x14ac:dyDescent="0.25">
      <c r="A85" s="8" t="s">
        <v>1279</v>
      </c>
      <c r="C85" s="2"/>
      <c r="D85" s="2">
        <f>SUM(D79:D84)</f>
        <v>6700</v>
      </c>
      <c r="E85" s="2"/>
      <c r="F85" s="2"/>
      <c r="G85" s="2"/>
      <c r="H85" s="2"/>
      <c r="I85" s="2"/>
      <c r="J85" s="2"/>
    </row>
    <row r="86" spans="1:10" x14ac:dyDescent="0.25">
      <c r="C86" s="2"/>
      <c r="D86" s="2"/>
      <c r="E86" s="2"/>
      <c r="F86" s="2"/>
      <c r="G86" s="2"/>
      <c r="H86" s="2"/>
      <c r="I86" s="2"/>
      <c r="J86" s="2"/>
    </row>
    <row r="87" spans="1:10" ht="13.8" x14ac:dyDescent="0.3">
      <c r="A87" s="11" t="s">
        <v>393</v>
      </c>
      <c r="C87" s="2"/>
      <c r="D87" s="2"/>
      <c r="E87" s="2">
        <v>3722</v>
      </c>
      <c r="F87" s="2">
        <v>3000</v>
      </c>
      <c r="G87" s="2">
        <v>3000</v>
      </c>
      <c r="H87" s="2">
        <v>3000</v>
      </c>
      <c r="I87" s="2">
        <v>3000</v>
      </c>
      <c r="J87" s="2">
        <v>3000</v>
      </c>
    </row>
    <row r="88" spans="1:10" x14ac:dyDescent="0.25">
      <c r="A88" s="8" t="s">
        <v>394</v>
      </c>
      <c r="C88" s="2"/>
      <c r="D88" s="2">
        <v>3000</v>
      </c>
      <c r="E88" s="2"/>
      <c r="F88" s="2"/>
      <c r="G88" s="2"/>
      <c r="H88" s="2"/>
      <c r="I88" s="2"/>
      <c r="J88" s="2"/>
    </row>
    <row r="89" spans="1:10" x14ac:dyDescent="0.25">
      <c r="C89" s="2"/>
      <c r="D89" s="2"/>
      <c r="E89" s="2"/>
      <c r="F89" s="2"/>
      <c r="G89" s="2"/>
      <c r="H89" s="2"/>
      <c r="I89" s="2"/>
      <c r="J89" s="2"/>
    </row>
    <row r="90" spans="1:10" ht="13.8" x14ac:dyDescent="0.3">
      <c r="A90" s="11" t="s">
        <v>395</v>
      </c>
      <c r="C90" s="2"/>
      <c r="D90" s="2"/>
      <c r="E90" s="2">
        <v>28176</v>
      </c>
      <c r="F90" s="2">
        <v>31500</v>
      </c>
      <c r="G90" s="2">
        <v>29050</v>
      </c>
      <c r="H90" s="2">
        <v>29050</v>
      </c>
      <c r="I90" s="2">
        <v>29050</v>
      </c>
      <c r="J90" s="2">
        <v>29050</v>
      </c>
    </row>
    <row r="91" spans="1:10" x14ac:dyDescent="0.25">
      <c r="A91" s="25" t="s">
        <v>1097</v>
      </c>
      <c r="B91" s="7"/>
      <c r="C91" s="2"/>
      <c r="D91" s="2" t="s">
        <v>417</v>
      </c>
      <c r="E91" s="2"/>
      <c r="F91" s="2"/>
      <c r="G91" s="2"/>
      <c r="H91" s="2"/>
      <c r="I91" s="2"/>
      <c r="J91" s="2"/>
    </row>
    <row r="92" spans="1:10" x14ac:dyDescent="0.25">
      <c r="A92" s="8" t="s">
        <v>1098</v>
      </c>
      <c r="B92" s="2"/>
      <c r="C92" s="2"/>
      <c r="D92" s="2">
        <v>29050</v>
      </c>
      <c r="E92" s="2"/>
      <c r="F92" s="2"/>
      <c r="G92" s="2"/>
      <c r="H92" s="2"/>
      <c r="I92" s="2"/>
      <c r="J92" s="2"/>
    </row>
    <row r="93" spans="1:10" x14ac:dyDescent="0.25">
      <c r="C93" s="2"/>
      <c r="D93" s="2"/>
      <c r="E93" s="2"/>
      <c r="F93" s="2"/>
      <c r="G93" s="2"/>
      <c r="H93" s="2"/>
      <c r="I93" s="2"/>
      <c r="J93" s="2"/>
    </row>
    <row r="94" spans="1:10" ht="13.8" x14ac:dyDescent="0.3">
      <c r="A94" s="11" t="s">
        <v>1015</v>
      </c>
      <c r="B94" s="2"/>
      <c r="C94" s="9"/>
      <c r="D94" s="9" t="s">
        <v>417</v>
      </c>
      <c r="E94" s="2">
        <v>1915</v>
      </c>
      <c r="F94" s="2">
        <v>1616</v>
      </c>
      <c r="G94" s="2">
        <v>2200</v>
      </c>
      <c r="H94" s="2">
        <v>2200</v>
      </c>
      <c r="I94" s="2">
        <v>2200</v>
      </c>
      <c r="J94" s="2">
        <v>2200</v>
      </c>
    </row>
    <row r="95" spans="1:10" x14ac:dyDescent="0.25">
      <c r="A95" s="8" t="s">
        <v>977</v>
      </c>
      <c r="B95" s="2"/>
      <c r="C95" s="2"/>
      <c r="D95" s="2">
        <v>2200</v>
      </c>
      <c r="E95" s="2"/>
      <c r="F95" s="2"/>
      <c r="G95" s="2"/>
      <c r="H95" s="2"/>
      <c r="I95" s="2"/>
      <c r="J95" s="2"/>
    </row>
    <row r="96" spans="1:10" x14ac:dyDescent="0.25">
      <c r="B96" s="2"/>
      <c r="C96" s="2"/>
      <c r="D96" s="2"/>
      <c r="E96" s="2"/>
      <c r="F96" s="2"/>
      <c r="G96" s="2"/>
      <c r="H96" s="2"/>
      <c r="I96" s="2"/>
      <c r="J96" s="2"/>
    </row>
    <row r="97" spans="1:10" ht="13.8" x14ac:dyDescent="0.3">
      <c r="A97" s="11" t="s">
        <v>1016</v>
      </c>
      <c r="C97" s="2"/>
      <c r="D97" s="2"/>
      <c r="E97" s="2">
        <v>280</v>
      </c>
      <c r="F97" s="2">
        <v>300</v>
      </c>
      <c r="G97" s="2">
        <v>300</v>
      </c>
      <c r="H97" s="2">
        <v>300</v>
      </c>
      <c r="I97" s="2">
        <v>300</v>
      </c>
      <c r="J97" s="2">
        <v>300</v>
      </c>
    </row>
    <row r="98" spans="1:10" x14ac:dyDescent="0.25">
      <c r="A98" s="7" t="s">
        <v>1297</v>
      </c>
      <c r="B98" s="7"/>
      <c r="D98" s="2">
        <v>300</v>
      </c>
      <c r="E98" s="2"/>
      <c r="F98" s="2"/>
      <c r="G98" s="2"/>
      <c r="H98" s="2"/>
      <c r="I98" s="2"/>
      <c r="J98" s="2"/>
    </row>
    <row r="99" spans="1:10" x14ac:dyDescent="0.25">
      <c r="C99" s="2"/>
      <c r="D99" s="2"/>
      <c r="E99" s="2"/>
      <c r="F99" s="2"/>
      <c r="G99" s="2"/>
      <c r="H99" s="2"/>
      <c r="I99" s="2"/>
      <c r="J99" s="2"/>
    </row>
    <row r="100" spans="1:10" ht="13.8" x14ac:dyDescent="0.3">
      <c r="A100" s="18" t="s">
        <v>1350</v>
      </c>
      <c r="C100" s="2"/>
      <c r="D100" s="2"/>
      <c r="E100" s="2">
        <v>3414</v>
      </c>
      <c r="F100" s="2">
        <v>2959</v>
      </c>
      <c r="G100" s="2">
        <v>4018</v>
      </c>
      <c r="H100" s="2">
        <v>3777</v>
      </c>
      <c r="I100" s="2">
        <v>3777</v>
      </c>
      <c r="J100" s="2">
        <v>3777</v>
      </c>
    </row>
    <row r="101" spans="1:10" hidden="1" x14ac:dyDescent="0.25">
      <c r="A101" s="8" t="s">
        <v>1351</v>
      </c>
      <c r="E101" s="2"/>
      <c r="F101" s="2"/>
      <c r="G101" s="2"/>
      <c r="H101" s="2"/>
      <c r="I101" s="2"/>
      <c r="J101" s="2"/>
    </row>
    <row r="102" spans="1:10" x14ac:dyDescent="0.25">
      <c r="C102" s="2"/>
      <c r="D102" s="2"/>
      <c r="E102" s="2"/>
      <c r="F102" s="2"/>
      <c r="G102" s="2"/>
      <c r="H102" s="2"/>
      <c r="I102" s="2"/>
      <c r="J102" s="2"/>
    </row>
    <row r="103" spans="1:10" ht="13.8" x14ac:dyDescent="0.3">
      <c r="A103" s="11" t="s">
        <v>1088</v>
      </c>
      <c r="C103" s="9"/>
      <c r="D103" s="9"/>
      <c r="E103" s="2">
        <v>726</v>
      </c>
      <c r="F103" s="2">
        <v>860</v>
      </c>
      <c r="G103" s="2">
        <v>660</v>
      </c>
      <c r="H103" s="2">
        <v>660</v>
      </c>
      <c r="I103" s="2">
        <v>660</v>
      </c>
      <c r="J103" s="2">
        <v>660</v>
      </c>
    </row>
    <row r="104" spans="1:10" x14ac:dyDescent="0.25">
      <c r="A104" s="8" t="s">
        <v>1272</v>
      </c>
      <c r="C104" s="2"/>
      <c r="D104" s="2">
        <v>0</v>
      </c>
      <c r="E104" s="2"/>
      <c r="F104" s="2"/>
      <c r="G104" s="2"/>
      <c r="H104" s="2"/>
      <c r="I104" s="2"/>
      <c r="J104" s="2"/>
    </row>
    <row r="105" spans="1:10" x14ac:dyDescent="0.25">
      <c r="A105" s="8" t="s">
        <v>870</v>
      </c>
      <c r="C105" s="2"/>
      <c r="D105" s="2">
        <v>125</v>
      </c>
      <c r="E105" s="2"/>
      <c r="F105" s="2"/>
      <c r="G105" s="2"/>
      <c r="H105" s="2"/>
      <c r="I105" s="2"/>
      <c r="J105" s="2"/>
    </row>
    <row r="106" spans="1:10" x14ac:dyDescent="0.25">
      <c r="A106" s="8" t="s">
        <v>871</v>
      </c>
      <c r="C106" s="2"/>
      <c r="D106" s="2">
        <v>125</v>
      </c>
      <c r="E106" s="2"/>
      <c r="F106" s="2"/>
      <c r="G106" s="2"/>
      <c r="H106" s="2"/>
      <c r="I106" s="2"/>
      <c r="J106" s="2"/>
    </row>
    <row r="107" spans="1:10" x14ac:dyDescent="0.25">
      <c r="A107" s="8" t="s">
        <v>872</v>
      </c>
      <c r="C107" s="2"/>
      <c r="D107" s="2">
        <v>50</v>
      </c>
      <c r="E107" s="2"/>
      <c r="F107" s="2"/>
      <c r="G107" s="2"/>
      <c r="H107" s="2"/>
      <c r="I107" s="2"/>
      <c r="J107" s="2"/>
    </row>
    <row r="108" spans="1:10" x14ac:dyDescent="0.25">
      <c r="A108" s="8" t="s">
        <v>873</v>
      </c>
      <c r="C108" s="2"/>
      <c r="D108" s="2">
        <v>90</v>
      </c>
      <c r="E108" s="2"/>
      <c r="F108" s="2"/>
      <c r="G108" s="2"/>
      <c r="H108" s="2"/>
      <c r="I108" s="2"/>
      <c r="J108" s="2"/>
    </row>
    <row r="109" spans="1:10" x14ac:dyDescent="0.25">
      <c r="A109" s="8" t="s">
        <v>1655</v>
      </c>
      <c r="C109" s="2"/>
      <c r="D109" s="2">
        <v>210</v>
      </c>
      <c r="E109" s="2"/>
      <c r="F109" s="2"/>
      <c r="G109" s="2"/>
      <c r="H109" s="2"/>
      <c r="I109" s="2"/>
      <c r="J109" s="2"/>
    </row>
    <row r="110" spans="1:10" ht="15" x14ac:dyDescent="0.4">
      <c r="A110" s="8" t="s">
        <v>874</v>
      </c>
      <c r="C110" s="12"/>
      <c r="D110" s="12">
        <v>60</v>
      </c>
      <c r="E110" s="2"/>
      <c r="F110" s="2"/>
      <c r="G110" s="2"/>
      <c r="H110" s="2"/>
      <c r="I110" s="2"/>
      <c r="J110" s="2"/>
    </row>
    <row r="111" spans="1:10" x14ac:dyDescent="0.25">
      <c r="A111" s="8" t="s">
        <v>1279</v>
      </c>
      <c r="C111" s="2"/>
      <c r="D111" s="2">
        <f>SUM(D104:D110)</f>
        <v>660</v>
      </c>
      <c r="E111" s="2"/>
      <c r="F111" s="2"/>
      <c r="G111" s="2"/>
      <c r="H111" s="2"/>
      <c r="I111" s="2"/>
      <c r="J111" s="2"/>
    </row>
    <row r="112" spans="1:10" x14ac:dyDescent="0.25">
      <c r="C112" s="2"/>
      <c r="D112" s="2"/>
      <c r="E112" s="2"/>
      <c r="F112" s="2"/>
      <c r="G112" s="2"/>
      <c r="H112" s="2"/>
      <c r="I112" s="2"/>
      <c r="J112" s="2"/>
    </row>
    <row r="113" spans="1:10" ht="13.8" x14ac:dyDescent="0.3">
      <c r="A113" s="11" t="s">
        <v>488</v>
      </c>
      <c r="C113" s="2"/>
      <c r="D113" s="2"/>
      <c r="E113" s="2">
        <v>12485</v>
      </c>
      <c r="F113" s="2">
        <v>13879</v>
      </c>
      <c r="G113" s="2">
        <v>14247</v>
      </c>
      <c r="H113" s="2">
        <v>14247</v>
      </c>
      <c r="I113" s="2">
        <v>14247</v>
      </c>
      <c r="J113" s="2">
        <v>14247</v>
      </c>
    </row>
    <row r="114" spans="1:10" x14ac:dyDescent="0.25">
      <c r="A114" s="8" t="s">
        <v>85</v>
      </c>
      <c r="D114" s="2">
        <v>6500</v>
      </c>
      <c r="E114" s="2"/>
      <c r="F114" s="2"/>
      <c r="G114" s="2"/>
      <c r="H114" s="2"/>
      <c r="I114" s="2"/>
      <c r="J114" s="2"/>
    </row>
    <row r="115" spans="1:10" x14ac:dyDescent="0.25">
      <c r="A115" s="8" t="s">
        <v>86</v>
      </c>
      <c r="D115" s="2">
        <v>6100</v>
      </c>
      <c r="E115" s="2"/>
      <c r="F115" s="2"/>
      <c r="G115" s="2"/>
      <c r="H115" s="2"/>
      <c r="I115" s="2"/>
      <c r="J115" s="2"/>
    </row>
    <row r="116" spans="1:10" x14ac:dyDescent="0.25">
      <c r="A116" s="8" t="s">
        <v>883</v>
      </c>
      <c r="D116" s="2">
        <v>147</v>
      </c>
      <c r="E116" s="2"/>
      <c r="F116" s="2"/>
      <c r="G116" s="2"/>
      <c r="H116" s="2"/>
      <c r="I116" s="2"/>
      <c r="J116" s="2"/>
    </row>
    <row r="117" spans="1:10" ht="15" x14ac:dyDescent="0.4">
      <c r="A117" s="8" t="s">
        <v>579</v>
      </c>
      <c r="D117" s="12">
        <v>1500</v>
      </c>
      <c r="E117" s="2"/>
      <c r="F117" s="2"/>
      <c r="G117" s="2"/>
      <c r="H117" s="2"/>
      <c r="I117" s="2"/>
      <c r="J117" s="2"/>
    </row>
    <row r="118" spans="1:10" x14ac:dyDescent="0.25">
      <c r="A118" s="8" t="s">
        <v>1279</v>
      </c>
      <c r="D118" s="2">
        <f>SUM(D114:D117)</f>
        <v>14247</v>
      </c>
      <c r="E118" s="2"/>
      <c r="F118" s="2"/>
      <c r="G118" s="2"/>
      <c r="H118" s="2"/>
      <c r="I118" s="2"/>
      <c r="J118" s="2"/>
    </row>
    <row r="119" spans="1:10" x14ac:dyDescent="0.25">
      <c r="C119" s="2"/>
      <c r="D119" s="2"/>
      <c r="E119" s="2"/>
      <c r="F119" s="2"/>
      <c r="G119" s="2"/>
      <c r="H119" s="2"/>
      <c r="I119" s="2"/>
      <c r="J119" s="2"/>
    </row>
    <row r="120" spans="1:10" ht="13.8" x14ac:dyDescent="0.3">
      <c r="A120" s="11" t="s">
        <v>1495</v>
      </c>
      <c r="C120" s="2"/>
      <c r="D120" s="2"/>
      <c r="E120" s="2">
        <v>1576</v>
      </c>
      <c r="F120" s="2">
        <v>1375</v>
      </c>
      <c r="G120" s="2">
        <v>1675</v>
      </c>
      <c r="H120" s="2">
        <v>1675</v>
      </c>
      <c r="I120" s="2">
        <v>2275</v>
      </c>
      <c r="J120" s="2">
        <v>2275</v>
      </c>
    </row>
    <row r="121" spans="1:10" x14ac:dyDescent="0.25">
      <c r="A121" s="8" t="s">
        <v>870</v>
      </c>
      <c r="D121" s="2">
        <v>1100</v>
      </c>
      <c r="E121" s="2"/>
      <c r="F121" s="2"/>
      <c r="G121" s="2"/>
      <c r="H121" s="2"/>
      <c r="I121" s="2"/>
      <c r="J121" s="2"/>
    </row>
    <row r="122" spans="1:10" x14ac:dyDescent="0.25">
      <c r="A122" s="8" t="s">
        <v>871</v>
      </c>
      <c r="D122" s="2">
        <v>800</v>
      </c>
      <c r="E122" s="2"/>
      <c r="F122" s="2"/>
      <c r="G122" s="2"/>
      <c r="H122" s="2"/>
      <c r="I122" s="2"/>
      <c r="J122" s="2"/>
    </row>
    <row r="123" spans="1:10" x14ac:dyDescent="0.25">
      <c r="A123" s="8" t="s">
        <v>688</v>
      </c>
      <c r="D123" s="2">
        <v>275</v>
      </c>
      <c r="E123" s="2"/>
      <c r="F123" s="2"/>
      <c r="G123" s="2"/>
      <c r="H123" s="2"/>
      <c r="I123" s="2"/>
      <c r="J123" s="2"/>
    </row>
    <row r="124" spans="1:10" ht="15" x14ac:dyDescent="0.4">
      <c r="A124" s="8" t="s">
        <v>723</v>
      </c>
      <c r="D124" s="12">
        <v>100</v>
      </c>
      <c r="E124" s="2"/>
      <c r="F124" s="2"/>
      <c r="G124" s="2"/>
      <c r="H124" s="2"/>
      <c r="I124" s="2"/>
      <c r="J124" s="2"/>
    </row>
    <row r="125" spans="1:10" x14ac:dyDescent="0.25">
      <c r="A125" s="8" t="s">
        <v>1279</v>
      </c>
      <c r="D125" s="2">
        <f>SUM(D121:D124)</f>
        <v>2275</v>
      </c>
      <c r="E125" s="2"/>
      <c r="F125" s="2"/>
      <c r="G125" s="2"/>
      <c r="H125" s="2"/>
      <c r="I125" s="2"/>
      <c r="J125" s="2"/>
    </row>
    <row r="126" spans="1:10" x14ac:dyDescent="0.25">
      <c r="C126" s="2"/>
      <c r="D126" s="2"/>
      <c r="E126" s="2"/>
      <c r="F126" s="2"/>
      <c r="G126" s="2"/>
      <c r="H126" s="2"/>
      <c r="I126" s="2"/>
      <c r="J126" s="2"/>
    </row>
    <row r="127" spans="1:10" ht="13.8" x14ac:dyDescent="0.3">
      <c r="A127" s="11" t="s">
        <v>1496</v>
      </c>
      <c r="C127" s="2"/>
      <c r="D127" s="2"/>
      <c r="E127" s="2">
        <v>11559</v>
      </c>
      <c r="F127" s="2">
        <v>12000</v>
      </c>
      <c r="G127" s="2">
        <v>12000</v>
      </c>
      <c r="H127" s="2">
        <v>12000</v>
      </c>
      <c r="I127" s="2">
        <v>12000</v>
      </c>
      <c r="J127" s="2">
        <v>12000</v>
      </c>
    </row>
    <row r="128" spans="1:10" x14ac:dyDescent="0.25">
      <c r="A128" s="8" t="s">
        <v>465</v>
      </c>
      <c r="C128" s="2" t="s">
        <v>417</v>
      </c>
      <c r="D128" s="2"/>
      <c r="E128" s="2"/>
      <c r="F128" s="2"/>
      <c r="G128" s="2"/>
      <c r="H128" s="2"/>
      <c r="I128" s="2"/>
      <c r="J128" s="2"/>
    </row>
    <row r="129" spans="1:10" x14ac:dyDescent="0.25">
      <c r="A129" s="8" t="s">
        <v>700</v>
      </c>
      <c r="D129" s="2">
        <v>12000</v>
      </c>
      <c r="E129" s="2"/>
      <c r="F129" s="2"/>
      <c r="G129" s="2"/>
      <c r="H129" s="2"/>
      <c r="I129" s="2"/>
      <c r="J129" s="2"/>
    </row>
    <row r="130" spans="1:10" x14ac:dyDescent="0.25">
      <c r="D130" s="2"/>
      <c r="E130" s="2"/>
      <c r="F130" s="2"/>
      <c r="G130" s="2"/>
      <c r="H130" s="2"/>
      <c r="I130" s="2"/>
      <c r="J130" s="2"/>
    </row>
    <row r="131" spans="1:10" ht="13.8" x14ac:dyDescent="0.3">
      <c r="A131" s="11" t="s">
        <v>701</v>
      </c>
      <c r="D131" s="2"/>
      <c r="E131" s="2"/>
      <c r="F131" s="2"/>
      <c r="G131" s="2"/>
      <c r="H131" s="2"/>
      <c r="I131" s="2"/>
      <c r="J131" s="2"/>
    </row>
    <row r="132" spans="1:10" x14ac:dyDescent="0.25">
      <c r="A132" s="8" t="s">
        <v>236</v>
      </c>
      <c r="D132" s="2"/>
      <c r="E132" s="2">
        <v>176</v>
      </c>
      <c r="F132" s="2"/>
      <c r="G132" s="2"/>
      <c r="H132" s="2"/>
      <c r="I132" s="2"/>
      <c r="J132" s="2"/>
    </row>
    <row r="133" spans="1:10" x14ac:dyDescent="0.25">
      <c r="D133" s="2"/>
      <c r="E133" s="2"/>
      <c r="F133" s="2"/>
      <c r="G133" s="2"/>
      <c r="H133" s="2"/>
      <c r="I133" s="2"/>
      <c r="J133" s="2"/>
    </row>
    <row r="134" spans="1:10" ht="13.8" x14ac:dyDescent="0.3">
      <c r="A134" s="11" t="s">
        <v>1096</v>
      </c>
      <c r="D134" s="2"/>
      <c r="E134" s="2">
        <v>710</v>
      </c>
      <c r="F134" s="2">
        <v>835</v>
      </c>
      <c r="G134" s="2">
        <v>835</v>
      </c>
      <c r="H134" s="2">
        <v>835</v>
      </c>
      <c r="I134" s="2">
        <v>835</v>
      </c>
      <c r="J134" s="2">
        <v>835</v>
      </c>
    </row>
    <row r="135" spans="1:10" x14ac:dyDescent="0.25">
      <c r="A135" s="8" t="s">
        <v>702</v>
      </c>
      <c r="D135" s="2">
        <v>835</v>
      </c>
      <c r="E135" s="2"/>
      <c r="I135" s="209"/>
      <c r="J135" s="213"/>
    </row>
    <row r="136" spans="1:10" x14ac:dyDescent="0.25">
      <c r="D136" s="2"/>
      <c r="E136" s="2"/>
      <c r="I136" s="209"/>
      <c r="J136" s="213"/>
    </row>
    <row r="137" spans="1:10" ht="15" x14ac:dyDescent="0.4">
      <c r="A137" s="11" t="s">
        <v>668</v>
      </c>
      <c r="D137" s="9" t="s">
        <v>417</v>
      </c>
      <c r="E137" s="12">
        <v>3362</v>
      </c>
      <c r="F137" s="19">
        <v>0</v>
      </c>
      <c r="G137" s="19">
        <v>0</v>
      </c>
      <c r="H137" s="19">
        <v>0</v>
      </c>
      <c r="I137" s="19">
        <v>0</v>
      </c>
      <c r="J137" s="19">
        <v>0</v>
      </c>
    </row>
    <row r="138" spans="1:10" ht="15" x14ac:dyDescent="0.4">
      <c r="A138" s="139"/>
      <c r="D138" s="2">
        <v>0</v>
      </c>
      <c r="E138" s="12"/>
      <c r="F138" s="2"/>
      <c r="G138" s="2"/>
      <c r="H138" s="2"/>
      <c r="I138" s="2"/>
      <c r="J138" s="2"/>
    </row>
    <row r="139" spans="1:10" ht="13.8" x14ac:dyDescent="0.3">
      <c r="A139" s="61" t="s">
        <v>417</v>
      </c>
      <c r="D139" s="2"/>
      <c r="E139" s="2"/>
      <c r="F139" s="2"/>
      <c r="G139" s="2"/>
      <c r="H139" s="2"/>
      <c r="I139" s="2"/>
      <c r="J139" s="2"/>
    </row>
    <row r="140" spans="1:10" ht="13.8" x14ac:dyDescent="0.3">
      <c r="A140" s="61" t="s">
        <v>417</v>
      </c>
      <c r="D140" s="2"/>
      <c r="E140" s="2"/>
      <c r="F140" s="2"/>
      <c r="G140" s="2"/>
      <c r="H140" s="2"/>
      <c r="I140" s="2"/>
      <c r="J140" s="2"/>
    </row>
    <row r="141" spans="1:10" x14ac:dyDescent="0.25">
      <c r="A141" s="21" t="s">
        <v>1366</v>
      </c>
      <c r="D141" s="2"/>
      <c r="E141" s="2">
        <f t="shared" ref="E141:H141" si="0">SUM(E5:E139)</f>
        <v>468941</v>
      </c>
      <c r="F141" s="2">
        <f t="shared" si="0"/>
        <v>495237</v>
      </c>
      <c r="G141" s="2">
        <f t="shared" si="0"/>
        <v>501341</v>
      </c>
      <c r="H141" s="2">
        <f t="shared" si="0"/>
        <v>501100</v>
      </c>
      <c r="I141" s="2">
        <f>SUM(I5:I139)</f>
        <v>501700</v>
      </c>
      <c r="J141" s="2">
        <f>SUM(J5:J139)</f>
        <v>508632</v>
      </c>
    </row>
    <row r="142" spans="1:10" x14ac:dyDescent="0.25">
      <c r="I142" s="209"/>
      <c r="J142" s="213"/>
    </row>
    <row r="143" spans="1:10" x14ac:dyDescent="0.25">
      <c r="A143" s="8" t="s">
        <v>1001</v>
      </c>
      <c r="E143" s="2">
        <f t="shared" ref="E143:H143" si="1">SUM(E5:E70)</f>
        <v>394377</v>
      </c>
      <c r="F143" s="2">
        <f t="shared" si="1"/>
        <v>420213</v>
      </c>
      <c r="G143" s="2">
        <f t="shared" si="1"/>
        <v>426656</v>
      </c>
      <c r="H143" s="2">
        <f t="shared" si="1"/>
        <v>426656</v>
      </c>
      <c r="I143" s="2">
        <f>SUM(I5:I70)</f>
        <v>426656</v>
      </c>
      <c r="J143" s="2">
        <f>SUM(J5:J70)</f>
        <v>433588</v>
      </c>
    </row>
    <row r="144" spans="1:10" x14ac:dyDescent="0.25">
      <c r="A144" s="8" t="s">
        <v>975</v>
      </c>
      <c r="E144" s="2">
        <f t="shared" ref="E144:H144" si="2">SUM(E71:E136)</f>
        <v>71202</v>
      </c>
      <c r="F144" s="2">
        <f t="shared" si="2"/>
        <v>75024</v>
      </c>
      <c r="G144" s="2">
        <f t="shared" si="2"/>
        <v>74685</v>
      </c>
      <c r="H144" s="2">
        <f t="shared" si="2"/>
        <v>74444</v>
      </c>
      <c r="I144" s="2">
        <f>SUM(I71:I136)</f>
        <v>75044</v>
      </c>
      <c r="J144" s="2">
        <f>SUM(J71:J136)</f>
        <v>75044</v>
      </c>
    </row>
    <row r="145" spans="1:10" ht="15" x14ac:dyDescent="0.4">
      <c r="A145" s="8" t="s">
        <v>976</v>
      </c>
      <c r="E145" s="12">
        <f t="shared" ref="E145:H145" si="3">SUM(E137:E138)</f>
        <v>3362</v>
      </c>
      <c r="F145" s="12">
        <f t="shared" si="3"/>
        <v>0</v>
      </c>
      <c r="G145" s="12">
        <f t="shared" si="3"/>
        <v>0</v>
      </c>
      <c r="H145" s="12">
        <f t="shared" si="3"/>
        <v>0</v>
      </c>
      <c r="I145" s="12">
        <f>SUM(I137:I138)</f>
        <v>0</v>
      </c>
      <c r="J145" s="12">
        <f>SUM(J137:J138)</f>
        <v>0</v>
      </c>
    </row>
    <row r="146" spans="1:10" x14ac:dyDescent="0.25">
      <c r="A146" s="8" t="s">
        <v>1279</v>
      </c>
      <c r="E146" s="2">
        <f t="shared" ref="E146:H146" si="4">SUM(E143:E145)</f>
        <v>468941</v>
      </c>
      <c r="F146" s="2">
        <f t="shared" si="4"/>
        <v>495237</v>
      </c>
      <c r="G146" s="2">
        <f t="shared" si="4"/>
        <v>501341</v>
      </c>
      <c r="H146" s="2">
        <f t="shared" si="4"/>
        <v>501100</v>
      </c>
      <c r="I146" s="2">
        <f>SUM(I143:I145)</f>
        <v>501700</v>
      </c>
      <c r="J146" s="2">
        <f>SUM(J143:J145)</f>
        <v>508632</v>
      </c>
    </row>
    <row r="147" spans="1:10" x14ac:dyDescent="0.25">
      <c r="I147" s="209"/>
      <c r="J147" s="213"/>
    </row>
    <row r="148" spans="1:10" x14ac:dyDescent="0.25">
      <c r="I148" s="209"/>
      <c r="J148" s="213"/>
    </row>
    <row r="149" spans="1:10" x14ac:dyDescent="0.25">
      <c r="H149" s="209">
        <v>600</v>
      </c>
      <c r="I149" s="2">
        <f>+I146-H146</f>
        <v>600</v>
      </c>
      <c r="J149" s="2">
        <f>+J146-I146</f>
        <v>6932</v>
      </c>
    </row>
    <row r="150" spans="1:10" x14ac:dyDescent="0.25">
      <c r="H150" s="2">
        <f>+H146+H149</f>
        <v>501700</v>
      </c>
      <c r="I150" s="2">
        <f>+H149-I149</f>
        <v>0</v>
      </c>
      <c r="J150" s="2">
        <f>+I149-J149</f>
        <v>-6332</v>
      </c>
    </row>
    <row r="151" spans="1:10" x14ac:dyDescent="0.25">
      <c r="I151" s="209"/>
      <c r="J151" s="213"/>
    </row>
    <row r="152" spans="1:10" x14ac:dyDescent="0.25">
      <c r="I152" s="209"/>
      <c r="J152" s="213"/>
    </row>
    <row r="153" spans="1:10" x14ac:dyDescent="0.25">
      <c r="I153" s="209"/>
      <c r="J153" s="213"/>
    </row>
    <row r="154" spans="1:10" x14ac:dyDescent="0.25">
      <c r="I154" s="209"/>
      <c r="J154" s="213"/>
    </row>
    <row r="155" spans="1:10" x14ac:dyDescent="0.25">
      <c r="I155" s="209"/>
      <c r="J155" s="213"/>
    </row>
    <row r="156" spans="1:10" x14ac:dyDescent="0.25">
      <c r="I156" s="209"/>
      <c r="J156" s="213"/>
    </row>
    <row r="157" spans="1:10" x14ac:dyDescent="0.25">
      <c r="I157" s="209"/>
      <c r="J157" s="213"/>
    </row>
    <row r="158" spans="1:10" x14ac:dyDescent="0.25">
      <c r="I158" s="209"/>
      <c r="J158" s="213"/>
    </row>
    <row r="159" spans="1:10" x14ac:dyDescent="0.25">
      <c r="I159" s="209"/>
      <c r="J159" s="213"/>
    </row>
    <row r="160" spans="1:10" x14ac:dyDescent="0.25">
      <c r="I160" s="209"/>
      <c r="J160" s="213"/>
    </row>
    <row r="161" spans="9:10" x14ac:dyDescent="0.25">
      <c r="I161" s="209"/>
      <c r="J161" s="213"/>
    </row>
    <row r="162" spans="9:10" x14ac:dyDescent="0.25">
      <c r="I162" s="209"/>
      <c r="J162" s="213"/>
    </row>
    <row r="163" spans="9:10" x14ac:dyDescent="0.25">
      <c r="I163" s="209"/>
      <c r="J163" s="213"/>
    </row>
    <row r="164" spans="9:10" x14ac:dyDescent="0.25">
      <c r="I164" s="209"/>
      <c r="J164" s="213"/>
    </row>
    <row r="165" spans="9:10" x14ac:dyDescent="0.25">
      <c r="I165" s="209"/>
    </row>
    <row r="166" spans="9:10" x14ac:dyDescent="0.25">
      <c r="I166" s="209"/>
    </row>
    <row r="167" spans="9:10" x14ac:dyDescent="0.25">
      <c r="I167" s="209"/>
    </row>
    <row r="168" spans="9:10" x14ac:dyDescent="0.25">
      <c r="I168" s="209"/>
    </row>
    <row r="169" spans="9:10" x14ac:dyDescent="0.25">
      <c r="I169" s="209"/>
    </row>
    <row r="170" spans="9:10" x14ac:dyDescent="0.25">
      <c r="I170" s="209"/>
    </row>
    <row r="171" spans="9:10" x14ac:dyDescent="0.25">
      <c r="I171" s="209"/>
    </row>
  </sheetData>
  <mergeCells count="1">
    <mergeCell ref="A1:J1"/>
  </mergeCells>
  <phoneticPr fontId="0" type="noConversion"/>
  <printOptions gridLines="1"/>
  <pageMargins left="0.75" right="0.16" top="0.51" bottom="0.22" header="0.5" footer="0"/>
  <pageSetup scale="87" fitToHeight="5"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42"/>
  <sheetViews>
    <sheetView view="pageBreakPreview" topLeftCell="A58" zoomScaleNormal="100" zoomScaleSheetLayoutView="100" workbookViewId="0">
      <selection activeCell="A75" sqref="A75"/>
    </sheetView>
  </sheetViews>
  <sheetFormatPr defaultRowHeight="13.2" x14ac:dyDescent="0.25"/>
  <cols>
    <col min="1" max="1" width="56.44140625" style="8" customWidth="1"/>
    <col min="2" max="2" width="9.44140625" style="8" customWidth="1"/>
    <col min="3" max="3" width="8.5546875" style="8" customWidth="1"/>
    <col min="4" max="4" width="8.88671875" style="8" customWidth="1"/>
    <col min="5" max="5" width="9.44140625" style="8" customWidth="1"/>
    <col min="6" max="8" width="10.88671875" style="8" customWidth="1"/>
    <col min="9" max="9" width="14" style="8" bestFit="1" customWidth="1"/>
    <col min="10" max="11" width="10.88671875" style="8" customWidth="1"/>
    <col min="12" max="12" width="0" style="8" hidden="1" customWidth="1"/>
    <col min="13" max="16384" width="8.88671875" style="8"/>
  </cols>
  <sheetData>
    <row r="1" spans="1:11" x14ac:dyDescent="0.25">
      <c r="A1" s="217" t="s">
        <v>1972</v>
      </c>
      <c r="B1" s="218"/>
      <c r="C1" s="218"/>
      <c r="D1" s="218"/>
      <c r="E1" s="218"/>
      <c r="F1" s="218"/>
      <c r="G1" s="218"/>
      <c r="H1" s="218"/>
      <c r="I1" s="218"/>
      <c r="J1" s="218"/>
    </row>
    <row r="2" spans="1:11" ht="17.399999999999999" x14ac:dyDescent="0.3">
      <c r="A2" s="202" t="s">
        <v>2253</v>
      </c>
      <c r="B2" s="202"/>
      <c r="C2" s="202"/>
      <c r="D2" s="202"/>
      <c r="E2" s="202"/>
      <c r="F2" s="202"/>
      <c r="G2" s="202"/>
    </row>
    <row r="3" spans="1:11" x14ac:dyDescent="0.25">
      <c r="B3" s="2"/>
      <c r="C3" s="2"/>
      <c r="D3" s="2"/>
      <c r="E3" s="2"/>
      <c r="F3" s="2"/>
      <c r="G3" s="2"/>
    </row>
    <row r="4" spans="1:11" x14ac:dyDescent="0.25">
      <c r="B4" s="2"/>
      <c r="C4" s="2"/>
      <c r="D4" s="2"/>
      <c r="E4" s="2"/>
      <c r="F4" s="9" t="s">
        <v>251</v>
      </c>
      <c r="G4" s="9" t="s">
        <v>252</v>
      </c>
      <c r="H4" s="9" t="s">
        <v>73</v>
      </c>
      <c r="I4" s="9" t="s">
        <v>430</v>
      </c>
      <c r="J4" s="2" t="s">
        <v>330</v>
      </c>
      <c r="K4" s="2" t="s">
        <v>364</v>
      </c>
    </row>
    <row r="5" spans="1:11" ht="15" x14ac:dyDescent="0.4">
      <c r="B5" s="2"/>
      <c r="C5" s="2"/>
      <c r="D5" s="2"/>
      <c r="E5" s="2"/>
      <c r="F5" s="10" t="s">
        <v>1684</v>
      </c>
      <c r="G5" s="10" t="s">
        <v>1874</v>
      </c>
      <c r="H5" s="10" t="s">
        <v>1944</v>
      </c>
      <c r="I5" s="10" t="s">
        <v>1944</v>
      </c>
      <c r="J5" s="10" t="s">
        <v>1944</v>
      </c>
      <c r="K5" s="10" t="s">
        <v>1944</v>
      </c>
    </row>
    <row r="6" spans="1:11" ht="13.8" x14ac:dyDescent="0.3">
      <c r="A6" s="11" t="s">
        <v>669</v>
      </c>
      <c r="B6" s="2"/>
      <c r="C6" s="2"/>
      <c r="D6" s="2"/>
      <c r="E6" s="2"/>
      <c r="F6" s="2">
        <v>35384</v>
      </c>
      <c r="G6" s="2">
        <v>38357</v>
      </c>
      <c r="H6" s="2">
        <v>37398</v>
      </c>
      <c r="I6" s="2">
        <v>37398</v>
      </c>
      <c r="J6" s="2">
        <v>37398</v>
      </c>
      <c r="K6" s="2">
        <v>38447</v>
      </c>
    </row>
    <row r="7" spans="1:11" x14ac:dyDescent="0.25">
      <c r="A7" s="8" t="s">
        <v>1958</v>
      </c>
      <c r="B7" s="2"/>
      <c r="C7" s="2">
        <v>1456</v>
      </c>
      <c r="D7" s="13">
        <v>25.7</v>
      </c>
      <c r="E7" s="2">
        <f>+D7*C7</f>
        <v>37419.199999999997</v>
      </c>
      <c r="F7" s="2"/>
      <c r="G7" s="2"/>
      <c r="H7" s="2"/>
      <c r="I7" s="2"/>
      <c r="J7" s="2"/>
      <c r="K7" s="2"/>
    </row>
    <row r="8" spans="1:11" ht="15" x14ac:dyDescent="0.4">
      <c r="A8" s="8" t="s">
        <v>1852</v>
      </c>
      <c r="B8" s="2"/>
      <c r="C8" s="2"/>
      <c r="D8" s="13"/>
      <c r="E8" s="12">
        <v>1028</v>
      </c>
      <c r="F8" s="2"/>
      <c r="G8" s="2"/>
      <c r="H8" s="2"/>
      <c r="I8" s="2"/>
      <c r="J8" s="2"/>
      <c r="K8" s="2"/>
    </row>
    <row r="9" spans="1:11" x14ac:dyDescent="0.25">
      <c r="B9" s="2"/>
      <c r="C9" s="2"/>
      <c r="D9" s="13"/>
      <c r="E9" s="2">
        <f>SUM(E7:E8)</f>
        <v>38447.199999999997</v>
      </c>
      <c r="F9" s="2"/>
      <c r="G9" s="2"/>
      <c r="H9" s="2"/>
      <c r="I9" s="2"/>
      <c r="J9" s="2"/>
      <c r="K9" s="2"/>
    </row>
    <row r="10" spans="1:11" x14ac:dyDescent="0.25">
      <c r="B10" s="2"/>
      <c r="C10" s="2"/>
      <c r="D10" s="13"/>
      <c r="E10" s="2"/>
      <c r="F10" s="2"/>
      <c r="G10" s="2"/>
      <c r="H10" s="2"/>
      <c r="I10" s="2"/>
      <c r="J10" s="2"/>
      <c r="K10" s="2"/>
    </row>
    <row r="11" spans="1:11" ht="13.8" x14ac:dyDescent="0.3">
      <c r="A11" s="11" t="s">
        <v>709</v>
      </c>
      <c r="E11" s="2"/>
      <c r="F11" s="2">
        <v>2707</v>
      </c>
      <c r="G11" s="2">
        <v>2934</v>
      </c>
      <c r="H11" s="2">
        <v>2861</v>
      </c>
      <c r="I11" s="2">
        <v>2861</v>
      </c>
      <c r="J11" s="2">
        <v>2861</v>
      </c>
      <c r="K11" s="2">
        <v>2941</v>
      </c>
    </row>
    <row r="12" spans="1:11" hidden="1" x14ac:dyDescent="0.25">
      <c r="A12" s="8" t="s">
        <v>710</v>
      </c>
      <c r="B12" s="2"/>
      <c r="C12" s="2">
        <f>+E9</f>
        <v>38447.199999999997</v>
      </c>
      <c r="D12" s="15">
        <v>7.6499999999999999E-2</v>
      </c>
      <c r="E12" s="2">
        <f>ROUND(D12*C12,0)</f>
        <v>2941</v>
      </c>
      <c r="F12" s="2"/>
      <c r="G12" s="2"/>
      <c r="H12" s="2"/>
      <c r="I12" s="2"/>
      <c r="J12" s="2"/>
      <c r="K12" s="2"/>
    </row>
    <row r="13" spans="1:11" x14ac:dyDescent="0.25">
      <c r="E13" s="2"/>
      <c r="F13" s="2"/>
      <c r="G13" s="2"/>
      <c r="H13" s="2"/>
      <c r="I13" s="2"/>
      <c r="J13" s="2"/>
      <c r="K13" s="2"/>
    </row>
    <row r="14" spans="1:11" ht="13.8" x14ac:dyDescent="0.3">
      <c r="A14" s="11" t="s">
        <v>711</v>
      </c>
      <c r="E14" s="2"/>
      <c r="F14" s="2">
        <v>57</v>
      </c>
      <c r="G14" s="2">
        <v>61</v>
      </c>
      <c r="H14" s="2">
        <v>64</v>
      </c>
      <c r="I14" s="2">
        <v>64</v>
      </c>
      <c r="J14" s="2">
        <v>64</v>
      </c>
      <c r="K14" s="2">
        <v>65</v>
      </c>
    </row>
    <row r="15" spans="1:11" hidden="1" x14ac:dyDescent="0.25">
      <c r="A15" s="8" t="s">
        <v>710</v>
      </c>
      <c r="B15" s="2"/>
      <c r="C15" s="2">
        <f>+E9</f>
        <v>38447.199999999997</v>
      </c>
      <c r="D15" s="15">
        <v>1.6999999999999999E-3</v>
      </c>
      <c r="E15" s="2">
        <f>ROUND(D15*C15,0)</f>
        <v>65</v>
      </c>
      <c r="F15" s="2"/>
      <c r="G15" s="2"/>
      <c r="H15" s="2"/>
      <c r="I15" s="2"/>
      <c r="J15" s="2"/>
      <c r="K15" s="2"/>
    </row>
    <row r="16" spans="1:11" x14ac:dyDescent="0.25">
      <c r="E16" s="2"/>
      <c r="F16" s="2"/>
      <c r="G16" s="2"/>
      <c r="H16" s="2"/>
      <c r="I16" s="2"/>
      <c r="J16" s="2"/>
      <c r="K16" s="2"/>
    </row>
    <row r="17" spans="1:11" ht="13.8" x14ac:dyDescent="0.3">
      <c r="A17" s="11" t="s">
        <v>712</v>
      </c>
      <c r="E17" s="2"/>
      <c r="F17" s="2">
        <v>48</v>
      </c>
      <c r="G17" s="2">
        <v>48</v>
      </c>
      <c r="H17" s="2">
        <v>35</v>
      </c>
      <c r="I17" s="2">
        <v>35</v>
      </c>
      <c r="J17" s="2">
        <v>35</v>
      </c>
      <c r="K17" s="2">
        <v>48</v>
      </c>
    </row>
    <row r="18" spans="1:11" hidden="1" x14ac:dyDescent="0.25">
      <c r="A18" s="8" t="s">
        <v>710</v>
      </c>
      <c r="B18" s="2" t="s">
        <v>417</v>
      </c>
      <c r="C18" s="2" t="s">
        <v>417</v>
      </c>
      <c r="D18" s="15" t="s">
        <v>417</v>
      </c>
      <c r="E18" s="2">
        <v>35</v>
      </c>
      <c r="F18" s="2"/>
      <c r="G18" s="2"/>
      <c r="H18" s="2"/>
      <c r="I18" s="2"/>
      <c r="J18" s="2"/>
      <c r="K18" s="2"/>
    </row>
    <row r="19" spans="1:11" x14ac:dyDescent="0.25">
      <c r="E19" s="2"/>
      <c r="F19" s="2"/>
      <c r="G19" s="2"/>
      <c r="H19" s="2"/>
      <c r="I19" s="2"/>
      <c r="J19" s="2"/>
      <c r="K19" s="2"/>
    </row>
    <row r="20" spans="1:11" ht="15" x14ac:dyDescent="0.4">
      <c r="A20" s="11" t="s">
        <v>713</v>
      </c>
      <c r="C20" s="83"/>
      <c r="D20" s="83" t="s">
        <v>1874</v>
      </c>
      <c r="E20" s="83" t="s">
        <v>1944</v>
      </c>
      <c r="F20" s="2">
        <v>249</v>
      </c>
      <c r="G20" s="2">
        <v>270</v>
      </c>
      <c r="H20" s="2">
        <v>270</v>
      </c>
      <c r="I20" s="2">
        <v>270</v>
      </c>
      <c r="J20" s="2">
        <v>270</v>
      </c>
      <c r="K20" s="2">
        <v>270</v>
      </c>
    </row>
    <row r="21" spans="1:11" x14ac:dyDescent="0.25">
      <c r="A21" s="8" t="s">
        <v>371</v>
      </c>
      <c r="D21" s="2">
        <v>270</v>
      </c>
      <c r="E21" s="2">
        <v>270</v>
      </c>
      <c r="F21" s="2"/>
      <c r="G21" s="2"/>
      <c r="H21" s="2"/>
      <c r="I21" s="2"/>
      <c r="J21" s="2"/>
      <c r="K21" s="2"/>
    </row>
    <row r="22" spans="1:11" x14ac:dyDescent="0.25">
      <c r="D22" s="2"/>
      <c r="E22" s="2"/>
      <c r="F22" s="2"/>
      <c r="G22" s="2"/>
      <c r="H22" s="2"/>
      <c r="I22" s="2"/>
      <c r="J22" s="2"/>
      <c r="K22" s="2"/>
    </row>
    <row r="23" spans="1:11" ht="15" x14ac:dyDescent="0.4">
      <c r="A23" s="11" t="s">
        <v>27</v>
      </c>
      <c r="C23" s="83"/>
      <c r="D23" s="83" t="s">
        <v>1874</v>
      </c>
      <c r="E23" s="83" t="s">
        <v>1944</v>
      </c>
      <c r="F23" s="2">
        <v>0</v>
      </c>
      <c r="G23" s="2">
        <v>50</v>
      </c>
      <c r="H23" s="2">
        <v>50</v>
      </c>
      <c r="I23" s="2">
        <v>50</v>
      </c>
      <c r="J23" s="2">
        <v>50</v>
      </c>
      <c r="K23" s="2">
        <v>50</v>
      </c>
    </row>
    <row r="24" spans="1:11" x14ac:dyDescent="0.25">
      <c r="A24" s="8" t="s">
        <v>1028</v>
      </c>
      <c r="D24" s="2">
        <v>50</v>
      </c>
      <c r="E24" s="2">
        <v>50</v>
      </c>
      <c r="F24" s="2"/>
      <c r="G24" s="2"/>
      <c r="H24" s="2"/>
      <c r="I24" s="2"/>
      <c r="J24" s="2"/>
      <c r="K24" s="2"/>
    </row>
    <row r="25" spans="1:11" x14ac:dyDescent="0.25">
      <c r="D25" s="2"/>
      <c r="E25" s="2"/>
      <c r="F25" s="2"/>
      <c r="G25" s="2"/>
      <c r="H25" s="2"/>
      <c r="I25" s="2"/>
      <c r="J25" s="2"/>
      <c r="K25" s="2"/>
    </row>
    <row r="26" spans="1:11" ht="15" x14ac:dyDescent="0.4">
      <c r="A26" s="11" t="s">
        <v>999</v>
      </c>
      <c r="C26" s="83"/>
      <c r="D26" s="83" t="s">
        <v>1874</v>
      </c>
      <c r="E26" s="83" t="s">
        <v>1944</v>
      </c>
      <c r="F26" s="2">
        <v>108</v>
      </c>
      <c r="G26" s="2">
        <v>150</v>
      </c>
      <c r="H26" s="2">
        <v>125</v>
      </c>
      <c r="I26" s="2">
        <v>125</v>
      </c>
      <c r="J26" s="2">
        <v>125</v>
      </c>
      <c r="K26" s="2">
        <v>125</v>
      </c>
    </row>
    <row r="27" spans="1:11" x14ac:dyDescent="0.25">
      <c r="A27" s="8" t="s">
        <v>1000</v>
      </c>
      <c r="B27" s="2" t="s">
        <v>417</v>
      </c>
      <c r="C27" s="2"/>
      <c r="D27" s="2">
        <v>150</v>
      </c>
      <c r="E27" s="2">
        <v>125</v>
      </c>
      <c r="F27" s="2"/>
      <c r="G27" s="2"/>
      <c r="H27" s="2"/>
      <c r="I27" s="2"/>
      <c r="J27" s="2"/>
      <c r="K27" s="2"/>
    </row>
    <row r="28" spans="1:11" x14ac:dyDescent="0.25">
      <c r="B28" s="2"/>
      <c r="C28" s="2"/>
      <c r="D28" s="2"/>
      <c r="E28" s="2"/>
      <c r="F28" s="2"/>
      <c r="G28" s="2"/>
      <c r="H28" s="2"/>
      <c r="I28" s="2"/>
      <c r="J28" s="2"/>
      <c r="K28" s="2"/>
    </row>
    <row r="29" spans="1:11" ht="15" x14ac:dyDescent="0.4">
      <c r="A29" s="11" t="s">
        <v>487</v>
      </c>
      <c r="C29" s="83"/>
      <c r="D29" s="83" t="s">
        <v>1874</v>
      </c>
      <c r="E29" s="83" t="s">
        <v>1944</v>
      </c>
      <c r="F29" s="2">
        <v>1027</v>
      </c>
      <c r="G29" s="2">
        <v>935</v>
      </c>
      <c r="H29" s="2">
        <v>1080</v>
      </c>
      <c r="I29" s="2">
        <v>1080</v>
      </c>
      <c r="J29" s="2">
        <v>1080</v>
      </c>
      <c r="K29" s="2">
        <v>1080</v>
      </c>
    </row>
    <row r="30" spans="1:11" x14ac:dyDescent="0.25">
      <c r="A30" s="8" t="s">
        <v>977</v>
      </c>
      <c r="C30" s="2"/>
      <c r="D30" s="2">
        <v>455</v>
      </c>
      <c r="E30" s="2">
        <v>600</v>
      </c>
      <c r="F30" s="2"/>
      <c r="G30" s="2"/>
      <c r="H30" s="2"/>
      <c r="I30" s="2"/>
      <c r="J30" s="2"/>
      <c r="K30" s="2"/>
    </row>
    <row r="31" spans="1:11" ht="15" x14ac:dyDescent="0.4">
      <c r="A31" s="8" t="s">
        <v>1029</v>
      </c>
      <c r="C31" s="12"/>
      <c r="D31" s="12">
        <v>480</v>
      </c>
      <c r="E31" s="12">
        <v>480</v>
      </c>
      <c r="F31" s="2"/>
      <c r="G31" s="2"/>
      <c r="H31" s="2"/>
      <c r="I31" s="2"/>
      <c r="J31" s="2"/>
      <c r="K31" s="2"/>
    </row>
    <row r="32" spans="1:11" x14ac:dyDescent="0.25">
      <c r="A32" s="8" t="s">
        <v>1279</v>
      </c>
      <c r="C32" s="2"/>
      <c r="D32" s="2">
        <f>SUM(D30:D31)</f>
        <v>935</v>
      </c>
      <c r="E32" s="2">
        <f>SUM(E30:E31)</f>
        <v>1080</v>
      </c>
      <c r="F32" s="2"/>
      <c r="G32" s="2"/>
      <c r="H32" s="2"/>
      <c r="I32" s="2"/>
      <c r="J32" s="2"/>
      <c r="K32" s="2"/>
    </row>
    <row r="33" spans="1:11" x14ac:dyDescent="0.25">
      <c r="A33" s="8" t="s">
        <v>417</v>
      </c>
      <c r="D33" s="2" t="s">
        <v>417</v>
      </c>
      <c r="E33" s="2" t="s">
        <v>417</v>
      </c>
      <c r="F33" s="2"/>
      <c r="G33" s="2"/>
      <c r="H33" s="2"/>
      <c r="I33" s="2"/>
      <c r="J33" s="2"/>
      <c r="K33" s="2"/>
    </row>
    <row r="34" spans="1:11" ht="15" x14ac:dyDescent="0.4">
      <c r="A34" s="11" t="s">
        <v>689</v>
      </c>
      <c r="C34" s="83"/>
      <c r="D34" s="83" t="s">
        <v>1874</v>
      </c>
      <c r="E34" s="83" t="s">
        <v>1944</v>
      </c>
      <c r="F34" s="2">
        <v>50</v>
      </c>
      <c r="G34" s="2">
        <v>50</v>
      </c>
      <c r="H34" s="2">
        <v>50</v>
      </c>
      <c r="I34" s="2">
        <v>50</v>
      </c>
      <c r="J34" s="2">
        <v>50</v>
      </c>
      <c r="K34" s="2">
        <v>50</v>
      </c>
    </row>
    <row r="35" spans="1:11" x14ac:dyDescent="0.25">
      <c r="A35" s="8" t="s">
        <v>451</v>
      </c>
      <c r="B35" s="2" t="s">
        <v>417</v>
      </c>
      <c r="C35" s="2"/>
      <c r="D35" s="2">
        <v>50</v>
      </c>
      <c r="E35" s="2">
        <v>50</v>
      </c>
      <c r="F35" s="2"/>
      <c r="G35" s="2"/>
      <c r="H35" s="2"/>
      <c r="I35" s="2"/>
      <c r="J35" s="2"/>
      <c r="K35" s="2"/>
    </row>
    <row r="36" spans="1:11" x14ac:dyDescent="0.25">
      <c r="D36" s="2"/>
      <c r="E36" s="2"/>
      <c r="F36" s="2"/>
      <c r="G36" s="2"/>
      <c r="H36" s="2"/>
      <c r="I36" s="2"/>
      <c r="J36" s="2"/>
      <c r="K36" s="2"/>
    </row>
    <row r="37" spans="1:11" ht="15" x14ac:dyDescent="0.4">
      <c r="A37" s="18" t="s">
        <v>1530</v>
      </c>
      <c r="C37" s="83"/>
      <c r="D37" s="83" t="s">
        <v>1874</v>
      </c>
      <c r="E37" s="83" t="s">
        <v>1944</v>
      </c>
      <c r="F37" s="2">
        <v>469</v>
      </c>
      <c r="G37" s="2">
        <v>445</v>
      </c>
      <c r="H37" s="2">
        <v>552</v>
      </c>
      <c r="I37" s="2">
        <v>519</v>
      </c>
      <c r="J37" s="2">
        <v>519</v>
      </c>
      <c r="K37" s="2">
        <v>519</v>
      </c>
    </row>
    <row r="38" spans="1:11" x14ac:dyDescent="0.25">
      <c r="A38" s="8" t="s">
        <v>892</v>
      </c>
      <c r="C38" s="2"/>
      <c r="D38" s="8">
        <v>445</v>
      </c>
      <c r="E38" s="8">
        <v>519</v>
      </c>
      <c r="F38" s="2"/>
      <c r="G38" s="2"/>
      <c r="H38" s="2"/>
      <c r="I38" s="2"/>
      <c r="J38" s="2"/>
      <c r="K38" s="2"/>
    </row>
    <row r="39" spans="1:11" x14ac:dyDescent="0.25">
      <c r="D39" s="2"/>
      <c r="E39" s="2"/>
      <c r="F39" s="2"/>
      <c r="G39" s="2"/>
      <c r="H39" s="2"/>
      <c r="I39" s="2"/>
      <c r="J39" s="2"/>
      <c r="K39" s="2"/>
    </row>
    <row r="40" spans="1:11" ht="15" x14ac:dyDescent="0.4">
      <c r="A40" s="11" t="s">
        <v>1531</v>
      </c>
      <c r="C40" s="83"/>
      <c r="D40" s="83" t="s">
        <v>1874</v>
      </c>
      <c r="E40" s="83" t="s">
        <v>1944</v>
      </c>
      <c r="F40" s="2">
        <v>595</v>
      </c>
      <c r="G40" s="2">
        <v>500</v>
      </c>
      <c r="H40" s="2">
        <v>500</v>
      </c>
      <c r="I40" s="2">
        <v>500</v>
      </c>
      <c r="J40" s="2">
        <v>500</v>
      </c>
      <c r="K40" s="2">
        <v>500</v>
      </c>
    </row>
    <row r="41" spans="1:11" x14ac:dyDescent="0.25">
      <c r="A41" s="8" t="s">
        <v>327</v>
      </c>
      <c r="D41" s="2">
        <v>500</v>
      </c>
      <c r="E41" s="2">
        <v>500</v>
      </c>
      <c r="F41" s="2"/>
      <c r="G41" s="2"/>
      <c r="H41" s="2"/>
      <c r="I41" s="2"/>
      <c r="J41" s="2"/>
      <c r="K41" s="2"/>
    </row>
    <row r="42" spans="1:11" x14ac:dyDescent="0.25">
      <c r="D42" s="2"/>
      <c r="E42" s="2"/>
      <c r="F42" s="2"/>
      <c r="G42" s="2"/>
      <c r="H42" s="2"/>
      <c r="I42" s="2"/>
      <c r="J42" s="2"/>
      <c r="K42" s="2"/>
    </row>
    <row r="43" spans="1:11" ht="13.8" x14ac:dyDescent="0.3">
      <c r="A43" s="11" t="s">
        <v>615</v>
      </c>
      <c r="D43" s="2"/>
      <c r="E43" s="2"/>
      <c r="F43" s="2">
        <v>1500</v>
      </c>
      <c r="G43" s="2">
        <v>1500</v>
      </c>
      <c r="H43" s="2">
        <v>1500</v>
      </c>
      <c r="I43" s="2">
        <v>1500</v>
      </c>
      <c r="J43" s="2">
        <v>1500</v>
      </c>
      <c r="K43" s="2">
        <v>1500</v>
      </c>
    </row>
    <row r="44" spans="1:11" x14ac:dyDescent="0.25">
      <c r="A44" s="25" t="s">
        <v>1771</v>
      </c>
      <c r="D44" s="2"/>
      <c r="E44" s="2"/>
      <c r="F44" s="2"/>
      <c r="G44" s="2"/>
      <c r="H44" s="2"/>
      <c r="I44" s="2"/>
      <c r="J44" s="2"/>
      <c r="K44" s="2"/>
    </row>
    <row r="45" spans="1:11" ht="15" x14ac:dyDescent="0.4">
      <c r="A45" s="11" t="s">
        <v>533</v>
      </c>
      <c r="C45" s="83"/>
      <c r="D45" s="83" t="s">
        <v>1874</v>
      </c>
      <c r="E45" s="83" t="s">
        <v>1944</v>
      </c>
      <c r="F45" s="2">
        <v>150</v>
      </c>
      <c r="G45" s="2">
        <v>170</v>
      </c>
      <c r="H45" s="2">
        <v>180</v>
      </c>
      <c r="I45" s="2">
        <v>180</v>
      </c>
      <c r="J45" s="2">
        <v>180</v>
      </c>
      <c r="K45" s="2">
        <v>180</v>
      </c>
    </row>
    <row r="46" spans="1:11" x14ac:dyDescent="0.25">
      <c r="A46" s="8" t="s">
        <v>505</v>
      </c>
      <c r="D46" s="2">
        <v>65</v>
      </c>
      <c r="E46" s="2">
        <v>95</v>
      </c>
      <c r="F46" s="2"/>
      <c r="G46" s="2"/>
      <c r="H46" s="2"/>
      <c r="I46" s="2"/>
      <c r="J46" s="2"/>
      <c r="K46" s="2"/>
    </row>
    <row r="47" spans="1:11" ht="15" x14ac:dyDescent="0.4">
      <c r="A47" s="8" t="s">
        <v>1650</v>
      </c>
      <c r="D47" s="12">
        <v>105</v>
      </c>
      <c r="E47" s="12">
        <v>85</v>
      </c>
      <c r="F47" s="2"/>
      <c r="G47" s="2"/>
      <c r="H47" s="2"/>
      <c r="I47" s="2"/>
      <c r="J47" s="2"/>
      <c r="K47" s="2"/>
    </row>
    <row r="48" spans="1:11" x14ac:dyDescent="0.25">
      <c r="A48" s="8" t="s">
        <v>1279</v>
      </c>
      <c r="D48" s="2">
        <f>SUM(D46:D47)</f>
        <v>170</v>
      </c>
      <c r="E48" s="2">
        <f>SUM(E46:E47)</f>
        <v>180</v>
      </c>
      <c r="F48" s="2"/>
      <c r="G48" s="2"/>
      <c r="H48" s="2"/>
      <c r="I48" s="2"/>
      <c r="J48" s="2"/>
      <c r="K48" s="2"/>
    </row>
    <row r="49" spans="1:11" x14ac:dyDescent="0.25">
      <c r="D49" s="2"/>
      <c r="E49" s="2"/>
      <c r="F49" s="2"/>
      <c r="G49" s="2"/>
      <c r="H49" s="2"/>
      <c r="I49" s="2"/>
      <c r="J49" s="2"/>
      <c r="K49" s="2"/>
    </row>
    <row r="50" spans="1:11" ht="13.8" x14ac:dyDescent="0.3">
      <c r="A50" s="11" t="s">
        <v>534</v>
      </c>
      <c r="D50" s="2"/>
      <c r="E50" s="2"/>
      <c r="F50" s="2">
        <v>17</v>
      </c>
      <c r="G50" s="2">
        <v>15</v>
      </c>
      <c r="H50" s="2">
        <v>17</v>
      </c>
      <c r="I50" s="2">
        <v>17</v>
      </c>
      <c r="J50" s="2">
        <v>17</v>
      </c>
      <c r="K50" s="2">
        <v>17</v>
      </c>
    </row>
    <row r="51" spans="1:11" x14ac:dyDescent="0.25">
      <c r="A51" s="8" t="s">
        <v>326</v>
      </c>
      <c r="D51" s="2">
        <v>15</v>
      </c>
      <c r="E51" s="2">
        <v>17</v>
      </c>
      <c r="F51" s="2"/>
      <c r="G51" s="2"/>
      <c r="H51" s="2"/>
      <c r="I51" s="2"/>
      <c r="J51" s="2"/>
      <c r="K51" s="2"/>
    </row>
    <row r="52" spans="1:11" x14ac:dyDescent="0.25">
      <c r="D52" s="2"/>
      <c r="E52" s="2"/>
      <c r="F52" s="2"/>
      <c r="G52" s="2"/>
      <c r="H52" s="2"/>
      <c r="I52" s="2"/>
      <c r="J52" s="2"/>
      <c r="K52" s="2"/>
    </row>
    <row r="53" spans="1:11" ht="13.8" x14ac:dyDescent="0.3">
      <c r="A53" s="11" t="s">
        <v>1875</v>
      </c>
      <c r="D53" s="2"/>
      <c r="E53" s="2"/>
      <c r="F53" s="2">
        <v>0</v>
      </c>
      <c r="G53" s="2"/>
      <c r="H53" s="2"/>
      <c r="I53" s="2"/>
      <c r="J53" s="2"/>
      <c r="K53" s="2"/>
    </row>
    <row r="54" spans="1:11" x14ac:dyDescent="0.25">
      <c r="D54" s="2"/>
      <c r="E54" s="2"/>
      <c r="F54" s="2"/>
      <c r="G54" s="2"/>
      <c r="H54" s="2"/>
      <c r="I54" s="2"/>
      <c r="J54" s="2"/>
      <c r="K54" s="2"/>
    </row>
    <row r="55" spans="1:11" ht="15" x14ac:dyDescent="0.4">
      <c r="D55" s="219" t="s">
        <v>1944</v>
      </c>
      <c r="E55" s="222"/>
      <c r="F55" s="2"/>
      <c r="G55" s="2"/>
      <c r="H55" s="2"/>
      <c r="I55" s="2"/>
      <c r="J55" s="2"/>
      <c r="K55" s="2"/>
    </row>
    <row r="56" spans="1:11" ht="13.8" x14ac:dyDescent="0.3">
      <c r="A56" s="11" t="s">
        <v>299</v>
      </c>
      <c r="B56" s="30" t="s">
        <v>1684</v>
      </c>
      <c r="C56" s="30" t="s">
        <v>1874</v>
      </c>
      <c r="D56" s="20" t="s">
        <v>267</v>
      </c>
      <c r="E56" s="20" t="s">
        <v>272</v>
      </c>
      <c r="F56" s="2">
        <v>74000</v>
      </c>
      <c r="G56" s="2">
        <v>74000</v>
      </c>
      <c r="H56" s="2">
        <v>74000</v>
      </c>
      <c r="I56" s="2">
        <v>74000</v>
      </c>
      <c r="J56" s="2">
        <v>74000</v>
      </c>
      <c r="K56" s="2">
        <v>74000</v>
      </c>
    </row>
    <row r="57" spans="1:11" x14ac:dyDescent="0.25">
      <c r="A57" s="8" t="s">
        <v>854</v>
      </c>
      <c r="B57" s="2">
        <v>1000</v>
      </c>
      <c r="C57" s="2">
        <v>1000</v>
      </c>
      <c r="D57" s="2">
        <v>1000</v>
      </c>
      <c r="E57" s="2">
        <v>1000</v>
      </c>
      <c r="F57" s="2"/>
      <c r="G57" s="2"/>
      <c r="H57" s="2"/>
      <c r="I57" s="2"/>
      <c r="J57" s="2"/>
      <c r="K57" s="2"/>
    </row>
    <row r="58" spans="1:11" x14ac:dyDescent="0.25">
      <c r="A58" s="8" t="s">
        <v>1429</v>
      </c>
      <c r="B58" s="2">
        <v>1000</v>
      </c>
      <c r="C58" s="2">
        <v>1000</v>
      </c>
      <c r="D58" s="2">
        <v>2000</v>
      </c>
      <c r="E58" s="2">
        <v>1000</v>
      </c>
      <c r="F58" s="2"/>
      <c r="G58" s="2"/>
      <c r="H58" s="2"/>
      <c r="I58" s="2"/>
      <c r="J58" s="2"/>
      <c r="K58" s="2"/>
    </row>
    <row r="59" spans="1:11" x14ac:dyDescent="0.25">
      <c r="A59" s="8" t="s">
        <v>1063</v>
      </c>
      <c r="B59" s="2">
        <v>3000</v>
      </c>
      <c r="C59" s="2">
        <v>3000</v>
      </c>
      <c r="D59" s="2">
        <v>3000</v>
      </c>
      <c r="E59" s="2">
        <v>3000</v>
      </c>
      <c r="F59" s="2"/>
      <c r="G59" s="2"/>
      <c r="H59" s="2"/>
      <c r="I59" s="2"/>
      <c r="J59" s="2"/>
      <c r="K59" s="2"/>
    </row>
    <row r="60" spans="1:11" x14ac:dyDescent="0.25">
      <c r="A60" s="8" t="s">
        <v>97</v>
      </c>
      <c r="B60" s="2">
        <v>12000</v>
      </c>
      <c r="C60" s="2">
        <v>12000</v>
      </c>
      <c r="D60" s="2">
        <v>48626</v>
      </c>
      <c r="E60" s="2">
        <v>12350</v>
      </c>
      <c r="F60" s="2"/>
      <c r="G60" s="2"/>
      <c r="H60" s="2"/>
      <c r="I60" s="2"/>
      <c r="J60" s="2"/>
      <c r="K60" s="2"/>
    </row>
    <row r="61" spans="1:11" x14ac:dyDescent="0.25">
      <c r="A61" s="8" t="s">
        <v>951</v>
      </c>
      <c r="B61" s="2">
        <v>2000</v>
      </c>
      <c r="C61" s="2">
        <v>2000</v>
      </c>
      <c r="D61" s="2">
        <v>7500</v>
      </c>
      <c r="E61" s="2">
        <v>2000</v>
      </c>
      <c r="F61" s="2"/>
      <c r="G61" s="2"/>
      <c r="H61" s="2"/>
      <c r="I61" s="2"/>
      <c r="J61" s="2"/>
      <c r="K61" s="2"/>
    </row>
    <row r="62" spans="1:11" x14ac:dyDescent="0.25">
      <c r="A62" s="8" t="s">
        <v>1651</v>
      </c>
      <c r="B62" s="2">
        <v>1000</v>
      </c>
      <c r="C62" s="2">
        <v>1000</v>
      </c>
      <c r="D62" s="2">
        <v>0</v>
      </c>
      <c r="E62" s="2">
        <v>0</v>
      </c>
      <c r="F62" s="2"/>
      <c r="G62" s="2"/>
      <c r="H62" s="2"/>
      <c r="I62" s="2"/>
      <c r="J62" s="2"/>
      <c r="K62" s="2"/>
    </row>
    <row r="63" spans="1:11" x14ac:dyDescent="0.25">
      <c r="A63" s="8" t="s">
        <v>952</v>
      </c>
      <c r="B63" s="2">
        <v>1000</v>
      </c>
      <c r="C63" s="2">
        <v>1000</v>
      </c>
      <c r="D63" s="2">
        <v>1000</v>
      </c>
      <c r="E63" s="2">
        <v>1000</v>
      </c>
      <c r="F63" s="2"/>
      <c r="G63" s="80"/>
      <c r="H63" s="80"/>
      <c r="I63" s="80"/>
      <c r="J63" s="80"/>
      <c r="K63" s="80"/>
    </row>
    <row r="64" spans="1:11" x14ac:dyDescent="0.25">
      <c r="A64" s="8" t="s">
        <v>1425</v>
      </c>
      <c r="B64" s="2">
        <v>15000</v>
      </c>
      <c r="C64" s="2">
        <v>15000</v>
      </c>
      <c r="D64" s="2">
        <v>15000</v>
      </c>
      <c r="E64" s="2">
        <v>15000</v>
      </c>
      <c r="F64" s="2"/>
      <c r="G64" s="2"/>
      <c r="H64" s="2"/>
      <c r="I64" s="2"/>
      <c r="J64" s="2"/>
      <c r="K64" s="2"/>
    </row>
    <row r="65" spans="1:11" x14ac:dyDescent="0.25">
      <c r="A65" s="8" t="s">
        <v>415</v>
      </c>
      <c r="B65" s="2">
        <v>3000</v>
      </c>
      <c r="C65" s="2">
        <v>3000</v>
      </c>
      <c r="D65" s="2">
        <v>5000</v>
      </c>
      <c r="E65" s="2">
        <v>3350</v>
      </c>
      <c r="F65" s="2"/>
      <c r="G65" s="2"/>
      <c r="H65" s="2"/>
      <c r="I65" s="2"/>
      <c r="J65" s="2"/>
      <c r="K65" s="2"/>
    </row>
    <row r="66" spans="1:11" x14ac:dyDescent="0.25">
      <c r="A66" s="8" t="s">
        <v>98</v>
      </c>
      <c r="B66" s="2">
        <v>5000</v>
      </c>
      <c r="C66" s="2">
        <v>5000</v>
      </c>
      <c r="D66" s="2">
        <v>5000</v>
      </c>
      <c r="E66" s="2">
        <v>5000</v>
      </c>
      <c r="F66" s="2"/>
      <c r="G66" s="2"/>
      <c r="H66" s="2"/>
      <c r="I66" s="2"/>
      <c r="J66" s="2"/>
      <c r="K66" s="2"/>
    </row>
    <row r="67" spans="1:11" x14ac:dyDescent="0.25">
      <c r="A67" s="8" t="s">
        <v>99</v>
      </c>
      <c r="B67" s="2">
        <v>3000</v>
      </c>
      <c r="C67" s="2">
        <v>3000</v>
      </c>
      <c r="D67" s="2">
        <v>3500</v>
      </c>
      <c r="E67" s="2">
        <v>3100</v>
      </c>
      <c r="F67" s="2"/>
      <c r="G67" s="2"/>
      <c r="H67" s="2"/>
      <c r="I67" s="2"/>
      <c r="J67" s="2"/>
      <c r="K67" s="2"/>
    </row>
    <row r="68" spans="1:11" x14ac:dyDescent="0.25">
      <c r="A68" s="8" t="s">
        <v>943</v>
      </c>
      <c r="B68" s="2">
        <v>5000</v>
      </c>
      <c r="C68" s="2">
        <v>5000</v>
      </c>
      <c r="D68" s="2">
        <v>5000</v>
      </c>
      <c r="E68" s="2">
        <v>5000</v>
      </c>
      <c r="F68" s="2"/>
      <c r="G68" s="2"/>
      <c r="H68" s="2"/>
      <c r="I68" s="2"/>
      <c r="J68" s="2"/>
      <c r="K68" s="2"/>
    </row>
    <row r="69" spans="1:11" x14ac:dyDescent="0.25">
      <c r="A69" s="8" t="s">
        <v>1372</v>
      </c>
      <c r="B69" s="2">
        <v>5000</v>
      </c>
      <c r="C69" s="2">
        <v>5000</v>
      </c>
      <c r="D69" s="2">
        <v>5500</v>
      </c>
      <c r="E69" s="2">
        <v>5100</v>
      </c>
      <c r="F69" s="2"/>
      <c r="G69" s="2"/>
      <c r="H69" s="2"/>
      <c r="I69" s="2"/>
      <c r="J69" s="2"/>
      <c r="K69" s="2"/>
    </row>
    <row r="70" spans="1:11" x14ac:dyDescent="0.25">
      <c r="A70" s="8" t="s">
        <v>100</v>
      </c>
      <c r="B70" s="2">
        <v>1000</v>
      </c>
      <c r="C70" s="2">
        <v>1000</v>
      </c>
      <c r="D70" s="2">
        <v>1500</v>
      </c>
      <c r="E70" s="2">
        <v>1000</v>
      </c>
      <c r="F70" s="2"/>
      <c r="G70" s="2"/>
      <c r="H70" s="2"/>
      <c r="I70" s="2"/>
      <c r="J70" s="2"/>
      <c r="K70" s="2"/>
    </row>
    <row r="71" spans="1:11" x14ac:dyDescent="0.25">
      <c r="A71" s="8" t="s">
        <v>944</v>
      </c>
      <c r="B71" s="2">
        <v>13000</v>
      </c>
      <c r="C71" s="2">
        <v>13000</v>
      </c>
      <c r="D71" s="2">
        <v>13760</v>
      </c>
      <c r="E71" s="3">
        <v>13100</v>
      </c>
      <c r="F71" s="2"/>
      <c r="G71" s="2"/>
      <c r="H71" s="2"/>
      <c r="I71" s="2"/>
      <c r="J71" s="2"/>
      <c r="K71" s="2"/>
    </row>
    <row r="72" spans="1:11" ht="15" x14ac:dyDescent="0.4">
      <c r="A72" s="8" t="s">
        <v>527</v>
      </c>
      <c r="B72" s="12">
        <v>3000</v>
      </c>
      <c r="C72" s="12">
        <v>3000</v>
      </c>
      <c r="D72" s="12">
        <v>3000</v>
      </c>
      <c r="E72" s="33">
        <v>3000</v>
      </c>
      <c r="F72" s="2"/>
      <c r="G72" s="2"/>
      <c r="H72" s="2"/>
      <c r="I72" s="2"/>
      <c r="J72" s="2"/>
      <c r="K72" s="2"/>
    </row>
    <row r="73" spans="1:11" x14ac:dyDescent="0.25">
      <c r="A73" s="8" t="s">
        <v>1279</v>
      </c>
      <c r="B73" s="2">
        <f>SUM(B57:B72)</f>
        <v>74000</v>
      </c>
      <c r="C73" s="2">
        <f>SUM(C57:C72)</f>
        <v>74000</v>
      </c>
      <c r="D73" s="2">
        <f>SUM(D57:D72)</f>
        <v>120386</v>
      </c>
      <c r="E73" s="2">
        <f>SUM(E57:E72)</f>
        <v>74000</v>
      </c>
      <c r="F73" s="2"/>
      <c r="G73" s="2"/>
      <c r="H73" s="2"/>
      <c r="I73" s="2"/>
      <c r="J73" s="2"/>
      <c r="K73" s="2"/>
    </row>
    <row r="74" spans="1:11" x14ac:dyDescent="0.25">
      <c r="B74" s="2"/>
      <c r="C74" s="2"/>
      <c r="D74" s="2"/>
      <c r="E74" s="2"/>
      <c r="F74" s="2"/>
      <c r="G74" s="2"/>
      <c r="H74" s="2"/>
      <c r="I74" s="2"/>
      <c r="J74" s="2"/>
      <c r="K74" s="2"/>
    </row>
    <row r="75" spans="1:11" x14ac:dyDescent="0.25">
      <c r="A75" s="8" t="s">
        <v>981</v>
      </c>
      <c r="C75" s="32" t="s">
        <v>417</v>
      </c>
      <c r="D75" s="32"/>
      <c r="E75" s="9" t="s">
        <v>417</v>
      </c>
      <c r="F75" s="2">
        <v>31263</v>
      </c>
      <c r="G75" s="2">
        <v>30000</v>
      </c>
      <c r="H75" s="2">
        <v>30561</v>
      </c>
      <c r="I75" s="2">
        <v>30561</v>
      </c>
      <c r="J75" s="2">
        <v>30561</v>
      </c>
      <c r="K75" s="2">
        <v>30561</v>
      </c>
    </row>
    <row r="76" spans="1:11" x14ac:dyDescent="0.25">
      <c r="A76" s="8" t="s">
        <v>982</v>
      </c>
      <c r="C76" s="32" t="s">
        <v>417</v>
      </c>
      <c r="D76" s="32"/>
      <c r="E76" s="9" t="s">
        <v>417</v>
      </c>
      <c r="F76" s="2">
        <v>1208</v>
      </c>
      <c r="G76" s="2">
        <v>2500</v>
      </c>
      <c r="H76" s="2">
        <v>2500</v>
      </c>
      <c r="I76" s="2">
        <v>2500</v>
      </c>
      <c r="J76" s="2">
        <v>2500</v>
      </c>
      <c r="K76" s="2">
        <v>2500</v>
      </c>
    </row>
    <row r="77" spans="1:11" x14ac:dyDescent="0.25">
      <c r="A77" s="8" t="s">
        <v>760</v>
      </c>
      <c r="C77" s="32" t="s">
        <v>417</v>
      </c>
      <c r="D77" s="32"/>
      <c r="E77" s="9" t="s">
        <v>417</v>
      </c>
      <c r="F77" s="2">
        <v>9</v>
      </c>
      <c r="G77" s="2">
        <v>200</v>
      </c>
      <c r="H77" s="2">
        <v>200</v>
      </c>
      <c r="I77" s="2">
        <v>200</v>
      </c>
      <c r="J77" s="2">
        <v>200</v>
      </c>
      <c r="K77" s="2">
        <v>200</v>
      </c>
    </row>
    <row r="78" spans="1:11" x14ac:dyDescent="0.25">
      <c r="A78" s="8" t="s">
        <v>761</v>
      </c>
      <c r="C78" s="32" t="s">
        <v>417</v>
      </c>
      <c r="D78" s="32"/>
      <c r="E78" s="9" t="s">
        <v>417</v>
      </c>
      <c r="F78" s="2">
        <v>0</v>
      </c>
      <c r="G78" s="2">
        <v>900</v>
      </c>
      <c r="H78" s="2">
        <v>900</v>
      </c>
      <c r="I78" s="2">
        <v>900</v>
      </c>
      <c r="J78" s="2">
        <v>900</v>
      </c>
      <c r="K78" s="2">
        <v>900</v>
      </c>
    </row>
    <row r="79" spans="1:11" x14ac:dyDescent="0.25">
      <c r="A79" s="8" t="s">
        <v>983</v>
      </c>
      <c r="C79" s="32" t="s">
        <v>417</v>
      </c>
      <c r="D79" s="32"/>
      <c r="E79" s="9" t="s">
        <v>417</v>
      </c>
      <c r="F79" s="2">
        <v>10</v>
      </c>
      <c r="G79" s="2">
        <v>70</v>
      </c>
      <c r="H79" s="2">
        <v>70</v>
      </c>
      <c r="I79" s="2">
        <v>70</v>
      </c>
      <c r="J79" s="2">
        <v>70</v>
      </c>
      <c r="K79" s="2">
        <v>70</v>
      </c>
    </row>
    <row r="80" spans="1:11" x14ac:dyDescent="0.25">
      <c r="A80" s="8" t="s">
        <v>984</v>
      </c>
      <c r="C80" s="32" t="s">
        <v>417</v>
      </c>
      <c r="D80" s="32"/>
      <c r="E80" s="9" t="s">
        <v>417</v>
      </c>
      <c r="F80" s="2">
        <v>0</v>
      </c>
      <c r="G80" s="2">
        <v>50</v>
      </c>
      <c r="H80" s="2">
        <v>50</v>
      </c>
      <c r="I80" s="2">
        <v>50</v>
      </c>
      <c r="J80" s="2">
        <v>50</v>
      </c>
      <c r="K80" s="2">
        <v>50</v>
      </c>
    </row>
    <row r="81" spans="1:11" x14ac:dyDescent="0.25">
      <c r="A81" s="8" t="s">
        <v>985</v>
      </c>
      <c r="C81" s="32" t="s">
        <v>417</v>
      </c>
      <c r="D81" s="32"/>
      <c r="E81" s="9" t="s">
        <v>417</v>
      </c>
      <c r="F81" s="2">
        <v>62</v>
      </c>
      <c r="G81" s="2">
        <v>300</v>
      </c>
      <c r="H81" s="2">
        <v>300</v>
      </c>
      <c r="I81" s="2">
        <v>300</v>
      </c>
      <c r="J81" s="2">
        <v>300</v>
      </c>
      <c r="K81" s="2">
        <v>300</v>
      </c>
    </row>
    <row r="82" spans="1:11" x14ac:dyDescent="0.25">
      <c r="A82" s="8" t="s">
        <v>986</v>
      </c>
      <c r="C82" s="32" t="s">
        <v>417</v>
      </c>
      <c r="D82" s="32"/>
      <c r="E82" s="9" t="s">
        <v>417</v>
      </c>
      <c r="F82" s="2">
        <v>0</v>
      </c>
      <c r="G82" s="2">
        <v>1</v>
      </c>
      <c r="H82" s="2">
        <v>1</v>
      </c>
      <c r="I82" s="2">
        <v>1</v>
      </c>
      <c r="J82" s="2">
        <v>1</v>
      </c>
      <c r="K82" s="2">
        <v>1</v>
      </c>
    </row>
    <row r="83" spans="1:11" x14ac:dyDescent="0.25">
      <c r="A83" s="8" t="s">
        <v>1334</v>
      </c>
      <c r="C83" s="32"/>
      <c r="D83" s="32"/>
      <c r="E83" s="9"/>
      <c r="F83" s="2">
        <v>35</v>
      </c>
      <c r="G83" s="2">
        <v>500</v>
      </c>
      <c r="H83" s="2">
        <v>500</v>
      </c>
      <c r="I83" s="2">
        <v>500</v>
      </c>
      <c r="J83" s="2">
        <v>500</v>
      </c>
      <c r="K83" s="2">
        <v>500</v>
      </c>
    </row>
    <row r="84" spans="1:11" x14ac:dyDescent="0.25">
      <c r="A84" s="8" t="s">
        <v>156</v>
      </c>
      <c r="C84" s="32" t="s">
        <v>417</v>
      </c>
      <c r="D84" s="32"/>
      <c r="E84" s="9" t="s">
        <v>417</v>
      </c>
      <c r="F84" s="2">
        <v>47</v>
      </c>
      <c r="G84" s="2">
        <v>500</v>
      </c>
      <c r="H84" s="2">
        <v>500</v>
      </c>
      <c r="I84" s="2">
        <v>500</v>
      </c>
      <c r="J84" s="2">
        <v>500</v>
      </c>
      <c r="K84" s="2">
        <v>500</v>
      </c>
    </row>
    <row r="85" spans="1:11" x14ac:dyDescent="0.25">
      <c r="A85" s="8" t="s">
        <v>769</v>
      </c>
      <c r="C85" s="32"/>
      <c r="D85" s="32"/>
      <c r="E85" s="9"/>
      <c r="F85" s="2">
        <v>0</v>
      </c>
      <c r="G85" s="2">
        <v>1</v>
      </c>
      <c r="H85" s="2">
        <v>1</v>
      </c>
      <c r="I85" s="2">
        <v>1</v>
      </c>
      <c r="J85" s="2">
        <v>1</v>
      </c>
      <c r="K85" s="2">
        <v>1</v>
      </c>
    </row>
    <row r="86" spans="1:11" x14ac:dyDescent="0.25">
      <c r="A86" s="8" t="s">
        <v>289</v>
      </c>
      <c r="C86" s="32" t="s">
        <v>417</v>
      </c>
      <c r="D86" s="32"/>
      <c r="E86" s="9" t="s">
        <v>417</v>
      </c>
      <c r="F86" s="2">
        <v>0</v>
      </c>
      <c r="G86" s="2">
        <v>1</v>
      </c>
      <c r="H86" s="2">
        <v>1</v>
      </c>
      <c r="I86" s="2">
        <v>1</v>
      </c>
      <c r="J86" s="2">
        <v>1</v>
      </c>
      <c r="K86" s="2">
        <v>1</v>
      </c>
    </row>
    <row r="87" spans="1:11" x14ac:dyDescent="0.25">
      <c r="A87" s="8" t="s">
        <v>290</v>
      </c>
      <c r="C87" s="32"/>
      <c r="D87" s="32"/>
      <c r="E87" s="9"/>
      <c r="F87" s="2">
        <v>0</v>
      </c>
      <c r="G87" s="2">
        <v>1000</v>
      </c>
      <c r="H87" s="2">
        <v>1000</v>
      </c>
      <c r="I87" s="2">
        <v>1000</v>
      </c>
      <c r="J87" s="2">
        <v>1000</v>
      </c>
      <c r="K87" s="2">
        <v>1000</v>
      </c>
    </row>
    <row r="88" spans="1:11" x14ac:dyDescent="0.25">
      <c r="A88" s="8" t="s">
        <v>1051</v>
      </c>
      <c r="C88" s="32"/>
      <c r="D88" s="32"/>
      <c r="E88" s="9"/>
      <c r="F88" s="2">
        <v>0</v>
      </c>
      <c r="G88" s="2">
        <v>1000</v>
      </c>
      <c r="H88" s="2">
        <v>1000</v>
      </c>
      <c r="I88" s="2">
        <v>1000</v>
      </c>
      <c r="J88" s="2">
        <v>1000</v>
      </c>
      <c r="K88" s="2">
        <v>1000</v>
      </c>
    </row>
    <row r="89" spans="1:11" x14ac:dyDescent="0.25">
      <c r="A89" s="8" t="s">
        <v>1477</v>
      </c>
      <c r="C89" s="32"/>
      <c r="D89" s="32"/>
      <c r="E89" s="9"/>
      <c r="F89" s="2">
        <v>0</v>
      </c>
      <c r="G89" s="2">
        <v>1000</v>
      </c>
      <c r="H89" s="2">
        <v>1</v>
      </c>
      <c r="I89" s="2">
        <v>1</v>
      </c>
      <c r="J89" s="2">
        <v>1</v>
      </c>
      <c r="K89" s="2">
        <v>1</v>
      </c>
    </row>
    <row r="90" spans="1:11" ht="15" x14ac:dyDescent="0.4">
      <c r="A90" s="8" t="s">
        <v>695</v>
      </c>
      <c r="C90" s="32" t="s">
        <v>417</v>
      </c>
      <c r="D90" s="32"/>
      <c r="E90" s="9" t="s">
        <v>417</v>
      </c>
      <c r="F90" s="12">
        <v>0</v>
      </c>
      <c r="G90" s="12">
        <v>1</v>
      </c>
      <c r="H90" s="12">
        <v>1</v>
      </c>
      <c r="I90" s="12">
        <v>1</v>
      </c>
      <c r="J90" s="12">
        <v>1</v>
      </c>
      <c r="K90" s="12">
        <v>1</v>
      </c>
    </row>
    <row r="91" spans="1:11" x14ac:dyDescent="0.25">
      <c r="A91" s="8" t="s">
        <v>417</v>
      </c>
      <c r="C91" s="32" t="s">
        <v>417</v>
      </c>
      <c r="D91" s="32"/>
      <c r="E91" s="2" t="s">
        <v>417</v>
      </c>
      <c r="G91" s="2"/>
      <c r="H91" s="2"/>
      <c r="I91" s="2"/>
      <c r="J91" s="2"/>
      <c r="K91" s="2"/>
    </row>
    <row r="92" spans="1:11" x14ac:dyDescent="0.25">
      <c r="A92" s="8" t="s">
        <v>1366</v>
      </c>
      <c r="E92" s="2"/>
      <c r="F92" s="2">
        <f t="shared" ref="F92:I92" si="0">SUM(F6:F90)</f>
        <v>148995</v>
      </c>
      <c r="G92" s="2">
        <f t="shared" si="0"/>
        <v>157509</v>
      </c>
      <c r="H92" s="2">
        <f t="shared" si="0"/>
        <v>156268</v>
      </c>
      <c r="I92" s="2">
        <f t="shared" si="0"/>
        <v>156235</v>
      </c>
      <c r="J92" s="2">
        <f>SUM(J6:J90)</f>
        <v>156235</v>
      </c>
      <c r="K92" s="2">
        <f>SUM(K6:K90)</f>
        <v>157378</v>
      </c>
    </row>
    <row r="93" spans="1:11" x14ac:dyDescent="0.25">
      <c r="J93" s="209"/>
      <c r="K93" s="213"/>
    </row>
    <row r="94" spans="1:11" x14ac:dyDescent="0.25">
      <c r="A94" s="8" t="s">
        <v>1001</v>
      </c>
      <c r="F94" s="2">
        <f t="shared" ref="F94:I94" si="1">SUM(F6:F17)</f>
        <v>38196</v>
      </c>
      <c r="G94" s="2">
        <f t="shared" si="1"/>
        <v>41400</v>
      </c>
      <c r="H94" s="2">
        <f t="shared" si="1"/>
        <v>40358</v>
      </c>
      <c r="I94" s="2">
        <f t="shared" si="1"/>
        <v>40358</v>
      </c>
      <c r="J94" s="2">
        <f>SUM(J6:J17)</f>
        <v>40358</v>
      </c>
      <c r="K94" s="2">
        <f>SUM(K6:K17)</f>
        <v>41501</v>
      </c>
    </row>
    <row r="95" spans="1:11" x14ac:dyDescent="0.25">
      <c r="A95" s="8" t="s">
        <v>975</v>
      </c>
      <c r="F95" s="2">
        <f t="shared" ref="F95:I95" si="2">SUM(F56:F90)+SUM(F19:F52)</f>
        <v>110799</v>
      </c>
      <c r="G95" s="2">
        <f t="shared" si="2"/>
        <v>116109</v>
      </c>
      <c r="H95" s="2">
        <f t="shared" si="2"/>
        <v>115910</v>
      </c>
      <c r="I95" s="2">
        <f t="shared" si="2"/>
        <v>115877</v>
      </c>
      <c r="J95" s="2">
        <f>SUM(J56:J90)+SUM(J19:J52)</f>
        <v>115877</v>
      </c>
      <c r="K95" s="2">
        <f>SUM(K56:K90)+SUM(K19:K52)</f>
        <v>115877</v>
      </c>
    </row>
    <row r="96" spans="1:11" x14ac:dyDescent="0.25">
      <c r="A96" s="8" t="s">
        <v>976</v>
      </c>
      <c r="F96" s="19">
        <f t="shared" ref="F96:I96" si="3">+F53</f>
        <v>0</v>
      </c>
      <c r="G96" s="19">
        <f t="shared" si="3"/>
        <v>0</v>
      </c>
      <c r="H96" s="19">
        <f t="shared" si="3"/>
        <v>0</v>
      </c>
      <c r="I96" s="19">
        <f t="shared" si="3"/>
        <v>0</v>
      </c>
      <c r="J96" s="19">
        <f>+J53</f>
        <v>0</v>
      </c>
      <c r="K96" s="19">
        <f>+K53</f>
        <v>0</v>
      </c>
    </row>
    <row r="97" spans="1:11" x14ac:dyDescent="0.25">
      <c r="A97" s="8" t="s">
        <v>1279</v>
      </c>
      <c r="F97" s="2">
        <f t="shared" ref="F97:I97" si="4">SUM(F94:F96)</f>
        <v>148995</v>
      </c>
      <c r="G97" s="2">
        <f t="shared" si="4"/>
        <v>157509</v>
      </c>
      <c r="H97" s="2">
        <f t="shared" si="4"/>
        <v>156268</v>
      </c>
      <c r="I97" s="2">
        <f t="shared" si="4"/>
        <v>156235</v>
      </c>
      <c r="J97" s="2">
        <f>SUM(J94:J96)</f>
        <v>156235</v>
      </c>
      <c r="K97" s="2">
        <f>SUM(K94:K96)</f>
        <v>157378</v>
      </c>
    </row>
    <row r="98" spans="1:11" x14ac:dyDescent="0.25">
      <c r="J98" s="209"/>
      <c r="K98" s="213"/>
    </row>
    <row r="99" spans="1:11" x14ac:dyDescent="0.25">
      <c r="J99" s="209"/>
      <c r="K99" s="213"/>
    </row>
    <row r="100" spans="1:11" x14ac:dyDescent="0.25">
      <c r="J100" s="209"/>
      <c r="K100" s="213"/>
    </row>
    <row r="101" spans="1:11" x14ac:dyDescent="0.25">
      <c r="J101" s="209"/>
      <c r="K101" s="213"/>
    </row>
    <row r="102" spans="1:11" x14ac:dyDescent="0.25">
      <c r="F102" s="2"/>
      <c r="J102" s="209"/>
      <c r="K102" s="213"/>
    </row>
    <row r="103" spans="1:11" x14ac:dyDescent="0.25">
      <c r="J103" s="209"/>
      <c r="K103" s="213"/>
    </row>
    <row r="104" spans="1:11" x14ac:dyDescent="0.25">
      <c r="J104" s="209"/>
      <c r="K104" s="213"/>
    </row>
    <row r="105" spans="1:11" x14ac:dyDescent="0.25">
      <c r="J105" s="209"/>
      <c r="K105" s="213"/>
    </row>
    <row r="106" spans="1:11" x14ac:dyDescent="0.25">
      <c r="J106" s="209"/>
      <c r="K106" s="213"/>
    </row>
    <row r="107" spans="1:11" x14ac:dyDescent="0.25">
      <c r="J107" s="209"/>
      <c r="K107" s="213"/>
    </row>
    <row r="108" spans="1:11" x14ac:dyDescent="0.25">
      <c r="J108" s="209"/>
      <c r="K108" s="213"/>
    </row>
    <row r="109" spans="1:11" x14ac:dyDescent="0.25">
      <c r="J109" s="209"/>
      <c r="K109" s="213"/>
    </row>
    <row r="110" spans="1:11" x14ac:dyDescent="0.25">
      <c r="J110" s="209"/>
      <c r="K110" s="213"/>
    </row>
    <row r="111" spans="1:11" x14ac:dyDescent="0.25">
      <c r="J111" s="209"/>
      <c r="K111" s="213"/>
    </row>
    <row r="112" spans="1:11" x14ac:dyDescent="0.25">
      <c r="J112" s="209"/>
      <c r="K112" s="213"/>
    </row>
    <row r="113" spans="10:11" x14ac:dyDescent="0.25">
      <c r="J113" s="209"/>
      <c r="K113" s="213"/>
    </row>
    <row r="114" spans="10:11" x14ac:dyDescent="0.25">
      <c r="K114" s="213"/>
    </row>
    <row r="115" spans="10:11" x14ac:dyDescent="0.25">
      <c r="K115" s="213"/>
    </row>
    <row r="116" spans="10:11" x14ac:dyDescent="0.25">
      <c r="K116" s="213"/>
    </row>
    <row r="117" spans="10:11" x14ac:dyDescent="0.25">
      <c r="K117" s="213"/>
    </row>
    <row r="118" spans="10:11" x14ac:dyDescent="0.25">
      <c r="K118" s="213"/>
    </row>
    <row r="119" spans="10:11" x14ac:dyDescent="0.25">
      <c r="K119" s="213"/>
    </row>
    <row r="120" spans="10:11" x14ac:dyDescent="0.25">
      <c r="K120" s="213"/>
    </row>
    <row r="121" spans="10:11" x14ac:dyDescent="0.25">
      <c r="K121" s="213"/>
    </row>
    <row r="122" spans="10:11" x14ac:dyDescent="0.25">
      <c r="K122" s="213"/>
    </row>
    <row r="123" spans="10:11" x14ac:dyDescent="0.25">
      <c r="K123" s="213"/>
    </row>
    <row r="124" spans="10:11" x14ac:dyDescent="0.25">
      <c r="K124" s="213"/>
    </row>
    <row r="125" spans="10:11" x14ac:dyDescent="0.25">
      <c r="K125" s="213"/>
    </row>
    <row r="126" spans="10:11" x14ac:dyDescent="0.25">
      <c r="K126" s="213"/>
    </row>
    <row r="127" spans="10:11" x14ac:dyDescent="0.25">
      <c r="K127" s="213"/>
    </row>
    <row r="128" spans="10:11" x14ac:dyDescent="0.25">
      <c r="K128" s="213"/>
    </row>
    <row r="129" spans="11:11" x14ac:dyDescent="0.25">
      <c r="K129" s="213"/>
    </row>
    <row r="130" spans="11:11" x14ac:dyDescent="0.25">
      <c r="K130" s="213"/>
    </row>
    <row r="131" spans="11:11" x14ac:dyDescent="0.25">
      <c r="K131" s="213"/>
    </row>
    <row r="132" spans="11:11" x14ac:dyDescent="0.25">
      <c r="K132" s="213"/>
    </row>
    <row r="133" spans="11:11" x14ac:dyDescent="0.25">
      <c r="K133" s="213"/>
    </row>
    <row r="134" spans="11:11" x14ac:dyDescent="0.25">
      <c r="K134" s="213"/>
    </row>
    <row r="135" spans="11:11" x14ac:dyDescent="0.25">
      <c r="K135" s="213"/>
    </row>
    <row r="136" spans="11:11" x14ac:dyDescent="0.25">
      <c r="K136" s="213"/>
    </row>
    <row r="137" spans="11:11" x14ac:dyDescent="0.25">
      <c r="K137" s="213"/>
    </row>
    <row r="138" spans="11:11" x14ac:dyDescent="0.25">
      <c r="K138" s="213"/>
    </row>
    <row r="139" spans="11:11" x14ac:dyDescent="0.25">
      <c r="K139" s="213"/>
    </row>
    <row r="140" spans="11:11" x14ac:dyDescent="0.25">
      <c r="K140" s="213"/>
    </row>
    <row r="141" spans="11:11" x14ac:dyDescent="0.25">
      <c r="K141" s="213"/>
    </row>
    <row r="142" spans="11:11" x14ac:dyDescent="0.25">
      <c r="K142" s="213"/>
    </row>
  </sheetData>
  <mergeCells count="2">
    <mergeCell ref="D55:E55"/>
    <mergeCell ref="A1:J1"/>
  </mergeCells>
  <phoneticPr fontId="0" type="noConversion"/>
  <printOptions gridLines="1"/>
  <pageMargins left="0.75" right="0.16" top="0.51" bottom="0.16" header="0.5" footer="0.5"/>
  <pageSetup scale="81" fitToHeight="3" orientation="landscape" r:id="rId1"/>
  <headerFooter alignWithMargins="0"/>
  <rowBreaks count="1" manualBreakCount="1">
    <brk id="54"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N69"/>
  <sheetViews>
    <sheetView view="pageBreakPreview" topLeftCell="A6" zoomScaleNormal="100" zoomScaleSheetLayoutView="100" workbookViewId="0">
      <selection activeCell="G29" sqref="G29"/>
    </sheetView>
  </sheetViews>
  <sheetFormatPr defaultRowHeight="13.2" x14ac:dyDescent="0.25"/>
  <cols>
    <col min="1" max="1" width="53.88671875" style="8" bestFit="1" customWidth="1"/>
    <col min="2" max="3" width="11.21875" style="8" bestFit="1" customWidth="1"/>
    <col min="4" max="4" width="11.6640625" style="8" bestFit="1" customWidth="1"/>
    <col min="5" max="7" width="11.21875" style="8" bestFit="1" customWidth="1"/>
    <col min="8" max="8" width="0" style="8" hidden="1" customWidth="1"/>
    <col min="9" max="9" width="9" style="8" bestFit="1" customWidth="1"/>
    <col min="10" max="16384" width="8.88671875" style="8"/>
  </cols>
  <sheetData>
    <row r="1" spans="1:10" x14ac:dyDescent="0.25">
      <c r="A1" s="217" t="s">
        <v>1972</v>
      </c>
      <c r="B1" s="217"/>
      <c r="C1" s="217"/>
      <c r="D1" s="217"/>
      <c r="E1" s="217"/>
      <c r="F1" s="217"/>
      <c r="G1" s="217"/>
      <c r="H1" s="7"/>
      <c r="I1" s="7"/>
      <c r="J1" s="7"/>
    </row>
    <row r="2" spans="1:10" ht="17.399999999999999" x14ac:dyDescent="0.3">
      <c r="A2" s="202" t="s">
        <v>2254</v>
      </c>
      <c r="B2" s="202"/>
      <c r="C2" s="202"/>
      <c r="D2" s="202"/>
      <c r="E2" s="202"/>
      <c r="F2" s="202"/>
      <c r="G2" s="202"/>
    </row>
    <row r="3" spans="1:10" x14ac:dyDescent="0.25">
      <c r="B3" s="2"/>
      <c r="C3" s="2"/>
    </row>
    <row r="4" spans="1:10" ht="26.4" x14ac:dyDescent="0.25">
      <c r="B4" s="9" t="s">
        <v>251</v>
      </c>
      <c r="C4" s="9" t="s">
        <v>252</v>
      </c>
      <c r="D4" s="9" t="s">
        <v>73</v>
      </c>
      <c r="E4" s="162" t="s">
        <v>430</v>
      </c>
      <c r="F4" s="2" t="s">
        <v>330</v>
      </c>
      <c r="G4" s="2" t="s">
        <v>364</v>
      </c>
    </row>
    <row r="5" spans="1:10" ht="15" x14ac:dyDescent="0.4">
      <c r="B5" s="10" t="s">
        <v>1684</v>
      </c>
      <c r="C5" s="10" t="s">
        <v>1874</v>
      </c>
      <c r="D5" s="10" t="s">
        <v>1944</v>
      </c>
      <c r="E5" s="10" t="s">
        <v>1944</v>
      </c>
      <c r="F5" s="10" t="s">
        <v>1944</v>
      </c>
      <c r="G5" s="10" t="s">
        <v>1944</v>
      </c>
    </row>
    <row r="6" spans="1:10" ht="13.8" x14ac:dyDescent="0.3">
      <c r="A6" s="11" t="s">
        <v>291</v>
      </c>
      <c r="B6" s="2">
        <v>0</v>
      </c>
      <c r="C6" s="2">
        <v>1</v>
      </c>
      <c r="D6" s="2">
        <v>1</v>
      </c>
      <c r="E6" s="2">
        <v>1</v>
      </c>
      <c r="F6" s="2">
        <v>1</v>
      </c>
      <c r="G6" s="2">
        <v>1</v>
      </c>
      <c r="I6" s="2"/>
    </row>
    <row r="7" spans="1:10" x14ac:dyDescent="0.25">
      <c r="A7" s="8" t="s">
        <v>286</v>
      </c>
      <c r="B7" s="2"/>
      <c r="C7" s="2"/>
      <c r="D7" s="2"/>
      <c r="E7" s="2"/>
      <c r="F7" s="2"/>
      <c r="G7" s="2"/>
      <c r="I7" s="2"/>
    </row>
    <row r="8" spans="1:10" x14ac:dyDescent="0.25">
      <c r="A8" s="8" t="s">
        <v>287</v>
      </c>
      <c r="B8" s="2"/>
      <c r="C8" s="2"/>
      <c r="D8" s="2"/>
      <c r="E8" s="2"/>
      <c r="F8" s="2"/>
      <c r="G8" s="2"/>
      <c r="I8" s="2"/>
    </row>
    <row r="9" spans="1:10" x14ac:dyDescent="0.25">
      <c r="B9" s="2"/>
      <c r="C9" s="2"/>
      <c r="D9" s="2"/>
      <c r="E9" s="2"/>
      <c r="F9" s="2"/>
      <c r="G9" s="2"/>
      <c r="I9" s="2"/>
    </row>
    <row r="10" spans="1:10" ht="13.8" x14ac:dyDescent="0.3">
      <c r="A10" s="11" t="s">
        <v>1140</v>
      </c>
      <c r="B10" s="2">
        <v>21723</v>
      </c>
      <c r="C10" s="2">
        <v>7941</v>
      </c>
      <c r="D10" s="2">
        <v>0</v>
      </c>
      <c r="E10" s="2">
        <v>0</v>
      </c>
      <c r="F10" s="2">
        <v>0</v>
      </c>
      <c r="G10" s="2">
        <v>0</v>
      </c>
      <c r="I10" s="2"/>
    </row>
    <row r="11" spans="1:10" x14ac:dyDescent="0.25">
      <c r="A11" s="8" t="s">
        <v>829</v>
      </c>
      <c r="B11" s="2"/>
      <c r="C11" s="2"/>
      <c r="D11" s="2"/>
      <c r="E11" s="2"/>
      <c r="F11" s="2"/>
      <c r="G11" s="2"/>
      <c r="I11" s="2"/>
    </row>
    <row r="12" spans="1:10" x14ac:dyDescent="0.25">
      <c r="B12" s="2"/>
      <c r="C12" s="2"/>
      <c r="D12" s="2"/>
      <c r="E12" s="2"/>
      <c r="F12" s="2"/>
      <c r="G12" s="2"/>
      <c r="I12" s="2"/>
    </row>
    <row r="13" spans="1:10" ht="13.8" x14ac:dyDescent="0.3">
      <c r="A13" s="11" t="s">
        <v>686</v>
      </c>
      <c r="B13" s="2">
        <v>270000</v>
      </c>
      <c r="C13" s="2">
        <v>270000</v>
      </c>
      <c r="D13" s="2">
        <v>270000</v>
      </c>
      <c r="E13" s="2">
        <v>270000</v>
      </c>
      <c r="F13" s="2">
        <v>270000</v>
      </c>
      <c r="G13" s="2">
        <v>270000</v>
      </c>
      <c r="I13" s="2"/>
    </row>
    <row r="14" spans="1:10" x14ac:dyDescent="0.25">
      <c r="A14" s="8" t="s">
        <v>829</v>
      </c>
      <c r="B14" s="2"/>
      <c r="C14" s="2"/>
      <c r="D14" s="2"/>
      <c r="E14" s="2"/>
      <c r="F14" s="2"/>
      <c r="G14" s="2"/>
      <c r="I14" s="2"/>
    </row>
    <row r="15" spans="1:10" x14ac:dyDescent="0.25">
      <c r="B15" s="2"/>
      <c r="C15" s="2"/>
      <c r="D15" s="2"/>
      <c r="E15" s="2"/>
      <c r="F15" s="2"/>
      <c r="G15" s="2"/>
      <c r="I15" s="2"/>
    </row>
    <row r="16" spans="1:10" ht="13.8" x14ac:dyDescent="0.3">
      <c r="A16" s="11" t="s">
        <v>1393</v>
      </c>
      <c r="B16" s="2">
        <v>48150</v>
      </c>
      <c r="C16" s="2">
        <v>42525</v>
      </c>
      <c r="D16" s="2">
        <v>33365</v>
      </c>
      <c r="E16" s="2">
        <v>33365</v>
      </c>
      <c r="F16" s="2">
        <v>33365</v>
      </c>
      <c r="G16" s="2">
        <v>33365</v>
      </c>
      <c r="I16" s="2"/>
    </row>
    <row r="17" spans="1:14" x14ac:dyDescent="0.25">
      <c r="A17" s="8" t="s">
        <v>40</v>
      </c>
      <c r="B17" s="2"/>
      <c r="C17" s="2"/>
      <c r="D17" s="2"/>
      <c r="E17" s="2"/>
      <c r="F17" s="2"/>
      <c r="G17" s="2"/>
      <c r="I17" s="2"/>
    </row>
    <row r="18" spans="1:14" x14ac:dyDescent="0.25">
      <c r="B18" s="2"/>
      <c r="C18" s="2"/>
      <c r="D18" s="2"/>
      <c r="E18" s="2"/>
      <c r="F18" s="2"/>
      <c r="G18" s="2"/>
      <c r="I18" s="2"/>
    </row>
    <row r="19" spans="1:14" ht="13.8" x14ac:dyDescent="0.3">
      <c r="A19" s="11" t="s">
        <v>1394</v>
      </c>
      <c r="B19" s="19">
        <v>110000</v>
      </c>
      <c r="C19" s="19">
        <v>115000</v>
      </c>
      <c r="D19" s="19">
        <v>120000</v>
      </c>
      <c r="E19" s="19">
        <v>120000</v>
      </c>
      <c r="F19" s="19">
        <v>120000</v>
      </c>
      <c r="G19" s="19">
        <v>120000</v>
      </c>
      <c r="I19" s="2"/>
    </row>
    <row r="20" spans="1:14" x14ac:dyDescent="0.25">
      <c r="A20" s="8" t="s">
        <v>40</v>
      </c>
      <c r="F20" s="209"/>
      <c r="G20" s="213"/>
    </row>
    <row r="21" spans="1:14" x14ac:dyDescent="0.25">
      <c r="A21" s="62"/>
      <c r="B21" s="62"/>
      <c r="C21" s="62"/>
      <c r="D21" s="62"/>
      <c r="E21" s="62"/>
      <c r="F21" s="62"/>
      <c r="G21" s="62"/>
    </row>
    <row r="22" spans="1:14" x14ac:dyDescent="0.25">
      <c r="A22" s="8" t="s">
        <v>1391</v>
      </c>
      <c r="B22" s="2">
        <f t="shared" ref="B22:E22" si="0">SUM(B6:B19)</f>
        <v>449873</v>
      </c>
      <c r="C22" s="2">
        <f t="shared" si="0"/>
        <v>435467</v>
      </c>
      <c r="D22" s="2">
        <f t="shared" si="0"/>
        <v>423366</v>
      </c>
      <c r="E22" s="2">
        <f t="shared" si="0"/>
        <v>423366</v>
      </c>
      <c r="F22" s="2">
        <f>SUM(F6:F19)</f>
        <v>423366</v>
      </c>
      <c r="G22" s="2">
        <f>SUM(G6:G19)</f>
        <v>423366</v>
      </c>
    </row>
    <row r="23" spans="1:14" x14ac:dyDescent="0.25">
      <c r="B23" s="2"/>
      <c r="C23" s="2"/>
      <c r="D23" s="2"/>
      <c r="E23" s="2"/>
      <c r="F23" s="2"/>
      <c r="G23" s="2"/>
    </row>
    <row r="24" spans="1:14" x14ac:dyDescent="0.25">
      <c r="B24" s="2"/>
      <c r="C24" s="2"/>
      <c r="D24" s="2"/>
      <c r="E24" s="2"/>
      <c r="F24" s="2"/>
      <c r="G24" s="2"/>
    </row>
    <row r="25" spans="1:14" x14ac:dyDescent="0.25">
      <c r="A25" s="8" t="s">
        <v>2237</v>
      </c>
      <c r="B25" s="2">
        <f>+B22+'01-gen gov'!E272+'02-assessing'!E117+'03-fire'!E514+'04-police'!E302+'05-comm'!E139+'06-code enforcement'!E168+'07-pub works'!E115+'08-highway'!E344+'09-solid waste'!E213+'13-parks &amp; rec'!E258+'15-library'!E247+'16-equip mntc'!E128+'17-bldg &amp; grounds'!E139+'21-comm dev'!E155+'24-tax coll'!E141+'25-welfare'!F92</f>
        <v>26515709.25</v>
      </c>
      <c r="C25" s="2">
        <f>+C22+'01-gen gov'!F272+'02-assessing'!F117+'03-fire'!F514+'04-police'!F302+'05-comm'!F139+'06-code enforcement'!F168+'07-pub works'!F115+'08-highway'!F344+'09-solid waste'!F213+'13-parks &amp; rec'!F258+'15-library'!F247+'16-equip mntc'!F128+'17-bldg &amp; grounds'!F139+'21-comm dev'!F155+'24-tax coll'!F141+'25-welfare'!G92</f>
        <v>28660821</v>
      </c>
      <c r="D25" s="2">
        <f>+D22+'01-gen gov'!G272+'02-assessing'!G117+'03-fire'!G514+'04-police'!G302+'05-comm'!G139+'06-code enforcement'!G168+'07-pub works'!G115+'08-highway'!G344+'09-solid waste'!G213+'13-parks &amp; rec'!G258+'15-library'!G247+'16-equip mntc'!G128+'17-bldg &amp; grounds'!G139+'21-comm dev'!G155+'24-tax coll'!G141+'25-welfare'!H92</f>
        <v>29546008.905373961</v>
      </c>
      <c r="E25" s="2">
        <f>+E22+'01-gen gov'!H272+'02-assessing'!H117+'03-fire'!H514+'04-police'!H302+'05-comm'!H139+'06-code enforcement'!H168+'07-pub works'!H115+'08-highway'!H344+'09-solid waste'!H213+'13-parks &amp; rec'!H258+'15-library'!H247+'16-equip mntc'!H128+'17-bldg &amp; grounds'!H139+'21-comm dev'!H155+'24-tax coll'!H141+'25-welfare'!I92</f>
        <v>28641434.199999999</v>
      </c>
      <c r="F25" s="2">
        <f>+F22+'01-gen gov'!I272+'02-assessing'!I117+'03-fire'!I514+'04-police'!I302+'05-comm'!I139+'06-code enforcement'!I168+'07-pub works'!I115+'08-highway'!I344+'09-solid waste'!I213+'13-parks &amp; rec'!I258+'15-library'!I247+'16-equip mntc'!I128+'17-bldg &amp; grounds'!I139+'21-comm dev'!I155+'24-tax coll'!I141+'25-welfare'!J92</f>
        <v>28813168.199999999</v>
      </c>
      <c r="G25" s="2">
        <f>+G22+'01-gen gov'!J272+'02-assessing'!J117+'03-fire'!J514+'04-police'!J302+'05-comm'!J139+'06-code enforcement'!J168+'07-pub works'!J115+'08-highway'!J344+'09-solid waste'!J213+'13-parks &amp; rec'!J258+'15-library'!J247+'16-equip mntc'!J128+'17-bldg &amp; grounds'!J139+'21-comm dev'!J155+'24-tax coll'!J141+'25-welfare'!K92</f>
        <v>28872143.199999999</v>
      </c>
    </row>
    <row r="26" spans="1:14" x14ac:dyDescent="0.25">
      <c r="B26" s="2"/>
      <c r="C26" s="2"/>
      <c r="D26" s="2"/>
      <c r="E26" s="2"/>
      <c r="F26" s="2"/>
      <c r="G26" s="2"/>
    </row>
    <row r="27" spans="1:14" x14ac:dyDescent="0.25">
      <c r="A27" s="8" t="s">
        <v>1001</v>
      </c>
      <c r="B27" s="2">
        <f>+'01-gen gov'!E274+'02-assessing'!E119+'03-fire'!E516+'04-police'!E304+'05-comm'!E141+'06-code enforcement'!E170+'07-pub works'!E117+'08-highway'!E346+'09-solid waste'!E216+'13-parks &amp; rec'!E260+'15-library'!E250+'16-equip mntc'!E131+'17-bldg &amp; grounds'!E141+'21-comm dev'!E159+'24-tax coll'!E143+'25-welfare'!F94</f>
        <v>15875994.290000001</v>
      </c>
      <c r="C27" s="2">
        <f>+'01-gen gov'!F274+'02-assessing'!F119+'03-fire'!F516+'04-police'!F304+'05-comm'!F141+'06-code enforcement'!F170+'07-pub works'!F117+'08-highway'!F346+'09-solid waste'!F216+'13-parks &amp; rec'!F260+'15-library'!F250+'16-equip mntc'!F131+'17-bldg &amp; grounds'!F141+'21-comm dev'!F159+'24-tax coll'!F143+'25-welfare'!G94</f>
        <v>17534028</v>
      </c>
      <c r="D27" s="2">
        <f>+'01-gen gov'!G274+'02-assessing'!G119+'03-fire'!G516+'04-police'!G304+'05-comm'!G141+'06-code enforcement'!G170+'07-pub works'!G117+'08-highway'!G346+'09-solid waste'!G216+'13-parks &amp; rec'!G260+'15-library'!G250+'16-equip mntc'!G131+'17-bldg &amp; grounds'!G141+'21-comm dev'!G159+'24-tax coll'!G143+'25-welfare'!H94</f>
        <v>18643678.505373962</v>
      </c>
      <c r="E27" s="2">
        <f>+'01-gen gov'!H274+'02-assessing'!H119+'03-fire'!H516+'04-police'!H304+'05-comm'!H141+'06-code enforcement'!H170+'07-pub works'!H117+'08-highway'!H346+'09-solid waste'!H216+'13-parks &amp; rec'!H260+'15-library'!H250+'16-equip mntc'!H131+'17-bldg &amp; grounds'!H141+'21-comm dev'!H159+'24-tax coll'!H143+'25-welfare'!I94</f>
        <v>18162919</v>
      </c>
      <c r="F27" s="2">
        <f>+'01-gen gov'!I274+'02-assessing'!I119+'03-fire'!I516+'04-police'!I304+'05-comm'!I141+'06-code enforcement'!I170+'07-pub works'!I117+'08-highway'!I346+'09-solid waste'!I216+'13-parks &amp; rec'!I260+'15-library'!I250+'16-equip mntc'!I131+'17-bldg &amp; grounds'!I141+'21-comm dev'!I159+'24-tax coll'!I143+'25-welfare'!J94</f>
        <v>18330403</v>
      </c>
      <c r="G27" s="2">
        <f>+'01-gen gov'!J274+'02-assessing'!J119+'03-fire'!J516+'04-police'!J304+'05-comm'!J141+'06-code enforcement'!J170+'07-pub works'!J117+'08-highway'!J346+'09-solid waste'!J216+'13-parks &amp; rec'!J260+'15-library'!J250+'16-equip mntc'!J131+'17-bldg &amp; grounds'!J141+'21-comm dev'!J159+'24-tax coll'!J143+'25-welfare'!K94</f>
        <v>18386178</v>
      </c>
    </row>
    <row r="28" spans="1:14" x14ac:dyDescent="0.25">
      <c r="A28" s="8" t="s">
        <v>975</v>
      </c>
      <c r="B28" s="2">
        <f>+'01-gen gov'!E275+'02-assessing'!E120+'03-fire'!E517+'04-police'!E305+'05-comm'!E142+'06-code enforcement'!E171+'07-pub works'!E118+'08-highway'!E347+'09-solid waste'!E217+'13-parks &amp; rec'!E261+'15-library'!E251+'16-equip mntc'!E132+'17-bldg &amp; grounds'!E142+'21-comm dev'!E160+'24-tax coll'!E144+'25-welfare'!F95-'15-library'!E248</f>
        <v>3769397.0200000005</v>
      </c>
      <c r="C28" s="2">
        <f>+'01-gen gov'!F275+'02-assessing'!F120+'03-fire'!F517+'04-police'!F305+'05-comm'!F142+'06-code enforcement'!F171+'07-pub works'!F118+'08-highway'!F347+'09-solid waste'!F217+'13-parks &amp; rec'!F261+'15-library'!F251+'16-equip mntc'!F132+'17-bldg &amp; grounds'!F142+'21-comm dev'!F160+'24-tax coll'!F144+'25-welfare'!G95-'15-library'!F248</f>
        <v>3984225</v>
      </c>
      <c r="D28" s="2">
        <f>+'01-gen gov'!G275+'02-assessing'!G120+'03-fire'!G517+'04-police'!G305+'05-comm'!G142+'06-code enforcement'!G171+'07-pub works'!G118+'08-highway'!G347+'09-solid waste'!G217+'13-parks &amp; rec'!G261+'15-library'!G251+'16-equip mntc'!G132+'17-bldg &amp; grounds'!G142+'21-comm dev'!G160+'24-tax coll'!G144+'25-welfare'!H95-'15-library'!G248</f>
        <v>4151418.4</v>
      </c>
      <c r="E28" s="2">
        <f>+'01-gen gov'!H275+'02-assessing'!H120+'03-fire'!H517+'04-police'!H305+'05-comm'!H142+'06-code enforcement'!H171+'07-pub works'!H118+'08-highway'!H347+'09-solid waste'!H217+'13-parks &amp; rec'!H261+'15-library'!H251+'16-equip mntc'!H132+'17-bldg &amp; grounds'!H142+'21-comm dev'!H160+'24-tax coll'!H144+'25-welfare'!I95-'15-library'!H248</f>
        <v>3972603.2</v>
      </c>
      <c r="F28" s="2">
        <f>+'01-gen gov'!I275+'02-assessing'!I120+'03-fire'!I517+'04-police'!I305+'05-comm'!I142+'06-code enforcement'!I171+'07-pub works'!I118+'08-highway'!I347+'09-solid waste'!I217+'13-parks &amp; rec'!I261+'15-library'!I251+'16-equip mntc'!I132+'17-bldg &amp; grounds'!I142+'21-comm dev'!I160+'24-tax coll'!I144+'25-welfare'!J95-'15-library'!I248</f>
        <v>3976853.2</v>
      </c>
      <c r="G28" s="2">
        <f>+'01-gen gov'!J275+'02-assessing'!J120+'03-fire'!J517+'04-police'!J305+'05-comm'!J142+'06-code enforcement'!J171+'07-pub works'!J118+'08-highway'!J347+'09-solid waste'!J217+'13-parks &amp; rec'!J261+'15-library'!J251+'16-equip mntc'!J132+'17-bldg &amp; grounds'!J142+'21-comm dev'!J160+'24-tax coll'!J144+'25-welfare'!K95-3500</f>
        <v>3980053.2</v>
      </c>
    </row>
    <row r="29" spans="1:14" x14ac:dyDescent="0.25">
      <c r="A29" s="8" t="s">
        <v>976</v>
      </c>
      <c r="B29" s="2">
        <f>+'01-gen gov'!E276+'02-assessing'!E121+'03-fire'!E518+'04-police'!E306+'05-comm'!E143+'06-code enforcement'!E172+'07-pub works'!E119+'08-highway'!E348+'09-solid waste'!E218+'13-parks &amp; rec'!E262+'15-library'!E252+'16-equip mntc'!E133+'17-bldg &amp; grounds'!E143+'21-comm dev'!E161+'24-tax coll'!E145+'25-welfare'!F96</f>
        <v>6420444.9399999995</v>
      </c>
      <c r="C29" s="2">
        <f>+'01-gen gov'!F276+'02-assessing'!F121+'03-fire'!F518+'04-police'!F306+'05-comm'!F143+'06-code enforcement'!F172+'07-pub works'!F119+'08-highway'!F348+'09-solid waste'!F218+'13-parks &amp; rec'!F262+'15-library'!F252+'16-equip mntc'!F133+'17-bldg &amp; grounds'!F143+'21-comm dev'!F161+'24-tax coll'!F145+'25-welfare'!G96</f>
        <v>6707101</v>
      </c>
      <c r="D29" s="2">
        <f>+'01-gen gov'!G276+'02-assessing'!G121+'03-fire'!G518+'04-police'!G306+'05-comm'!G143+'06-code enforcement'!G172+'07-pub works'!G119+'08-highway'!G348+'09-solid waste'!G218+'13-parks &amp; rec'!G262+'15-library'!G252+'16-equip mntc'!G133+'17-bldg &amp; grounds'!G143+'21-comm dev'!G161+'24-tax coll'!G145+'25-welfare'!H96</f>
        <v>6327546</v>
      </c>
      <c r="E29" s="2">
        <f>+'01-gen gov'!H276+'02-assessing'!H121+'03-fire'!H518+'04-police'!H306+'05-comm'!H143+'06-code enforcement'!H172+'07-pub works'!H119+'08-highway'!H348+'09-solid waste'!H218+'13-parks &amp; rec'!H262+'15-library'!H252+'16-equip mntc'!H133+'17-bldg &amp; grounds'!H143+'21-comm dev'!H161+'24-tax coll'!H145+'25-welfare'!I96</f>
        <v>6082546</v>
      </c>
      <c r="F29" s="2">
        <f>+'01-gen gov'!I276+'02-assessing'!I121+'03-fire'!I518+'04-police'!I306+'05-comm'!I143+'06-code enforcement'!I172+'07-pub works'!I119+'08-highway'!I348+'09-solid waste'!I218+'13-parks &amp; rec'!I262+'15-library'!I252+'16-equip mntc'!I133+'17-bldg &amp; grounds'!I143+'21-comm dev'!I161+'24-tax coll'!I145+'25-welfare'!J96</f>
        <v>6082546</v>
      </c>
      <c r="G29" s="2">
        <f>+'01-gen gov'!J276+'02-assessing'!J121+'03-fire'!J518+'04-police'!J306+'05-comm'!J143+'06-code enforcement'!J172+'07-pub works'!J119+'08-highway'!J348+'09-solid waste'!J218+'13-parks &amp; rec'!J262+'15-library'!J252+'16-equip mntc'!J133+'17-bldg &amp; grounds'!J143+'21-comm dev'!J161+'24-tax coll'!J145+'25-welfare'!K96</f>
        <v>6082546</v>
      </c>
    </row>
    <row r="30" spans="1:14" ht="15" x14ac:dyDescent="0.4">
      <c r="A30" s="8" t="s">
        <v>1162</v>
      </c>
      <c r="B30" s="12">
        <f t="shared" ref="B30:G30" si="1">+B22</f>
        <v>449873</v>
      </c>
      <c r="C30" s="12">
        <f t="shared" si="1"/>
        <v>435467</v>
      </c>
      <c r="D30" s="12">
        <f t="shared" si="1"/>
        <v>423366</v>
      </c>
      <c r="E30" s="12">
        <f t="shared" si="1"/>
        <v>423366</v>
      </c>
      <c r="F30" s="12">
        <f>+F22</f>
        <v>423366</v>
      </c>
      <c r="G30" s="12">
        <f t="shared" si="1"/>
        <v>423366</v>
      </c>
    </row>
    <row r="31" spans="1:14" x14ac:dyDescent="0.25">
      <c r="A31" s="8" t="s">
        <v>1279</v>
      </c>
      <c r="B31" s="2">
        <f t="shared" ref="B31:G31" si="2">SUM(B27:B30)</f>
        <v>26515709.25</v>
      </c>
      <c r="C31" s="2">
        <f t="shared" si="2"/>
        <v>28660821</v>
      </c>
      <c r="D31" s="2">
        <f t="shared" si="2"/>
        <v>29546008.905373961</v>
      </c>
      <c r="E31" s="2">
        <f t="shared" si="2"/>
        <v>28641434.199999999</v>
      </c>
      <c r="F31" s="2">
        <f>SUM(F27:F30)</f>
        <v>28813168.199999999</v>
      </c>
      <c r="G31" s="2">
        <f t="shared" si="2"/>
        <v>28872143.199999999</v>
      </c>
      <c r="I31" s="2">
        <f t="shared" ref="I31:N31" si="3">+B25-B31</f>
        <v>0</v>
      </c>
      <c r="J31" s="2">
        <f t="shared" si="3"/>
        <v>0</v>
      </c>
      <c r="K31" s="2">
        <f t="shared" si="3"/>
        <v>0</v>
      </c>
      <c r="L31" s="2">
        <f t="shared" si="3"/>
        <v>0</v>
      </c>
      <c r="M31" s="2">
        <f t="shared" si="3"/>
        <v>0</v>
      </c>
      <c r="N31" s="2">
        <f t="shared" si="3"/>
        <v>0</v>
      </c>
    </row>
    <row r="32" spans="1:14" x14ac:dyDescent="0.25">
      <c r="B32" s="2"/>
      <c r="C32" s="2"/>
      <c r="D32" s="2"/>
      <c r="E32" s="2"/>
      <c r="F32" s="2"/>
      <c r="G32" s="2"/>
    </row>
    <row r="33" spans="1:7" x14ac:dyDescent="0.25">
      <c r="A33" s="217" t="s">
        <v>1972</v>
      </c>
      <c r="B33" s="217"/>
      <c r="C33" s="217"/>
      <c r="D33" s="217"/>
      <c r="E33" s="217"/>
      <c r="F33" s="217"/>
      <c r="G33" s="217"/>
    </row>
    <row r="34" spans="1:7" ht="17.399999999999999" x14ac:dyDescent="0.3">
      <c r="A34" s="202" t="s">
        <v>2255</v>
      </c>
      <c r="B34" s="202"/>
      <c r="C34" s="202"/>
      <c r="D34" s="202"/>
      <c r="E34" s="202"/>
      <c r="F34" s="202"/>
      <c r="G34" s="202"/>
    </row>
    <row r="35" spans="1:7" x14ac:dyDescent="0.25">
      <c r="B35" s="2"/>
      <c r="C35" s="2"/>
    </row>
    <row r="36" spans="1:7" ht="26.4" x14ac:dyDescent="0.25">
      <c r="B36" s="9" t="s">
        <v>251</v>
      </c>
      <c r="C36" s="9" t="s">
        <v>252</v>
      </c>
      <c r="D36" s="9" t="s">
        <v>73</v>
      </c>
      <c r="E36" s="162" t="s">
        <v>430</v>
      </c>
      <c r="F36" s="2" t="s">
        <v>330</v>
      </c>
      <c r="G36" s="2" t="s">
        <v>364</v>
      </c>
    </row>
    <row r="37" spans="1:7" ht="15" x14ac:dyDescent="0.4">
      <c r="B37" s="10" t="s">
        <v>1684</v>
      </c>
      <c r="C37" s="10" t="s">
        <v>1874</v>
      </c>
      <c r="D37" s="10" t="s">
        <v>1944</v>
      </c>
      <c r="E37" s="10" t="s">
        <v>1944</v>
      </c>
      <c r="F37" s="10" t="s">
        <v>1944</v>
      </c>
      <c r="G37" s="10" t="s">
        <v>1944</v>
      </c>
    </row>
    <row r="38" spans="1:7" ht="13.8" x14ac:dyDescent="0.3">
      <c r="A38" s="11" t="s">
        <v>1443</v>
      </c>
      <c r="B38" s="2">
        <v>6498</v>
      </c>
      <c r="C38" s="2">
        <v>5414</v>
      </c>
      <c r="D38" s="2">
        <v>4331.84</v>
      </c>
      <c r="E38" s="2">
        <v>4331.84</v>
      </c>
      <c r="F38" s="2">
        <v>4331.84</v>
      </c>
      <c r="G38" s="2">
        <v>4331.84</v>
      </c>
    </row>
    <row r="39" spans="1:7" x14ac:dyDescent="0.25">
      <c r="A39" s="25" t="s">
        <v>137</v>
      </c>
      <c r="B39" s="2"/>
      <c r="C39" s="2"/>
      <c r="D39" s="2"/>
      <c r="E39" s="2"/>
      <c r="F39" s="2"/>
      <c r="G39" s="2"/>
    </row>
    <row r="40" spans="1:7" x14ac:dyDescent="0.25">
      <c r="B40" s="2"/>
      <c r="C40" s="2"/>
      <c r="D40" s="2"/>
      <c r="E40" s="2"/>
      <c r="F40" s="2"/>
      <c r="G40" s="2"/>
    </row>
    <row r="41" spans="1:7" ht="13.8" x14ac:dyDescent="0.3">
      <c r="A41" s="11" t="s">
        <v>1444</v>
      </c>
      <c r="B41" s="2">
        <v>55823</v>
      </c>
      <c r="C41" s="2">
        <v>55823</v>
      </c>
      <c r="D41" s="2">
        <v>55823</v>
      </c>
      <c r="E41" s="2">
        <v>55823</v>
      </c>
      <c r="F41" s="2">
        <v>55823</v>
      </c>
      <c r="G41" s="2">
        <v>55823</v>
      </c>
    </row>
    <row r="42" spans="1:7" x14ac:dyDescent="0.25">
      <c r="A42" s="25" t="s">
        <v>137</v>
      </c>
      <c r="B42" s="2"/>
      <c r="C42" s="2"/>
      <c r="D42" s="2"/>
      <c r="E42" s="2"/>
      <c r="F42" s="2"/>
      <c r="G42" s="2"/>
    </row>
    <row r="43" spans="1:7" ht="13.8" x14ac:dyDescent="0.3">
      <c r="A43" s="11"/>
      <c r="B43" s="2"/>
      <c r="C43" s="2"/>
      <c r="D43" s="2"/>
      <c r="E43" s="2"/>
      <c r="F43" s="2"/>
      <c r="G43" s="2"/>
    </row>
    <row r="44" spans="1:7" ht="13.8" x14ac:dyDescent="0.3">
      <c r="A44" s="11" t="s">
        <v>1308</v>
      </c>
      <c r="B44" s="2">
        <v>31353</v>
      </c>
      <c r="C44" s="2">
        <v>26874</v>
      </c>
      <c r="D44" s="2">
        <v>22394.82</v>
      </c>
      <c r="E44" s="2">
        <v>22394.82</v>
      </c>
      <c r="F44" s="2">
        <v>22394.82</v>
      </c>
      <c r="G44" s="2">
        <v>22394.82</v>
      </c>
    </row>
    <row r="45" spans="1:7" x14ac:dyDescent="0.25">
      <c r="A45" s="25" t="s">
        <v>136</v>
      </c>
      <c r="B45" s="2"/>
      <c r="C45" s="2"/>
      <c r="D45" s="2"/>
      <c r="E45" s="2"/>
      <c r="F45" s="2"/>
      <c r="G45" s="2"/>
    </row>
    <row r="46" spans="1:7" x14ac:dyDescent="0.25">
      <c r="B46" s="2"/>
      <c r="C46" s="2"/>
      <c r="D46" s="2"/>
      <c r="E46" s="2"/>
      <c r="F46" s="2"/>
      <c r="G46" s="2"/>
    </row>
    <row r="47" spans="1:7" ht="13.8" x14ac:dyDescent="0.3">
      <c r="A47" s="11" t="s">
        <v>1309</v>
      </c>
      <c r="B47" s="2">
        <v>263468</v>
      </c>
      <c r="C47" s="2">
        <v>263468</v>
      </c>
      <c r="D47" s="2">
        <v>263468</v>
      </c>
      <c r="E47" s="2">
        <v>263468</v>
      </c>
      <c r="F47" s="2">
        <v>263468</v>
      </c>
      <c r="G47" s="2">
        <v>263468</v>
      </c>
    </row>
    <row r="48" spans="1:7" x14ac:dyDescent="0.25">
      <c r="A48" s="25" t="s">
        <v>135</v>
      </c>
      <c r="B48" s="2"/>
      <c r="C48" s="2"/>
      <c r="D48" s="2"/>
      <c r="E48" s="2"/>
      <c r="F48" s="2"/>
      <c r="G48" s="2"/>
    </row>
    <row r="49" spans="1:7" ht="13.8" x14ac:dyDescent="0.3">
      <c r="A49" s="11"/>
      <c r="B49" s="2"/>
      <c r="C49" s="2"/>
      <c r="D49" s="2"/>
      <c r="E49" s="2"/>
      <c r="F49" s="2"/>
      <c r="G49" s="2"/>
    </row>
    <row r="50" spans="1:7" ht="13.8" x14ac:dyDescent="0.3">
      <c r="A50" s="11" t="s">
        <v>1960</v>
      </c>
      <c r="B50" s="2">
        <v>0</v>
      </c>
      <c r="C50" s="2">
        <v>143750</v>
      </c>
      <c r="D50" s="2">
        <v>141291</v>
      </c>
      <c r="E50" s="2">
        <v>141291</v>
      </c>
      <c r="F50" s="2">
        <v>141291</v>
      </c>
      <c r="G50" s="2">
        <v>141291</v>
      </c>
    </row>
    <row r="51" spans="1:7" x14ac:dyDescent="0.25">
      <c r="A51" s="25" t="s">
        <v>1889</v>
      </c>
      <c r="B51" s="2"/>
      <c r="C51" s="2"/>
      <c r="D51" s="2"/>
      <c r="E51" s="2"/>
      <c r="F51" s="2"/>
      <c r="G51" s="2"/>
    </row>
    <row r="52" spans="1:7" ht="13.8" x14ac:dyDescent="0.3">
      <c r="A52" s="11"/>
      <c r="B52" s="2"/>
      <c r="C52" s="2"/>
      <c r="D52" s="2"/>
      <c r="E52" s="2"/>
      <c r="F52" s="2"/>
      <c r="G52" s="2"/>
    </row>
    <row r="53" spans="1:7" ht="13.8" x14ac:dyDescent="0.3">
      <c r="A53" s="11" t="s">
        <v>1961</v>
      </c>
      <c r="B53" s="2">
        <v>0</v>
      </c>
      <c r="C53" s="2">
        <v>210000</v>
      </c>
      <c r="D53" s="2">
        <v>206408</v>
      </c>
      <c r="E53" s="2">
        <v>206408</v>
      </c>
      <c r="F53" s="2">
        <v>206408</v>
      </c>
      <c r="G53" s="2">
        <v>206408</v>
      </c>
    </row>
    <row r="54" spans="1:7" x14ac:dyDescent="0.25">
      <c r="A54" s="25" t="s">
        <v>1890</v>
      </c>
      <c r="B54" s="2"/>
      <c r="C54" s="2"/>
      <c r="D54" s="2"/>
      <c r="E54" s="2"/>
      <c r="F54" s="2"/>
      <c r="G54" s="2"/>
    </row>
    <row r="55" spans="1:7" ht="13.8" x14ac:dyDescent="0.3">
      <c r="A55" s="11"/>
      <c r="B55" s="2"/>
      <c r="C55" s="2"/>
      <c r="D55" s="2"/>
      <c r="E55" s="2"/>
      <c r="F55" s="2"/>
      <c r="G55" s="2"/>
    </row>
    <row r="56" spans="1:7" ht="13.8" x14ac:dyDescent="0.3">
      <c r="A56" s="11" t="s">
        <v>1962</v>
      </c>
      <c r="B56" s="2">
        <v>0</v>
      </c>
      <c r="C56" s="2">
        <v>155407</v>
      </c>
      <c r="D56" s="2">
        <v>132125</v>
      </c>
      <c r="E56" s="2">
        <v>132125</v>
      </c>
      <c r="F56" s="2">
        <v>132125</v>
      </c>
      <c r="G56" s="2">
        <v>132125</v>
      </c>
    </row>
    <row r="57" spans="1:7" x14ac:dyDescent="0.25">
      <c r="A57" s="25" t="s">
        <v>1891</v>
      </c>
      <c r="B57" s="2"/>
      <c r="C57" s="2"/>
      <c r="D57" s="2"/>
      <c r="E57" s="2"/>
      <c r="F57" s="2"/>
      <c r="G57" s="2"/>
    </row>
    <row r="58" spans="1:7" ht="13.8" x14ac:dyDescent="0.3">
      <c r="A58" s="11"/>
      <c r="B58" s="2"/>
      <c r="C58" s="2"/>
      <c r="D58" s="2"/>
      <c r="E58" s="2"/>
      <c r="F58" s="2"/>
      <c r="G58" s="2"/>
    </row>
    <row r="59" spans="1:7" ht="13.8" x14ac:dyDescent="0.3">
      <c r="A59" s="11" t="s">
        <v>687</v>
      </c>
      <c r="B59" s="2">
        <v>0</v>
      </c>
      <c r="C59" s="2">
        <v>0</v>
      </c>
      <c r="D59" s="2"/>
      <c r="E59" s="2"/>
      <c r="F59" s="2"/>
      <c r="G59" s="2"/>
    </row>
    <row r="60" spans="1:7" x14ac:dyDescent="0.25">
      <c r="A60" s="8" t="s">
        <v>1032</v>
      </c>
      <c r="B60" s="2"/>
      <c r="C60" s="2"/>
      <c r="D60" s="2"/>
      <c r="E60" s="2"/>
      <c r="F60" s="2"/>
      <c r="G60" s="2"/>
    </row>
    <row r="61" spans="1:7" x14ac:dyDescent="0.25">
      <c r="B61" s="2"/>
      <c r="C61" s="2"/>
      <c r="D61" s="2"/>
      <c r="E61" s="2"/>
      <c r="F61" s="2"/>
      <c r="G61" s="2"/>
    </row>
    <row r="62" spans="1:7" ht="15" x14ac:dyDescent="0.4">
      <c r="A62" s="11" t="s">
        <v>269</v>
      </c>
      <c r="B62" s="12">
        <v>0</v>
      </c>
      <c r="C62" s="12">
        <v>0</v>
      </c>
      <c r="D62" s="12">
        <v>0</v>
      </c>
      <c r="E62" s="12">
        <v>0</v>
      </c>
      <c r="F62" s="12">
        <v>0</v>
      </c>
      <c r="G62" s="12">
        <v>0</v>
      </c>
    </row>
    <row r="63" spans="1:7" x14ac:dyDescent="0.25">
      <c r="A63" s="8" t="s">
        <v>1032</v>
      </c>
      <c r="B63" s="2"/>
      <c r="C63" s="2"/>
      <c r="D63" s="2"/>
      <c r="E63" s="2"/>
      <c r="F63" s="2"/>
      <c r="G63" s="2"/>
    </row>
    <row r="64" spans="1:7" x14ac:dyDescent="0.25">
      <c r="B64" s="2"/>
      <c r="C64" s="2"/>
      <c r="D64" s="2"/>
      <c r="E64" s="2"/>
      <c r="F64" s="2"/>
      <c r="G64" s="2"/>
    </row>
    <row r="65" spans="1:9" x14ac:dyDescent="0.25">
      <c r="A65" s="8" t="s">
        <v>270</v>
      </c>
      <c r="B65" s="2">
        <f t="shared" ref="B65:E65" si="4">SUM(B38:B62)</f>
        <v>357142</v>
      </c>
      <c r="C65" s="2">
        <f t="shared" si="4"/>
        <v>860736</v>
      </c>
      <c r="D65" s="2">
        <f t="shared" si="4"/>
        <v>825841.66</v>
      </c>
      <c r="E65" s="2">
        <f t="shared" si="4"/>
        <v>825841.66</v>
      </c>
      <c r="F65" s="2">
        <f>SUM(F38:F62)</f>
        <v>825841.66</v>
      </c>
      <c r="G65" s="2">
        <f>SUM(G38:G62)</f>
        <v>825841.66</v>
      </c>
    </row>
    <row r="66" spans="1:9" x14ac:dyDescent="0.25">
      <c r="B66" s="2"/>
      <c r="C66" s="2"/>
      <c r="D66" s="2"/>
      <c r="E66" s="2"/>
      <c r="F66" s="2"/>
      <c r="G66" s="2"/>
    </row>
    <row r="67" spans="1:9" x14ac:dyDescent="0.25">
      <c r="A67" s="8" t="s">
        <v>1391</v>
      </c>
      <c r="B67" s="2">
        <f t="shared" ref="B67:G67" si="5">+B22</f>
        <v>449873</v>
      </c>
      <c r="C67" s="2">
        <f t="shared" si="5"/>
        <v>435467</v>
      </c>
      <c r="D67" s="2">
        <f t="shared" si="5"/>
        <v>423366</v>
      </c>
      <c r="E67" s="2">
        <f t="shared" si="5"/>
        <v>423366</v>
      </c>
      <c r="F67" s="2">
        <f t="shared" si="5"/>
        <v>423366</v>
      </c>
      <c r="G67" s="2">
        <f t="shared" si="5"/>
        <v>423366</v>
      </c>
      <c r="H67" s="2" t="e">
        <f>#N/A</f>
        <v>#N/A</v>
      </c>
      <c r="I67" s="2" t="e">
        <f>#N/A</f>
        <v>#N/A</v>
      </c>
    </row>
    <row r="68" spans="1:9" ht="15" x14ac:dyDescent="0.4">
      <c r="A68" s="8" t="s">
        <v>270</v>
      </c>
      <c r="B68" s="12">
        <f t="shared" ref="B68:G68" si="6">+B65</f>
        <v>357142</v>
      </c>
      <c r="C68" s="12">
        <f t="shared" si="6"/>
        <v>860736</v>
      </c>
      <c r="D68" s="12">
        <f t="shared" si="6"/>
        <v>825841.66</v>
      </c>
      <c r="E68" s="12">
        <f t="shared" si="6"/>
        <v>825841.66</v>
      </c>
      <c r="F68" s="12">
        <f t="shared" si="6"/>
        <v>825841.66</v>
      </c>
      <c r="G68" s="12">
        <f t="shared" si="6"/>
        <v>825841.66</v>
      </c>
      <c r="H68" s="12" t="e">
        <f>#N/A</f>
        <v>#N/A</v>
      </c>
      <c r="I68" s="12" t="e">
        <f>#N/A</f>
        <v>#N/A</v>
      </c>
    </row>
    <row r="69" spans="1:9" x14ac:dyDescent="0.25">
      <c r="A69" s="8" t="s">
        <v>1279</v>
      </c>
      <c r="B69" s="2">
        <f t="shared" ref="B69:G69" si="7">SUM(B67:B68)</f>
        <v>807015</v>
      </c>
      <c r="C69" s="2">
        <f t="shared" si="7"/>
        <v>1296203</v>
      </c>
      <c r="D69" s="2">
        <f t="shared" si="7"/>
        <v>1249207.6600000001</v>
      </c>
      <c r="E69" s="2">
        <f t="shared" si="7"/>
        <v>1249207.6600000001</v>
      </c>
      <c r="F69" s="2">
        <f t="shared" si="7"/>
        <v>1249207.6600000001</v>
      </c>
      <c r="G69" s="2">
        <f t="shared" si="7"/>
        <v>1249207.6600000001</v>
      </c>
      <c r="H69" s="2" t="e">
        <f>#N/A</f>
        <v>#N/A</v>
      </c>
      <c r="I69" s="2" t="e">
        <f>#N/A</f>
        <v>#N/A</v>
      </c>
    </row>
  </sheetData>
  <mergeCells count="2">
    <mergeCell ref="A33:G33"/>
    <mergeCell ref="A1:G1"/>
  </mergeCells>
  <phoneticPr fontId="0" type="noConversion"/>
  <printOptions gridLines="1"/>
  <pageMargins left="0.75" right="0.16" top="0.51" bottom="0.22" header="0.5" footer="0"/>
  <pageSetup fitToHeight="2" orientation="landscape" r:id="rId1"/>
  <headerFooter alignWithMargins="0"/>
  <rowBreaks count="1" manualBreakCount="1">
    <brk id="31" max="6" man="1"/>
  </rowBreak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J349"/>
  <sheetViews>
    <sheetView view="pageBreakPreview" topLeftCell="A295" zoomScaleNormal="100" zoomScaleSheetLayoutView="100" workbookViewId="0">
      <selection activeCell="H320" sqref="H320"/>
    </sheetView>
  </sheetViews>
  <sheetFormatPr defaultRowHeight="13.2" x14ac:dyDescent="0.25"/>
  <cols>
    <col min="1" max="1" width="51.6640625" style="8" bestFit="1" customWidth="1"/>
    <col min="2" max="2" width="8.77734375" style="8" bestFit="1" customWidth="1"/>
    <col min="3" max="3" width="12.109375" style="8" bestFit="1" customWidth="1"/>
    <col min="4" max="4" width="10.109375" style="8" bestFit="1" customWidth="1"/>
    <col min="5" max="7" width="10.88671875" style="8" customWidth="1"/>
    <col min="8" max="8" width="14" style="2" bestFit="1" customWidth="1"/>
    <col min="9" max="10" width="10.88671875" style="8" customWidth="1"/>
    <col min="11" max="16384" width="8.88671875" style="8"/>
  </cols>
  <sheetData>
    <row r="1" spans="1:10" x14ac:dyDescent="0.25">
      <c r="A1" s="217" t="s">
        <v>1972</v>
      </c>
      <c r="B1" s="218"/>
      <c r="C1" s="218"/>
      <c r="D1" s="218"/>
      <c r="E1" s="218"/>
      <c r="F1" s="218"/>
      <c r="G1" s="218"/>
      <c r="H1" s="218"/>
      <c r="I1" s="218"/>
      <c r="J1" s="218"/>
    </row>
    <row r="2" spans="1:10" ht="17.399999999999999" x14ac:dyDescent="0.3">
      <c r="A2" s="202" t="s">
        <v>2256</v>
      </c>
      <c r="B2" s="202"/>
      <c r="C2" s="202"/>
      <c r="D2" s="202"/>
      <c r="E2" s="202"/>
      <c r="F2" s="202"/>
    </row>
    <row r="3" spans="1:10" x14ac:dyDescent="0.25">
      <c r="B3" s="2"/>
      <c r="C3" s="2"/>
      <c r="D3" s="2"/>
      <c r="E3" s="2"/>
      <c r="F3" s="2"/>
    </row>
    <row r="4" spans="1:10" x14ac:dyDescent="0.25">
      <c r="B4" s="2"/>
      <c r="C4" s="2"/>
      <c r="D4" s="2"/>
      <c r="E4" s="9" t="s">
        <v>251</v>
      </c>
      <c r="F4" s="9" t="s">
        <v>252</v>
      </c>
      <c r="G4" s="9" t="s">
        <v>73</v>
      </c>
      <c r="H4" s="9" t="s">
        <v>430</v>
      </c>
      <c r="I4" s="2" t="s">
        <v>330</v>
      </c>
      <c r="J4" s="2" t="s">
        <v>364</v>
      </c>
    </row>
    <row r="5" spans="1:10" ht="15" x14ac:dyDescent="0.4">
      <c r="B5" s="2"/>
      <c r="C5" s="2"/>
      <c r="D5" s="2"/>
      <c r="E5" s="10" t="s">
        <v>1684</v>
      </c>
      <c r="F5" s="10" t="s">
        <v>1874</v>
      </c>
      <c r="G5" s="10" t="s">
        <v>1944</v>
      </c>
      <c r="H5" s="10" t="s">
        <v>1944</v>
      </c>
      <c r="I5" s="10" t="s">
        <v>1944</v>
      </c>
      <c r="J5" s="10" t="s">
        <v>1944</v>
      </c>
    </row>
    <row r="6" spans="1:10" ht="13.8" x14ac:dyDescent="0.3">
      <c r="A6" s="11" t="s">
        <v>817</v>
      </c>
      <c r="B6" s="2"/>
      <c r="C6" s="2"/>
      <c r="D6" s="2"/>
      <c r="E6" s="2">
        <v>48298</v>
      </c>
      <c r="F6" s="49">
        <v>50721</v>
      </c>
      <c r="G6" s="49">
        <v>51272</v>
      </c>
      <c r="H6" s="2">
        <v>51272</v>
      </c>
      <c r="I6" s="2">
        <v>51272</v>
      </c>
      <c r="J6" s="2">
        <v>51272</v>
      </c>
    </row>
    <row r="7" spans="1:10" x14ac:dyDescent="0.25">
      <c r="A7" s="8" t="s">
        <v>460</v>
      </c>
      <c r="B7" s="2">
        <v>52</v>
      </c>
      <c r="C7" s="2">
        <v>986</v>
      </c>
      <c r="D7" s="2">
        <f>ROUND(B7*C7,0)</f>
        <v>51272</v>
      </c>
      <c r="E7" s="2"/>
      <c r="F7" s="49"/>
      <c r="G7" s="49"/>
      <c r="I7" s="2"/>
      <c r="J7" s="2"/>
    </row>
    <row r="8" spans="1:10" x14ac:dyDescent="0.25">
      <c r="B8" s="2"/>
      <c r="C8" s="2"/>
      <c r="D8" s="2"/>
      <c r="E8" s="2"/>
      <c r="F8" s="49"/>
      <c r="G8" s="49"/>
      <c r="I8" s="2"/>
      <c r="J8" s="2"/>
    </row>
    <row r="9" spans="1:10" ht="13.8" x14ac:dyDescent="0.3">
      <c r="A9" s="11" t="s">
        <v>770</v>
      </c>
      <c r="B9" s="2"/>
      <c r="C9" s="2"/>
      <c r="D9" s="2"/>
      <c r="E9" s="2">
        <v>412486</v>
      </c>
      <c r="F9" s="49">
        <v>434464</v>
      </c>
      <c r="G9" s="49">
        <v>488296</v>
      </c>
      <c r="H9" s="2">
        <v>488296</v>
      </c>
      <c r="I9" s="2">
        <v>488296</v>
      </c>
      <c r="J9" s="2">
        <v>491194</v>
      </c>
    </row>
    <row r="10" spans="1:10" x14ac:dyDescent="0.25">
      <c r="A10" s="8" t="s">
        <v>1291</v>
      </c>
      <c r="B10" s="2">
        <v>52</v>
      </c>
      <c r="C10" s="2">
        <v>1706</v>
      </c>
      <c r="D10" s="2">
        <f t="shared" ref="D10:D16" si="0">ROUND(B10*C10,0)</f>
        <v>88712</v>
      </c>
      <c r="E10" s="2"/>
      <c r="F10" s="49"/>
      <c r="G10" s="49"/>
      <c r="I10" s="2"/>
      <c r="J10" s="2"/>
    </row>
    <row r="11" spans="1:10" x14ac:dyDescent="0.25">
      <c r="A11" s="8" t="s">
        <v>771</v>
      </c>
      <c r="B11" s="2">
        <v>52</v>
      </c>
      <c r="C11" s="2">
        <v>1543</v>
      </c>
      <c r="D11" s="2">
        <f t="shared" si="0"/>
        <v>80236</v>
      </c>
      <c r="E11" s="2"/>
      <c r="F11" s="49"/>
      <c r="G11" s="49"/>
      <c r="I11" s="2"/>
      <c r="J11" s="2"/>
    </row>
    <row r="12" spans="1:10" x14ac:dyDescent="0.25">
      <c r="A12" s="8" t="s">
        <v>772</v>
      </c>
      <c r="B12" s="2">
        <v>52</v>
      </c>
      <c r="C12" s="2">
        <v>1262</v>
      </c>
      <c r="D12" s="2">
        <f t="shared" si="0"/>
        <v>65624</v>
      </c>
      <c r="E12" s="2"/>
      <c r="F12" s="49"/>
      <c r="G12" s="49"/>
      <c r="I12" s="2"/>
      <c r="J12" s="2"/>
    </row>
    <row r="13" spans="1:10" x14ac:dyDescent="0.25">
      <c r="A13" s="8" t="s">
        <v>259</v>
      </c>
      <c r="B13" s="2">
        <v>52</v>
      </c>
      <c r="C13" s="2">
        <v>1326</v>
      </c>
      <c r="D13" s="2">
        <f t="shared" si="0"/>
        <v>68952</v>
      </c>
      <c r="E13" s="2"/>
      <c r="F13" s="49"/>
      <c r="G13" s="49"/>
      <c r="I13" s="2"/>
      <c r="J13" s="2"/>
    </row>
    <row r="14" spans="1:10" x14ac:dyDescent="0.25">
      <c r="A14" s="8" t="s">
        <v>260</v>
      </c>
      <c r="B14" s="2">
        <v>52</v>
      </c>
      <c r="C14" s="2">
        <v>1350</v>
      </c>
      <c r="D14" s="2">
        <f t="shared" si="0"/>
        <v>70200</v>
      </c>
      <c r="E14" s="2"/>
      <c r="F14" s="49"/>
      <c r="G14" s="49"/>
      <c r="I14" s="2"/>
      <c r="J14" s="2"/>
    </row>
    <row r="15" spans="1:10" x14ac:dyDescent="0.25">
      <c r="A15" s="179" t="s">
        <v>2170</v>
      </c>
      <c r="B15" s="2">
        <v>52</v>
      </c>
      <c r="C15" s="2">
        <v>1092</v>
      </c>
      <c r="D15" s="2">
        <f t="shared" si="0"/>
        <v>56784</v>
      </c>
      <c r="E15" s="2"/>
      <c r="F15" s="49"/>
      <c r="G15" s="49"/>
      <c r="I15" s="2"/>
      <c r="J15" s="2"/>
    </row>
    <row r="16" spans="1:10" x14ac:dyDescent="0.25">
      <c r="A16" s="8" t="s">
        <v>1613</v>
      </c>
      <c r="B16" s="2">
        <v>52</v>
      </c>
      <c r="C16" s="2">
        <v>1099</v>
      </c>
      <c r="D16" s="2">
        <f t="shared" si="0"/>
        <v>57148</v>
      </c>
      <c r="E16" s="2"/>
      <c r="F16" s="49"/>
      <c r="G16" s="49"/>
      <c r="I16" s="2"/>
      <c r="J16" s="2"/>
    </row>
    <row r="17" spans="1:10" ht="15" x14ac:dyDescent="0.4">
      <c r="A17" s="8" t="s">
        <v>995</v>
      </c>
      <c r="B17" s="2" t="s">
        <v>417</v>
      </c>
      <c r="C17" s="2" t="s">
        <v>417</v>
      </c>
      <c r="D17" s="12">
        <v>3538</v>
      </c>
      <c r="E17" s="2"/>
      <c r="F17" s="49"/>
      <c r="G17" s="49"/>
      <c r="I17" s="2"/>
      <c r="J17" s="2"/>
    </row>
    <row r="18" spans="1:10" x14ac:dyDescent="0.25">
      <c r="A18" s="8" t="s">
        <v>1279</v>
      </c>
      <c r="B18" s="2"/>
      <c r="C18" s="2"/>
      <c r="D18" s="2">
        <f>SUM(D10:D17)</f>
        <v>491194</v>
      </c>
      <c r="E18" s="2"/>
      <c r="F18" s="49"/>
      <c r="G18" s="49"/>
      <c r="I18" s="2"/>
      <c r="J18" s="2"/>
    </row>
    <row r="19" spans="1:10" x14ac:dyDescent="0.25">
      <c r="B19" s="2"/>
      <c r="C19" s="2"/>
      <c r="D19" s="2"/>
      <c r="E19" s="2"/>
      <c r="F19" s="49"/>
      <c r="G19" s="49"/>
      <c r="I19" s="2"/>
      <c r="J19" s="2"/>
    </row>
    <row r="20" spans="1:10" ht="13.8" x14ac:dyDescent="0.3">
      <c r="A20" s="11" t="s">
        <v>1410</v>
      </c>
      <c r="B20" s="2"/>
      <c r="C20" s="2"/>
      <c r="D20" s="2"/>
      <c r="E20" s="2">
        <v>555163</v>
      </c>
      <c r="F20" s="2">
        <v>661706</v>
      </c>
      <c r="G20" s="2">
        <v>632988</v>
      </c>
      <c r="H20" s="2">
        <v>632988</v>
      </c>
      <c r="I20" s="2">
        <v>632988</v>
      </c>
      <c r="J20" s="2">
        <v>632988</v>
      </c>
    </row>
    <row r="21" spans="1:10" x14ac:dyDescent="0.25">
      <c r="E21" s="2"/>
      <c r="F21" s="2"/>
      <c r="G21" s="2"/>
      <c r="I21" s="2"/>
      <c r="J21" s="2"/>
    </row>
    <row r="22" spans="1:10" x14ac:dyDescent="0.25">
      <c r="A22" s="182" t="s">
        <v>1398</v>
      </c>
      <c r="B22" s="70">
        <v>52</v>
      </c>
      <c r="C22" s="8">
        <v>882</v>
      </c>
      <c r="D22" s="2">
        <f t="shared" ref="D22:D33" si="1">ROUND(B22*C22,0)</f>
        <v>45864</v>
      </c>
      <c r="E22" s="2"/>
      <c r="F22" s="2"/>
      <c r="G22" s="2"/>
      <c r="I22" s="2"/>
      <c r="J22" s="2"/>
    </row>
    <row r="23" spans="1:10" x14ac:dyDescent="0.25">
      <c r="A23" s="182" t="s">
        <v>1981</v>
      </c>
      <c r="B23" s="70">
        <v>52</v>
      </c>
      <c r="C23" s="8">
        <v>873</v>
      </c>
      <c r="D23" s="2">
        <f t="shared" si="1"/>
        <v>45396</v>
      </c>
      <c r="E23" s="2"/>
      <c r="F23" s="2"/>
      <c r="G23" s="2"/>
      <c r="I23" s="2"/>
      <c r="J23" s="2"/>
    </row>
    <row r="24" spans="1:10" x14ac:dyDescent="0.25">
      <c r="A24" s="182" t="s">
        <v>2171</v>
      </c>
      <c r="B24" s="70">
        <v>52</v>
      </c>
      <c r="C24" s="8">
        <v>922</v>
      </c>
      <c r="D24" s="2">
        <f t="shared" si="1"/>
        <v>47944</v>
      </c>
      <c r="E24" s="2"/>
      <c r="F24" s="2"/>
      <c r="G24" s="2"/>
      <c r="I24" s="2"/>
      <c r="J24" s="2"/>
    </row>
    <row r="25" spans="1:10" x14ac:dyDescent="0.25">
      <c r="A25" s="182" t="s">
        <v>2171</v>
      </c>
      <c r="B25" s="70">
        <v>52</v>
      </c>
      <c r="C25" s="8">
        <v>942</v>
      </c>
      <c r="D25" s="2">
        <f t="shared" si="1"/>
        <v>48984</v>
      </c>
      <c r="E25" s="2"/>
      <c r="F25" s="2"/>
      <c r="G25" s="2"/>
      <c r="I25" s="2"/>
      <c r="J25" s="2"/>
    </row>
    <row r="26" spans="1:10" x14ac:dyDescent="0.25">
      <c r="A26" s="182" t="s">
        <v>1398</v>
      </c>
      <c r="B26" s="70">
        <v>52</v>
      </c>
      <c r="C26" s="8">
        <v>936</v>
      </c>
      <c r="D26" s="2">
        <f t="shared" si="1"/>
        <v>48672</v>
      </c>
      <c r="E26" s="2"/>
      <c r="F26" s="2"/>
      <c r="G26" s="2"/>
      <c r="I26" s="2"/>
      <c r="J26" s="2"/>
    </row>
    <row r="27" spans="1:10" x14ac:dyDescent="0.25">
      <c r="A27" s="182" t="s">
        <v>1398</v>
      </c>
      <c r="B27" s="70">
        <v>52</v>
      </c>
      <c r="C27" s="8">
        <v>968</v>
      </c>
      <c r="D27" s="2">
        <f t="shared" si="1"/>
        <v>50336</v>
      </c>
      <c r="E27" s="2"/>
      <c r="F27" s="2"/>
      <c r="G27" s="2"/>
      <c r="I27" s="2"/>
      <c r="J27" s="2"/>
    </row>
    <row r="28" spans="1:10" x14ac:dyDescent="0.25">
      <c r="A28" s="182" t="s">
        <v>2171</v>
      </c>
      <c r="B28" s="70">
        <v>52</v>
      </c>
      <c r="C28" s="8">
        <v>1056</v>
      </c>
      <c r="D28" s="2">
        <f t="shared" si="1"/>
        <v>54912</v>
      </c>
      <c r="E28" s="2"/>
      <c r="F28" s="2"/>
      <c r="G28" s="2"/>
      <c r="I28" s="2"/>
      <c r="J28" s="2"/>
    </row>
    <row r="29" spans="1:10" x14ac:dyDescent="0.25">
      <c r="A29" s="182" t="s">
        <v>1982</v>
      </c>
      <c r="B29" s="70">
        <v>52</v>
      </c>
      <c r="C29" s="8">
        <v>1020</v>
      </c>
      <c r="D29" s="2">
        <f t="shared" si="1"/>
        <v>53040</v>
      </c>
      <c r="E29" s="2"/>
      <c r="F29" s="2"/>
      <c r="G29" s="2"/>
      <c r="I29" s="2"/>
      <c r="J29" s="2"/>
    </row>
    <row r="30" spans="1:10" x14ac:dyDescent="0.25">
      <c r="A30" s="182" t="s">
        <v>1981</v>
      </c>
      <c r="B30" s="70">
        <v>52</v>
      </c>
      <c r="C30" s="8">
        <v>796</v>
      </c>
      <c r="D30" s="2">
        <f t="shared" si="1"/>
        <v>41392</v>
      </c>
      <c r="E30" s="2"/>
      <c r="F30" s="2"/>
      <c r="G30" s="2"/>
      <c r="I30" s="2"/>
      <c r="J30" s="2"/>
    </row>
    <row r="31" spans="1:10" x14ac:dyDescent="0.25">
      <c r="A31" s="182" t="s">
        <v>2171</v>
      </c>
      <c r="B31" s="70">
        <v>52</v>
      </c>
      <c r="C31" s="8">
        <v>942</v>
      </c>
      <c r="D31" s="2">
        <f t="shared" si="1"/>
        <v>48984</v>
      </c>
      <c r="E31" s="2"/>
      <c r="F31" s="2"/>
      <c r="G31" s="2"/>
      <c r="I31" s="2"/>
      <c r="J31" s="2"/>
    </row>
    <row r="32" spans="1:10" x14ac:dyDescent="0.25">
      <c r="A32" s="182" t="s">
        <v>1981</v>
      </c>
      <c r="B32" s="70">
        <v>52</v>
      </c>
      <c r="C32" s="8">
        <v>828</v>
      </c>
      <c r="D32" s="2">
        <f t="shared" si="1"/>
        <v>43056</v>
      </c>
      <c r="E32" s="2"/>
      <c r="F32" s="2"/>
      <c r="G32" s="2"/>
      <c r="I32" s="2"/>
      <c r="J32" s="2"/>
    </row>
    <row r="33" spans="1:10" x14ac:dyDescent="0.25">
      <c r="A33" s="8" t="s">
        <v>1398</v>
      </c>
      <c r="B33" s="70">
        <v>52</v>
      </c>
      <c r="C33" s="8">
        <v>902</v>
      </c>
      <c r="D33" s="2">
        <f t="shared" si="1"/>
        <v>46904</v>
      </c>
      <c r="E33" s="2"/>
      <c r="F33" s="2"/>
      <c r="G33" s="2"/>
      <c r="I33" s="2"/>
      <c r="J33" s="2"/>
    </row>
    <row r="34" spans="1:10" x14ac:dyDescent="0.25">
      <c r="A34" s="8" t="s">
        <v>1983</v>
      </c>
      <c r="B34" s="70">
        <v>52</v>
      </c>
      <c r="C34" s="8">
        <v>945</v>
      </c>
      <c r="D34" s="2">
        <f>ROUND(B34*C34,0)</f>
        <v>49140</v>
      </c>
      <c r="E34" s="2"/>
      <c r="F34" s="2"/>
      <c r="G34" s="2"/>
      <c r="I34" s="2"/>
      <c r="J34" s="2"/>
    </row>
    <row r="35" spans="1:10" x14ac:dyDescent="0.25">
      <c r="A35" s="8" t="s">
        <v>995</v>
      </c>
      <c r="B35" s="2"/>
      <c r="C35" s="2"/>
      <c r="D35" s="2">
        <v>1500</v>
      </c>
      <c r="E35" s="2"/>
      <c r="F35" s="2"/>
      <c r="G35" s="2"/>
      <c r="I35" s="2"/>
      <c r="J35" s="2"/>
    </row>
    <row r="36" spans="1:10" ht="15" x14ac:dyDescent="0.4">
      <c r="A36" s="8" t="s">
        <v>1168</v>
      </c>
      <c r="B36" s="2">
        <v>9152</v>
      </c>
      <c r="C36" s="13">
        <v>0.75</v>
      </c>
      <c r="D36" s="12">
        <f>ROUND(B36*C36,0)</f>
        <v>6864</v>
      </c>
      <c r="E36" s="2"/>
      <c r="F36" s="2"/>
      <c r="G36" s="2"/>
      <c r="I36" s="2"/>
      <c r="J36" s="2"/>
    </row>
    <row r="37" spans="1:10" x14ac:dyDescent="0.25">
      <c r="A37" s="8" t="s">
        <v>1279</v>
      </c>
      <c r="B37" s="2"/>
      <c r="C37" s="2"/>
      <c r="D37" s="2">
        <f>SUM(D22:D36)</f>
        <v>632988</v>
      </c>
      <c r="E37" s="2"/>
      <c r="F37" s="2"/>
      <c r="G37" s="2"/>
      <c r="I37" s="2"/>
      <c r="J37" s="2"/>
    </row>
    <row r="38" spans="1:10" x14ac:dyDescent="0.25">
      <c r="C38" s="70"/>
      <c r="D38" s="2"/>
      <c r="E38" s="2"/>
      <c r="F38" s="2"/>
      <c r="G38" s="2"/>
      <c r="I38" s="2"/>
      <c r="J38" s="2"/>
    </row>
    <row r="39" spans="1:10" ht="13.8" x14ac:dyDescent="0.3">
      <c r="A39" s="11" t="s">
        <v>1462</v>
      </c>
      <c r="B39" s="13"/>
      <c r="D39" s="2"/>
      <c r="E39" s="2">
        <v>9792</v>
      </c>
      <c r="F39" s="2">
        <v>9477</v>
      </c>
      <c r="G39" s="2">
        <v>9764</v>
      </c>
      <c r="H39" s="2">
        <v>9764</v>
      </c>
      <c r="I39" s="2">
        <v>9764</v>
      </c>
      <c r="J39" s="2">
        <v>9764</v>
      </c>
    </row>
    <row r="40" spans="1:10" x14ac:dyDescent="0.25">
      <c r="A40" s="8" t="s">
        <v>751</v>
      </c>
      <c r="B40" s="2" t="s">
        <v>417</v>
      </c>
      <c r="C40" s="13" t="s">
        <v>417</v>
      </c>
      <c r="D40" s="2" t="s">
        <v>417</v>
      </c>
      <c r="E40" s="2"/>
      <c r="F40" s="2"/>
      <c r="G40" s="2"/>
      <c r="I40" s="2"/>
      <c r="J40" s="2"/>
    </row>
    <row r="41" spans="1:10" x14ac:dyDescent="0.25">
      <c r="A41" s="8" t="s">
        <v>1247</v>
      </c>
      <c r="B41" s="2">
        <v>180</v>
      </c>
      <c r="C41" s="13">
        <f>SUM(C14+C11)/40/2*1.5</f>
        <v>54.243750000000006</v>
      </c>
      <c r="D41" s="2">
        <f>+C41*B41</f>
        <v>9763.8750000000018</v>
      </c>
      <c r="E41" s="2"/>
      <c r="F41" s="2"/>
      <c r="G41" s="2"/>
      <c r="I41" s="2"/>
      <c r="J41" s="2"/>
    </row>
    <row r="42" spans="1:10" x14ac:dyDescent="0.25">
      <c r="B42" s="2"/>
      <c r="C42" s="13"/>
      <c r="D42" s="2"/>
      <c r="E42" s="2"/>
      <c r="F42" s="2"/>
      <c r="G42" s="2"/>
      <c r="I42" s="2"/>
      <c r="J42" s="2"/>
    </row>
    <row r="43" spans="1:10" x14ac:dyDescent="0.25">
      <c r="A43" s="8" t="s">
        <v>417</v>
      </c>
      <c r="B43" s="2"/>
      <c r="C43" s="13"/>
      <c r="D43" s="2"/>
      <c r="E43" s="2"/>
      <c r="F43" s="2"/>
      <c r="G43" s="2"/>
      <c r="I43" s="2"/>
      <c r="J43" s="2"/>
    </row>
    <row r="44" spans="1:10" ht="13.8" x14ac:dyDescent="0.3">
      <c r="A44" s="11" t="s">
        <v>483</v>
      </c>
      <c r="D44" s="2"/>
      <c r="E44" s="2">
        <v>10035.89</v>
      </c>
      <c r="F44" s="2">
        <v>16523</v>
      </c>
      <c r="G44" s="2">
        <v>18348</v>
      </c>
      <c r="H44" s="2">
        <v>18348</v>
      </c>
      <c r="I44" s="2">
        <v>18348</v>
      </c>
      <c r="J44" s="2">
        <v>18489</v>
      </c>
    </row>
    <row r="45" spans="1:10" x14ac:dyDescent="0.25">
      <c r="A45" s="8" t="s">
        <v>63</v>
      </c>
      <c r="B45" s="2">
        <v>640</v>
      </c>
      <c r="C45" s="13">
        <v>12.22</v>
      </c>
      <c r="D45" s="2">
        <f>ROUND(B45*C45,0)</f>
        <v>7821</v>
      </c>
      <c r="E45" s="2"/>
      <c r="F45" s="2"/>
      <c r="G45" s="2"/>
      <c r="I45" s="2"/>
      <c r="J45" s="2"/>
    </row>
    <row r="46" spans="1:10" ht="15" x14ac:dyDescent="0.4">
      <c r="A46" s="8" t="s">
        <v>1855</v>
      </c>
      <c r="B46" s="2">
        <v>848</v>
      </c>
      <c r="C46" s="13">
        <v>12.58</v>
      </c>
      <c r="D46" s="33">
        <f>ROUND(B46*C46,0)</f>
        <v>10668</v>
      </c>
      <c r="E46" s="2"/>
      <c r="F46" s="2"/>
      <c r="G46" s="2"/>
      <c r="I46" s="2"/>
      <c r="J46" s="2"/>
    </row>
    <row r="47" spans="1:10" x14ac:dyDescent="0.25">
      <c r="B47" s="2"/>
      <c r="C47" s="13"/>
      <c r="D47" s="3">
        <f>SUM(D45:D46)</f>
        <v>18489</v>
      </c>
      <c r="E47" s="2"/>
      <c r="F47" s="2"/>
      <c r="G47" s="2"/>
      <c r="I47" s="2"/>
      <c r="J47" s="2"/>
    </row>
    <row r="48" spans="1:10" x14ac:dyDescent="0.25">
      <c r="B48" s="2"/>
      <c r="C48" s="13"/>
      <c r="D48" s="3"/>
      <c r="E48" s="2"/>
      <c r="F48" s="2"/>
      <c r="G48" s="2"/>
      <c r="I48" s="2"/>
      <c r="J48" s="2"/>
    </row>
    <row r="49" spans="1:10" ht="13.8" x14ac:dyDescent="0.3">
      <c r="A49" s="11" t="s">
        <v>1017</v>
      </c>
      <c r="D49" s="2"/>
      <c r="E49" s="2">
        <v>60176</v>
      </c>
      <c r="F49" s="2">
        <v>67988</v>
      </c>
      <c r="G49" s="2">
        <v>72247</v>
      </c>
      <c r="H49" s="2">
        <v>72247</v>
      </c>
      <c r="I49" s="2">
        <v>72247</v>
      </c>
      <c r="J49" s="2">
        <v>72247</v>
      </c>
    </row>
    <row r="50" spans="1:10" x14ac:dyDescent="0.25">
      <c r="A50" s="8" t="s">
        <v>226</v>
      </c>
      <c r="B50" s="2" t="s">
        <v>417</v>
      </c>
      <c r="C50" s="13" t="s">
        <v>417</v>
      </c>
      <c r="D50" s="2" t="s">
        <v>417</v>
      </c>
      <c r="E50" s="2"/>
      <c r="F50" s="2"/>
      <c r="G50" s="2"/>
      <c r="I50" s="2"/>
      <c r="J50" s="2"/>
    </row>
    <row r="51" spans="1:10" x14ac:dyDescent="0.25">
      <c r="A51" s="8" t="s">
        <v>1614</v>
      </c>
      <c r="B51" s="2">
        <v>1902</v>
      </c>
      <c r="C51" s="13">
        <f>+SUM(C15:C34)/40/14*1.5</f>
        <v>38.043750000000003</v>
      </c>
      <c r="D51" s="2">
        <f>+C51*B51</f>
        <v>72359.212500000009</v>
      </c>
      <c r="E51" s="2"/>
      <c r="F51" s="2"/>
      <c r="G51" s="2"/>
      <c r="I51" s="2"/>
      <c r="J51" s="2"/>
    </row>
    <row r="52" spans="1:10" x14ac:dyDescent="0.25">
      <c r="B52" s="2"/>
      <c r="C52" s="13"/>
      <c r="D52" s="2"/>
      <c r="E52" s="2"/>
      <c r="F52" s="2"/>
      <c r="G52" s="2"/>
      <c r="I52" s="2"/>
      <c r="J52" s="2"/>
    </row>
    <row r="53" spans="1:10" ht="13.8" x14ac:dyDescent="0.3">
      <c r="A53" s="11" t="s">
        <v>685</v>
      </c>
      <c r="D53" s="2"/>
      <c r="E53" s="2">
        <v>84881</v>
      </c>
      <c r="F53" s="2">
        <v>94927</v>
      </c>
      <c r="G53" s="2">
        <v>97379</v>
      </c>
      <c r="H53" s="2">
        <v>97379</v>
      </c>
      <c r="I53" s="2">
        <v>97379</v>
      </c>
      <c r="J53" s="2">
        <v>97618</v>
      </c>
    </row>
    <row r="54" spans="1:10" hidden="1" x14ac:dyDescent="0.25">
      <c r="A54" s="14" t="s">
        <v>923</v>
      </c>
      <c r="B54" s="2">
        <f>+D7</f>
        <v>51272</v>
      </c>
      <c r="C54" s="15">
        <v>7.6499999999999999E-2</v>
      </c>
      <c r="D54" s="2">
        <f t="shared" ref="D54:D59" si="2">ROUND(B54*C54,0)</f>
        <v>3922</v>
      </c>
      <c r="E54" s="2"/>
      <c r="F54" s="2"/>
      <c r="G54" s="2"/>
      <c r="I54" s="2"/>
      <c r="J54" s="2"/>
    </row>
    <row r="55" spans="1:10" hidden="1" x14ac:dyDescent="0.25">
      <c r="A55" s="14" t="s">
        <v>1511</v>
      </c>
      <c r="B55" s="2">
        <f>+D18</f>
        <v>491194</v>
      </c>
      <c r="C55" s="15">
        <v>7.6499999999999999E-2</v>
      </c>
      <c r="D55" s="2">
        <f t="shared" si="2"/>
        <v>37576</v>
      </c>
      <c r="E55" s="2"/>
      <c r="F55" s="2"/>
      <c r="G55" s="2"/>
      <c r="I55" s="2"/>
      <c r="J55" s="2"/>
    </row>
    <row r="56" spans="1:10" hidden="1" x14ac:dyDescent="0.25">
      <c r="A56" s="14" t="s">
        <v>831</v>
      </c>
      <c r="B56" s="2">
        <f>+D37</f>
        <v>632988</v>
      </c>
      <c r="C56" s="15">
        <v>7.6499999999999999E-2</v>
      </c>
      <c r="D56" s="2">
        <f t="shared" si="2"/>
        <v>48424</v>
      </c>
      <c r="E56" s="2"/>
      <c r="F56" s="2"/>
      <c r="G56" s="2"/>
      <c r="I56" s="2"/>
      <c r="J56" s="2"/>
    </row>
    <row r="57" spans="1:10" hidden="1" x14ac:dyDescent="0.25">
      <c r="A57" s="14" t="s">
        <v>924</v>
      </c>
      <c r="B57" s="2">
        <f>+D41</f>
        <v>9763.8750000000018</v>
      </c>
      <c r="C57" s="15">
        <v>7.6499999999999999E-2</v>
      </c>
      <c r="D57" s="2">
        <f t="shared" si="2"/>
        <v>747</v>
      </c>
      <c r="E57" s="2"/>
      <c r="F57" s="2"/>
      <c r="G57" s="2"/>
      <c r="I57" s="2"/>
      <c r="J57" s="2"/>
    </row>
    <row r="58" spans="1:10" ht="15" hidden="1" x14ac:dyDescent="0.4">
      <c r="A58" s="14" t="s">
        <v>201</v>
      </c>
      <c r="B58" s="2">
        <f>+D47</f>
        <v>18489</v>
      </c>
      <c r="C58" s="15">
        <v>7.6499999999999999E-2</v>
      </c>
      <c r="D58" s="12">
        <f t="shared" si="2"/>
        <v>1414</v>
      </c>
      <c r="E58" s="2"/>
      <c r="F58" s="2"/>
      <c r="G58" s="2"/>
      <c r="I58" s="2"/>
      <c r="J58" s="2"/>
    </row>
    <row r="59" spans="1:10" ht="15" hidden="1" x14ac:dyDescent="0.4">
      <c r="A59" s="14" t="s">
        <v>202</v>
      </c>
      <c r="B59" s="2">
        <f>+D51</f>
        <v>72359.212500000009</v>
      </c>
      <c r="C59" s="15">
        <v>7.6499999999999999E-2</v>
      </c>
      <c r="D59" s="12">
        <f t="shared" si="2"/>
        <v>5535</v>
      </c>
      <c r="E59" s="2"/>
      <c r="F59" s="2"/>
      <c r="G59" s="2"/>
      <c r="I59" s="2"/>
      <c r="J59" s="2"/>
    </row>
    <row r="60" spans="1:10" hidden="1" x14ac:dyDescent="0.25">
      <c r="A60" s="8" t="s">
        <v>1279</v>
      </c>
      <c r="D60" s="2">
        <f>SUM(D54:D59)</f>
        <v>97618</v>
      </c>
      <c r="E60" s="2"/>
      <c r="F60" s="2"/>
      <c r="G60" s="2"/>
      <c r="I60" s="2"/>
      <c r="J60" s="2"/>
    </row>
    <row r="61" spans="1:10" x14ac:dyDescent="0.25">
      <c r="D61" s="2"/>
      <c r="E61" s="2"/>
      <c r="F61" s="2"/>
      <c r="G61" s="2"/>
      <c r="I61" s="2"/>
      <c r="J61" s="2"/>
    </row>
    <row r="62" spans="1:10" ht="13.8" x14ac:dyDescent="0.3">
      <c r="A62" s="11" t="s">
        <v>1169</v>
      </c>
      <c r="D62" s="2"/>
      <c r="E62" s="2">
        <v>121781.51</v>
      </c>
      <c r="F62" s="2">
        <v>136762</v>
      </c>
      <c r="G62" s="2">
        <v>152430</v>
      </c>
      <c r="H62" s="2">
        <v>152430</v>
      </c>
      <c r="I62" s="2">
        <v>152430</v>
      </c>
      <c r="J62" s="2">
        <v>152796</v>
      </c>
    </row>
    <row r="63" spans="1:10" hidden="1" x14ac:dyDescent="0.25">
      <c r="A63" s="25">
        <v>8102</v>
      </c>
      <c r="B63" s="2">
        <f>+B54</f>
        <v>51272</v>
      </c>
      <c r="C63" s="15">
        <v>0.1215</v>
      </c>
      <c r="D63" s="2">
        <f>ROUND(B63*C63,0)</f>
        <v>6230</v>
      </c>
      <c r="E63" s="2"/>
      <c r="F63" s="2"/>
      <c r="G63" s="2"/>
      <c r="I63" s="2"/>
      <c r="J63" s="2"/>
    </row>
    <row r="64" spans="1:10" hidden="1" x14ac:dyDescent="0.25">
      <c r="A64" s="14" t="s">
        <v>1511</v>
      </c>
      <c r="B64" s="2">
        <f>+B55</f>
        <v>491194</v>
      </c>
      <c r="C64" s="15">
        <v>0.1215</v>
      </c>
      <c r="D64" s="2">
        <f>ROUND(B64*C64,0)</f>
        <v>59680</v>
      </c>
      <c r="E64" s="2"/>
      <c r="F64" s="2"/>
      <c r="G64" s="2"/>
      <c r="I64" s="2"/>
      <c r="J64" s="2"/>
    </row>
    <row r="65" spans="1:10" hidden="1" x14ac:dyDescent="0.25">
      <c r="A65" s="25">
        <v>8104</v>
      </c>
      <c r="B65" s="2">
        <f>+B56</f>
        <v>632988</v>
      </c>
      <c r="C65" s="15">
        <v>0.1215</v>
      </c>
      <c r="D65" s="2">
        <f>ROUND(B65*C65,0)</f>
        <v>76908</v>
      </c>
      <c r="E65" s="2"/>
      <c r="F65" s="2"/>
      <c r="G65" s="2"/>
      <c r="I65" s="2"/>
      <c r="J65" s="2"/>
    </row>
    <row r="66" spans="1:10" hidden="1" x14ac:dyDescent="0.25">
      <c r="A66" s="14" t="s">
        <v>924</v>
      </c>
      <c r="B66" s="2">
        <f>+B57</f>
        <v>9763.8750000000018</v>
      </c>
      <c r="C66" s="15">
        <v>0.1215</v>
      </c>
      <c r="D66" s="2">
        <f>ROUND(B66*C66,0)</f>
        <v>1186</v>
      </c>
      <c r="E66" s="2"/>
      <c r="F66" s="2"/>
      <c r="G66" s="2"/>
      <c r="I66" s="2"/>
      <c r="J66" s="2"/>
    </row>
    <row r="67" spans="1:10" ht="15" hidden="1" x14ac:dyDescent="0.4">
      <c r="A67" s="36" t="s">
        <v>202</v>
      </c>
      <c r="B67" s="2">
        <f>+B59</f>
        <v>72359.212500000009</v>
      </c>
      <c r="C67" s="15">
        <v>0.1215</v>
      </c>
      <c r="D67" s="12">
        <f>ROUND(B67*C67,0)</f>
        <v>8792</v>
      </c>
      <c r="E67" s="2"/>
      <c r="F67" s="2"/>
      <c r="G67" s="2"/>
      <c r="I67" s="2"/>
      <c r="J67" s="2"/>
    </row>
    <row r="68" spans="1:10" hidden="1" x14ac:dyDescent="0.25">
      <c r="A68" s="8" t="s">
        <v>1279</v>
      </c>
      <c r="D68" s="2">
        <f>SUM(D63:D67)</f>
        <v>152796</v>
      </c>
      <c r="E68" s="2"/>
      <c r="F68" s="2"/>
      <c r="G68" s="2"/>
      <c r="I68" s="2"/>
      <c r="J68" s="2"/>
    </row>
    <row r="69" spans="1:10" x14ac:dyDescent="0.25">
      <c r="D69" s="2"/>
      <c r="E69" s="2"/>
      <c r="F69" s="2"/>
      <c r="G69" s="2"/>
      <c r="I69" s="2"/>
      <c r="J69" s="2"/>
    </row>
    <row r="70" spans="1:10" ht="13.8" x14ac:dyDescent="0.3">
      <c r="A70" s="11" t="s">
        <v>691</v>
      </c>
      <c r="D70" s="2"/>
      <c r="E70" s="2">
        <v>359440.84</v>
      </c>
      <c r="F70" s="2">
        <v>364000</v>
      </c>
      <c r="G70" s="2">
        <v>362250</v>
      </c>
      <c r="H70" s="2">
        <v>362250</v>
      </c>
      <c r="I70" s="2">
        <v>362250</v>
      </c>
      <c r="J70" s="2">
        <v>362250</v>
      </c>
    </row>
    <row r="71" spans="1:10" x14ac:dyDescent="0.25">
      <c r="A71" s="8" t="s">
        <v>324</v>
      </c>
      <c r="B71" s="2">
        <v>14</v>
      </c>
      <c r="C71" s="2">
        <v>17250</v>
      </c>
      <c r="D71" s="2">
        <f>ROUND(B71*C71,0)</f>
        <v>241500</v>
      </c>
      <c r="E71" s="2"/>
      <c r="F71" s="2"/>
      <c r="G71" s="2"/>
      <c r="I71" s="2"/>
      <c r="J71" s="2"/>
    </row>
    <row r="72" spans="1:10" x14ac:dyDescent="0.25">
      <c r="A72" s="8" t="s">
        <v>325</v>
      </c>
      <c r="B72" s="2">
        <v>2</v>
      </c>
      <c r="C72" s="2">
        <v>17250</v>
      </c>
      <c r="D72" s="2">
        <f>ROUND(B72*C72,0)</f>
        <v>34500</v>
      </c>
      <c r="E72" s="2"/>
      <c r="F72" s="2"/>
      <c r="G72" s="2"/>
      <c r="I72" s="2"/>
      <c r="J72" s="2"/>
    </row>
    <row r="73" spans="1:10" ht="15" x14ac:dyDescent="0.4">
      <c r="A73" s="8" t="s">
        <v>366</v>
      </c>
      <c r="B73" s="2">
        <v>5</v>
      </c>
      <c r="C73" s="2">
        <v>17250</v>
      </c>
      <c r="D73" s="12">
        <f>ROUND(B73*C73,0)</f>
        <v>86250</v>
      </c>
      <c r="E73" s="2"/>
      <c r="F73" s="2"/>
      <c r="G73" s="2"/>
      <c r="I73" s="2"/>
      <c r="J73" s="2"/>
    </row>
    <row r="74" spans="1:10" x14ac:dyDescent="0.25">
      <c r="A74" s="8" t="s">
        <v>825</v>
      </c>
      <c r="B74" s="2"/>
      <c r="C74" s="2"/>
      <c r="D74" s="2">
        <f>SUM(D71:D73)</f>
        <v>362250</v>
      </c>
      <c r="E74" s="2"/>
      <c r="F74" s="2"/>
      <c r="G74" s="2"/>
      <c r="I74" s="2"/>
      <c r="J74" s="2"/>
    </row>
    <row r="75" spans="1:10" x14ac:dyDescent="0.25">
      <c r="D75" s="2"/>
      <c r="E75" s="2"/>
      <c r="F75" s="2"/>
      <c r="G75" s="2"/>
      <c r="I75" s="2"/>
      <c r="J75" s="2"/>
    </row>
    <row r="76" spans="1:10" ht="13.8" x14ac:dyDescent="0.3">
      <c r="A76" s="11" t="s">
        <v>692</v>
      </c>
      <c r="D76" s="2"/>
      <c r="E76" s="2">
        <v>23746.11</v>
      </c>
      <c r="F76" s="2">
        <v>24570</v>
      </c>
      <c r="G76" s="2">
        <v>24570</v>
      </c>
      <c r="H76" s="2">
        <v>24570</v>
      </c>
      <c r="I76" s="2">
        <v>24570</v>
      </c>
      <c r="J76" s="2">
        <v>24570</v>
      </c>
    </row>
    <row r="77" spans="1:10" x14ac:dyDescent="0.25">
      <c r="A77" s="8" t="s">
        <v>324</v>
      </c>
      <c r="B77" s="2">
        <v>21</v>
      </c>
      <c r="C77" s="2">
        <v>1300</v>
      </c>
      <c r="D77" s="2">
        <f>+C77*B77</f>
        <v>27300</v>
      </c>
      <c r="E77" s="2"/>
      <c r="F77" s="2"/>
      <c r="G77" s="2"/>
      <c r="I77" s="2"/>
      <c r="J77" s="2"/>
    </row>
    <row r="78" spans="1:10" ht="15" x14ac:dyDescent="0.4">
      <c r="A78" s="8" t="s">
        <v>627</v>
      </c>
      <c r="B78" s="2"/>
      <c r="C78" s="2"/>
      <c r="D78" s="12">
        <f>D77*-0.1</f>
        <v>-2730</v>
      </c>
      <c r="E78" s="2"/>
      <c r="F78" s="2"/>
      <c r="G78" s="2"/>
      <c r="I78" s="2"/>
      <c r="J78" s="2"/>
    </row>
    <row r="79" spans="1:10" x14ac:dyDescent="0.25">
      <c r="A79" s="8" t="s">
        <v>825</v>
      </c>
      <c r="B79" s="2"/>
      <c r="C79" s="2"/>
      <c r="D79" s="2">
        <f>SUM(D77:D78)</f>
        <v>24570</v>
      </c>
      <c r="E79" s="2"/>
      <c r="F79" s="2"/>
      <c r="G79" s="2"/>
      <c r="I79" s="2"/>
      <c r="J79" s="2"/>
    </row>
    <row r="80" spans="1:10" x14ac:dyDescent="0.25">
      <c r="D80" s="2"/>
      <c r="E80" s="2"/>
      <c r="F80" s="2"/>
      <c r="G80" s="2"/>
      <c r="I80" s="2"/>
      <c r="J80" s="2"/>
    </row>
    <row r="81" spans="1:10" ht="13.8" x14ac:dyDescent="0.3">
      <c r="A81" s="11" t="s">
        <v>693</v>
      </c>
      <c r="D81" s="2"/>
      <c r="E81" s="2">
        <v>1371</v>
      </c>
      <c r="F81" s="2">
        <v>1435</v>
      </c>
      <c r="G81" s="2">
        <v>1435</v>
      </c>
      <c r="H81" s="2">
        <v>1435</v>
      </c>
      <c r="I81" s="2">
        <v>1435</v>
      </c>
      <c r="J81" s="2">
        <v>1435</v>
      </c>
    </row>
    <row r="82" spans="1:10" hidden="1" x14ac:dyDescent="0.25">
      <c r="A82" s="8" t="s">
        <v>241</v>
      </c>
      <c r="B82" s="2">
        <v>2</v>
      </c>
      <c r="C82" s="2">
        <v>135</v>
      </c>
      <c r="D82" s="2">
        <f>+C82*B82</f>
        <v>270</v>
      </c>
      <c r="E82" s="2"/>
      <c r="F82" s="2"/>
      <c r="G82" s="2"/>
      <c r="I82" s="2"/>
      <c r="J82" s="2"/>
    </row>
    <row r="83" spans="1:10" hidden="1" x14ac:dyDescent="0.25">
      <c r="A83" s="8" t="s">
        <v>365</v>
      </c>
      <c r="B83" s="2">
        <v>5</v>
      </c>
      <c r="C83" s="2">
        <v>135</v>
      </c>
      <c r="D83" s="2">
        <f>+C83*B83</f>
        <v>675</v>
      </c>
      <c r="E83" s="2"/>
      <c r="F83" s="2"/>
      <c r="G83" s="2"/>
      <c r="I83" s="2"/>
      <c r="J83" s="2"/>
    </row>
    <row r="84" spans="1:10" ht="15" hidden="1" x14ac:dyDescent="0.4">
      <c r="A84" s="8" t="s">
        <v>242</v>
      </c>
      <c r="B84" s="2">
        <v>14</v>
      </c>
      <c r="C84" s="2">
        <v>35</v>
      </c>
      <c r="D84" s="12">
        <f>+C84*B84</f>
        <v>490</v>
      </c>
      <c r="E84" s="2"/>
      <c r="F84" s="2"/>
      <c r="G84" s="2"/>
      <c r="I84" s="2"/>
      <c r="J84" s="2"/>
    </row>
    <row r="85" spans="1:10" hidden="1" x14ac:dyDescent="0.25">
      <c r="A85" s="8" t="s">
        <v>1279</v>
      </c>
      <c r="D85" s="2">
        <f>SUM(D82:D84)</f>
        <v>1435</v>
      </c>
      <c r="E85" s="2"/>
      <c r="F85" s="2"/>
      <c r="G85" s="2"/>
      <c r="I85" s="2"/>
      <c r="J85" s="2"/>
    </row>
    <row r="86" spans="1:10" x14ac:dyDescent="0.25">
      <c r="D86" s="2"/>
      <c r="E86" s="2"/>
      <c r="F86" s="2"/>
      <c r="G86" s="2"/>
      <c r="I86" s="2"/>
      <c r="J86" s="2"/>
    </row>
    <row r="87" spans="1:10" ht="13.8" x14ac:dyDescent="0.3">
      <c r="A87" s="11" t="s">
        <v>703</v>
      </c>
      <c r="D87" s="2"/>
      <c r="E87" s="2">
        <v>8395</v>
      </c>
      <c r="F87" s="2">
        <v>8610</v>
      </c>
      <c r="G87" s="2">
        <v>8610</v>
      </c>
      <c r="H87" s="2">
        <v>8610</v>
      </c>
      <c r="I87" s="2">
        <v>8610</v>
      </c>
      <c r="J87" s="2">
        <v>8610</v>
      </c>
    </row>
    <row r="88" spans="1:10" hidden="1" x14ac:dyDescent="0.25">
      <c r="A88" s="8" t="s">
        <v>241</v>
      </c>
      <c r="B88" s="2">
        <v>2</v>
      </c>
      <c r="C88" s="2">
        <v>410</v>
      </c>
      <c r="D88" s="2">
        <f>+C88*B88</f>
        <v>820</v>
      </c>
      <c r="E88" s="2"/>
      <c r="F88" s="2"/>
      <c r="G88" s="2"/>
      <c r="I88" s="2"/>
      <c r="J88" s="2"/>
    </row>
    <row r="89" spans="1:10" ht="15" hidden="1" x14ac:dyDescent="0.4">
      <c r="A89" s="8" t="s">
        <v>1452</v>
      </c>
      <c r="B89" s="2">
        <v>19</v>
      </c>
      <c r="C89" s="2">
        <v>410</v>
      </c>
      <c r="D89" s="12">
        <f>+C89*B89</f>
        <v>7790</v>
      </c>
      <c r="E89" s="2"/>
      <c r="F89" s="2"/>
      <c r="G89" s="2"/>
      <c r="I89" s="2"/>
      <c r="J89" s="2"/>
    </row>
    <row r="90" spans="1:10" hidden="1" x14ac:dyDescent="0.25">
      <c r="A90" s="8" t="s">
        <v>1279</v>
      </c>
      <c r="D90" s="2">
        <f>SUM(D88:D89)</f>
        <v>8610</v>
      </c>
      <c r="E90" s="2"/>
      <c r="F90" s="2"/>
      <c r="G90" s="2"/>
      <c r="I90" s="2"/>
      <c r="J90" s="2"/>
    </row>
    <row r="91" spans="1:10" x14ac:dyDescent="0.25">
      <c r="D91" s="2"/>
      <c r="E91" s="2"/>
      <c r="F91" s="2"/>
      <c r="G91" s="2"/>
      <c r="I91" s="2"/>
      <c r="J91" s="2"/>
    </row>
    <row r="92" spans="1:10" ht="13.8" x14ac:dyDescent="0.3">
      <c r="A92" s="11" t="s">
        <v>307</v>
      </c>
      <c r="D92" s="2"/>
      <c r="E92" s="2">
        <v>13794</v>
      </c>
      <c r="F92" s="2">
        <v>14289</v>
      </c>
      <c r="G92" s="2">
        <v>15075</v>
      </c>
      <c r="H92" s="2">
        <v>15855</v>
      </c>
      <c r="I92" s="2">
        <v>15855</v>
      </c>
      <c r="J92" s="2">
        <v>15896</v>
      </c>
    </row>
    <row r="93" spans="1:10" hidden="1" x14ac:dyDescent="0.25">
      <c r="A93" s="14" t="s">
        <v>923</v>
      </c>
      <c r="B93" s="2">
        <f>+B54</f>
        <v>51272</v>
      </c>
      <c r="C93" s="15">
        <v>1.6999999999999999E-3</v>
      </c>
      <c r="D93" s="2">
        <f t="shared" ref="D93:D98" si="3">ROUND(B93*C93,0)</f>
        <v>87</v>
      </c>
      <c r="E93" s="2"/>
      <c r="F93" s="2"/>
      <c r="G93" s="2"/>
      <c r="I93" s="2"/>
      <c r="J93" s="2"/>
    </row>
    <row r="94" spans="1:10" hidden="1" x14ac:dyDescent="0.25">
      <c r="A94" s="14" t="s">
        <v>1511</v>
      </c>
      <c r="B94" s="2">
        <f>+B55</f>
        <v>491194</v>
      </c>
      <c r="C94" s="15">
        <v>1.32E-2</v>
      </c>
      <c r="D94" s="2">
        <f t="shared" si="3"/>
        <v>6484</v>
      </c>
      <c r="E94" s="2"/>
      <c r="F94" s="2"/>
      <c r="G94" s="2"/>
      <c r="I94" s="2"/>
      <c r="J94" s="2"/>
    </row>
    <row r="95" spans="1:10" hidden="1" x14ac:dyDescent="0.25">
      <c r="A95" s="14" t="s">
        <v>831</v>
      </c>
      <c r="B95" s="2">
        <f>+B56</f>
        <v>632988</v>
      </c>
      <c r="C95" s="15">
        <v>1.32E-2</v>
      </c>
      <c r="D95" s="2">
        <f t="shared" si="3"/>
        <v>8355</v>
      </c>
      <c r="E95" s="2"/>
      <c r="F95" s="2"/>
      <c r="G95" s="2"/>
      <c r="I95" s="2"/>
      <c r="J95" s="2"/>
    </row>
    <row r="96" spans="1:10" hidden="1" x14ac:dyDescent="0.25">
      <c r="A96" s="14" t="s">
        <v>309</v>
      </c>
      <c r="B96" s="2">
        <f>+B57*0.67</f>
        <v>6541.7962500000012</v>
      </c>
      <c r="C96" s="15">
        <v>1.32E-2</v>
      </c>
      <c r="D96" s="2">
        <f t="shared" si="3"/>
        <v>86</v>
      </c>
      <c r="E96" s="2"/>
      <c r="F96" s="2"/>
      <c r="G96" s="2"/>
      <c r="I96" s="2"/>
      <c r="J96" s="2"/>
    </row>
    <row r="97" spans="1:10" hidden="1" x14ac:dyDescent="0.25">
      <c r="A97" s="14" t="s">
        <v>201</v>
      </c>
      <c r="B97" s="2">
        <f>+B58</f>
        <v>18489</v>
      </c>
      <c r="C97" s="15">
        <v>1.32E-2</v>
      </c>
      <c r="D97" s="2">
        <f t="shared" si="3"/>
        <v>244</v>
      </c>
      <c r="E97" s="2"/>
      <c r="F97" s="2"/>
      <c r="G97" s="2"/>
      <c r="I97" s="2"/>
      <c r="J97" s="2"/>
    </row>
    <row r="98" spans="1:10" ht="15" hidden="1" x14ac:dyDescent="0.4">
      <c r="A98" s="14" t="s">
        <v>354</v>
      </c>
      <c r="B98" s="2">
        <f>+B59*0.67</f>
        <v>48480.672375000009</v>
      </c>
      <c r="C98" s="15">
        <v>1.32E-2</v>
      </c>
      <c r="D98" s="12">
        <f t="shared" si="3"/>
        <v>640</v>
      </c>
      <c r="E98" s="2"/>
      <c r="F98" s="2"/>
      <c r="G98" s="2"/>
      <c r="I98" s="2"/>
      <c r="J98" s="2"/>
    </row>
    <row r="99" spans="1:10" hidden="1" x14ac:dyDescent="0.25">
      <c r="A99" s="8" t="s">
        <v>1279</v>
      </c>
      <c r="D99" s="2">
        <f>SUM(D93:D98)</f>
        <v>15896</v>
      </c>
      <c r="E99" s="2"/>
      <c r="F99" s="2"/>
      <c r="G99" s="2"/>
      <c r="I99" s="2"/>
      <c r="J99" s="2"/>
    </row>
    <row r="100" spans="1:10" x14ac:dyDescent="0.25">
      <c r="D100" s="2"/>
      <c r="E100" s="2"/>
      <c r="F100" s="2"/>
      <c r="G100" s="2"/>
      <c r="I100" s="2"/>
      <c r="J100" s="2"/>
    </row>
    <row r="101" spans="1:10" ht="13.8" x14ac:dyDescent="0.3">
      <c r="A101" s="11" t="s">
        <v>1486</v>
      </c>
      <c r="D101" s="2"/>
      <c r="E101" s="2">
        <v>1023</v>
      </c>
      <c r="F101" s="2">
        <v>1029</v>
      </c>
      <c r="G101" s="2">
        <v>750</v>
      </c>
      <c r="H101" s="2">
        <v>750</v>
      </c>
      <c r="I101" s="2">
        <v>750</v>
      </c>
      <c r="J101" s="2">
        <v>750</v>
      </c>
    </row>
    <row r="102" spans="1:10" hidden="1" x14ac:dyDescent="0.25">
      <c r="A102" s="14" t="s">
        <v>923</v>
      </c>
      <c r="B102" s="2">
        <v>1</v>
      </c>
      <c r="C102" s="2">
        <v>35</v>
      </c>
      <c r="D102" s="2">
        <f>+B102*C102</f>
        <v>35</v>
      </c>
      <c r="E102" s="2"/>
      <c r="F102" s="2"/>
      <c r="G102" s="2"/>
      <c r="I102" s="2"/>
      <c r="J102" s="2"/>
    </row>
    <row r="103" spans="1:10" hidden="1" x14ac:dyDescent="0.25">
      <c r="A103" s="14" t="s">
        <v>1511</v>
      </c>
      <c r="B103" s="2">
        <v>6</v>
      </c>
      <c r="C103" s="2">
        <v>35</v>
      </c>
      <c r="D103" s="2">
        <f>+B103*C103</f>
        <v>210</v>
      </c>
      <c r="E103" s="2"/>
      <c r="F103" s="49"/>
      <c r="G103" s="49"/>
      <c r="I103" s="2"/>
      <c r="J103" s="2"/>
    </row>
    <row r="104" spans="1:10" hidden="1" x14ac:dyDescent="0.25">
      <c r="A104" s="14" t="s">
        <v>831</v>
      </c>
      <c r="B104" s="2">
        <v>13</v>
      </c>
      <c r="C104" s="2">
        <v>35</v>
      </c>
      <c r="D104" s="2">
        <f>+B104*C104</f>
        <v>455</v>
      </c>
      <c r="E104" s="2"/>
      <c r="F104" s="49"/>
      <c r="G104" s="49"/>
      <c r="I104" s="2"/>
      <c r="J104" s="2"/>
    </row>
    <row r="105" spans="1:10" hidden="1" x14ac:dyDescent="0.25">
      <c r="A105" s="14" t="s">
        <v>201</v>
      </c>
      <c r="B105" s="2">
        <v>1</v>
      </c>
      <c r="C105" s="2">
        <v>35</v>
      </c>
      <c r="D105" s="2">
        <f>+B105*C105</f>
        <v>35</v>
      </c>
      <c r="E105" s="2"/>
      <c r="F105" s="49"/>
      <c r="G105" s="49"/>
      <c r="I105" s="2"/>
      <c r="J105" s="2"/>
    </row>
    <row r="106" spans="1:10" ht="15" hidden="1" x14ac:dyDescent="0.4">
      <c r="A106" s="14" t="s">
        <v>201</v>
      </c>
      <c r="B106" s="2">
        <v>6080</v>
      </c>
      <c r="C106" s="15">
        <v>2.5000000000000001E-3</v>
      </c>
      <c r="D106" s="12">
        <f>+B106*C106</f>
        <v>15.200000000000001</v>
      </c>
      <c r="E106" s="2"/>
      <c r="F106" s="49"/>
      <c r="G106" s="49"/>
      <c r="I106" s="2"/>
      <c r="J106" s="2"/>
    </row>
    <row r="107" spans="1:10" hidden="1" x14ac:dyDescent="0.25">
      <c r="A107" s="8" t="s">
        <v>1279</v>
      </c>
      <c r="D107" s="2">
        <f>SUM(D102:D106)</f>
        <v>750.2</v>
      </c>
      <c r="E107" s="2"/>
      <c r="F107" s="49"/>
      <c r="G107" s="49"/>
      <c r="I107" s="2"/>
      <c r="J107" s="2"/>
    </row>
    <row r="108" spans="1:10" x14ac:dyDescent="0.25">
      <c r="D108" s="2"/>
      <c r="E108" s="2"/>
      <c r="F108" s="49"/>
      <c r="G108" s="49"/>
      <c r="I108" s="2"/>
      <c r="J108" s="2"/>
    </row>
    <row r="109" spans="1:10" ht="13.8" x14ac:dyDescent="0.3">
      <c r="A109" s="55" t="s">
        <v>93</v>
      </c>
      <c r="B109" s="2" t="s">
        <v>417</v>
      </c>
      <c r="C109" s="2"/>
      <c r="D109" s="2"/>
      <c r="E109" s="2">
        <v>20530</v>
      </c>
      <c r="F109" s="49">
        <v>14968</v>
      </c>
      <c r="G109" s="49">
        <v>14503</v>
      </c>
      <c r="H109" s="2">
        <v>14503</v>
      </c>
      <c r="I109" s="2">
        <v>14503</v>
      </c>
      <c r="J109" s="2">
        <v>14503</v>
      </c>
    </row>
    <row r="110" spans="1:10" x14ac:dyDescent="0.25">
      <c r="A110" s="2" t="s">
        <v>316</v>
      </c>
      <c r="B110" s="2"/>
      <c r="C110" s="2"/>
      <c r="D110" s="2"/>
      <c r="E110" s="2"/>
      <c r="F110" s="49"/>
      <c r="G110" s="49"/>
      <c r="I110" s="2"/>
      <c r="J110" s="2"/>
    </row>
    <row r="111" spans="1:10" x14ac:dyDescent="0.25">
      <c r="A111" s="2" t="s">
        <v>2172</v>
      </c>
      <c r="B111" s="2"/>
      <c r="C111" s="2"/>
      <c r="D111" s="2">
        <v>11567</v>
      </c>
      <c r="E111" s="2"/>
      <c r="F111" s="49"/>
      <c r="G111" s="49"/>
      <c r="I111" s="2"/>
      <c r="J111" s="2"/>
    </row>
    <row r="112" spans="1:10" ht="15" x14ac:dyDescent="0.4">
      <c r="A112" s="2" t="s">
        <v>1885</v>
      </c>
      <c r="B112" s="2"/>
      <c r="C112" s="2"/>
      <c r="D112" s="12">
        <v>2936</v>
      </c>
      <c r="E112" s="2"/>
      <c r="F112" s="49"/>
      <c r="G112" s="49"/>
      <c r="I112" s="2"/>
      <c r="J112" s="2"/>
    </row>
    <row r="113" spans="1:10" x14ac:dyDescent="0.25">
      <c r="A113" s="2" t="s">
        <v>273</v>
      </c>
      <c r="B113" s="2"/>
      <c r="C113" s="2"/>
      <c r="D113" s="2">
        <f>SUM(D111:D112)</f>
        <v>14503</v>
      </c>
      <c r="E113" s="2"/>
      <c r="F113" s="49"/>
      <c r="G113" s="49"/>
      <c r="I113" s="2"/>
      <c r="J113" s="2"/>
    </row>
    <row r="114" spans="1:10" x14ac:dyDescent="0.25">
      <c r="D114" s="2"/>
      <c r="E114" s="2"/>
      <c r="F114" s="49"/>
      <c r="G114" s="49"/>
      <c r="I114" s="2"/>
      <c r="J114" s="2"/>
    </row>
    <row r="115" spans="1:10" ht="13.8" x14ac:dyDescent="0.3">
      <c r="A115" s="55" t="s">
        <v>1950</v>
      </c>
      <c r="D115" s="2">
        <v>0</v>
      </c>
      <c r="E115" s="2"/>
      <c r="F115" s="49">
        <v>11962</v>
      </c>
      <c r="G115" s="49">
        <v>0</v>
      </c>
      <c r="H115" s="2">
        <v>0</v>
      </c>
      <c r="I115" s="2">
        <v>3685</v>
      </c>
      <c r="J115" s="2">
        <v>0</v>
      </c>
    </row>
    <row r="116" spans="1:10" x14ac:dyDescent="0.25">
      <c r="D116" s="2"/>
      <c r="E116" s="2"/>
      <c r="F116" s="49"/>
      <c r="G116" s="49"/>
      <c r="I116" s="2"/>
      <c r="J116" s="2"/>
    </row>
    <row r="117" spans="1:10" ht="13.8" x14ac:dyDescent="0.3">
      <c r="A117" s="11" t="s">
        <v>1487</v>
      </c>
      <c r="D117" s="2"/>
      <c r="E117" s="2">
        <v>3007</v>
      </c>
      <c r="F117" s="49">
        <v>3000</v>
      </c>
      <c r="G117" s="49">
        <v>3000</v>
      </c>
      <c r="H117" s="2">
        <v>3000</v>
      </c>
      <c r="I117" s="2">
        <v>3000</v>
      </c>
      <c r="J117" s="2">
        <v>3000</v>
      </c>
    </row>
    <row r="118" spans="1:10" x14ac:dyDescent="0.25">
      <c r="A118" s="8" t="s">
        <v>1488</v>
      </c>
      <c r="D118" s="2" t="s">
        <v>417</v>
      </c>
      <c r="E118" s="2"/>
      <c r="F118" s="49"/>
      <c r="G118" s="49"/>
      <c r="I118" s="2"/>
      <c r="J118" s="2"/>
    </row>
    <row r="119" spans="1:10" x14ac:dyDescent="0.25">
      <c r="A119" s="8" t="s">
        <v>1813</v>
      </c>
      <c r="C119" s="2"/>
      <c r="D119" s="2"/>
      <c r="E119" s="2"/>
      <c r="F119" s="49"/>
      <c r="G119" s="49"/>
      <c r="I119" s="2"/>
      <c r="J119" s="2"/>
    </row>
    <row r="120" spans="1:10" x14ac:dyDescent="0.25">
      <c r="A120" s="8" t="s">
        <v>1279</v>
      </c>
      <c r="B120" s="2"/>
      <c r="C120" s="2"/>
      <c r="D120" s="2">
        <v>3000</v>
      </c>
      <c r="E120" s="2"/>
      <c r="F120" s="49"/>
      <c r="G120" s="49"/>
      <c r="I120" s="2"/>
      <c r="J120" s="2"/>
    </row>
    <row r="121" spans="1:10" x14ac:dyDescent="0.25">
      <c r="C121" s="2" t="s">
        <v>417</v>
      </c>
      <c r="D121" s="2" t="s">
        <v>417</v>
      </c>
      <c r="E121" s="2"/>
      <c r="F121" s="49"/>
      <c r="G121" s="49"/>
      <c r="I121" s="2"/>
      <c r="J121" s="2"/>
    </row>
    <row r="122" spans="1:10" ht="13.8" x14ac:dyDescent="0.3">
      <c r="A122" s="11" t="s">
        <v>359</v>
      </c>
      <c r="C122" s="2"/>
      <c r="D122" s="2"/>
      <c r="E122" s="2">
        <v>6817</v>
      </c>
      <c r="F122" s="49">
        <v>7900</v>
      </c>
      <c r="G122" s="49">
        <v>7900</v>
      </c>
      <c r="H122" s="2">
        <v>7900</v>
      </c>
      <c r="I122" s="2">
        <v>7900</v>
      </c>
      <c r="J122" s="2">
        <v>7900</v>
      </c>
    </row>
    <row r="123" spans="1:10" x14ac:dyDescent="0.25">
      <c r="A123" s="8" t="s">
        <v>861</v>
      </c>
      <c r="C123" s="2"/>
      <c r="D123" s="2">
        <v>2500</v>
      </c>
      <c r="E123" s="2"/>
      <c r="F123" s="49"/>
      <c r="G123" s="49"/>
      <c r="I123" s="2"/>
      <c r="J123" s="2"/>
    </row>
    <row r="124" spans="1:10" ht="15" x14ac:dyDescent="0.4">
      <c r="A124" s="8" t="s">
        <v>360</v>
      </c>
      <c r="C124" s="12"/>
      <c r="D124" s="12">
        <v>5400</v>
      </c>
      <c r="E124" s="2"/>
      <c r="F124" s="49"/>
      <c r="G124" s="49"/>
      <c r="I124" s="2"/>
      <c r="J124" s="2"/>
    </row>
    <row r="125" spans="1:10" x14ac:dyDescent="0.25">
      <c r="A125" s="8" t="s">
        <v>1279</v>
      </c>
      <c r="C125" s="2"/>
      <c r="D125" s="2">
        <v>7900</v>
      </c>
      <c r="E125" s="2"/>
      <c r="F125" s="49"/>
      <c r="G125" s="49"/>
      <c r="I125" s="2"/>
      <c r="J125" s="2"/>
    </row>
    <row r="126" spans="1:10" x14ac:dyDescent="0.25">
      <c r="C126" s="19"/>
      <c r="D126" s="19"/>
      <c r="E126" s="2"/>
      <c r="F126" s="49"/>
      <c r="G126" s="49"/>
      <c r="I126" s="2"/>
      <c r="J126" s="2"/>
    </row>
    <row r="127" spans="1:10" ht="13.8" x14ac:dyDescent="0.3">
      <c r="A127" s="11" t="s">
        <v>361</v>
      </c>
      <c r="C127" s="2"/>
      <c r="D127" s="2"/>
      <c r="E127" s="2">
        <v>5060</v>
      </c>
      <c r="F127" s="49">
        <v>5000</v>
      </c>
      <c r="G127" s="49">
        <v>5100</v>
      </c>
      <c r="H127" s="2">
        <v>5100</v>
      </c>
      <c r="I127" s="2">
        <v>5100</v>
      </c>
      <c r="J127" s="2">
        <v>5100</v>
      </c>
    </row>
    <row r="128" spans="1:10" x14ac:dyDescent="0.25">
      <c r="A128" s="7" t="s">
        <v>0</v>
      </c>
      <c r="B128" s="7"/>
      <c r="C128" s="2"/>
      <c r="D128" s="2">
        <v>400</v>
      </c>
      <c r="E128" s="2"/>
      <c r="F128" s="49"/>
      <c r="G128" s="49"/>
      <c r="I128" s="2"/>
      <c r="J128" s="2"/>
    </row>
    <row r="129" spans="1:10" x14ac:dyDescent="0.25">
      <c r="A129" s="7" t="s">
        <v>1921</v>
      </c>
      <c r="B129" s="7"/>
      <c r="C129" s="2"/>
      <c r="D129" s="2">
        <v>1300</v>
      </c>
      <c r="E129" s="2"/>
      <c r="F129" s="49"/>
      <c r="G129" s="49"/>
      <c r="I129" s="2"/>
      <c r="J129" s="2"/>
    </row>
    <row r="130" spans="1:10" x14ac:dyDescent="0.25">
      <c r="A130" s="7" t="s">
        <v>1814</v>
      </c>
      <c r="B130" s="7"/>
      <c r="C130" s="2"/>
      <c r="D130" s="2">
        <v>1900</v>
      </c>
      <c r="E130" s="2"/>
      <c r="F130" s="49"/>
      <c r="G130" s="49"/>
      <c r="I130" s="2"/>
      <c r="J130" s="2"/>
    </row>
    <row r="131" spans="1:10" x14ac:dyDescent="0.25">
      <c r="A131" s="7" t="s">
        <v>1</v>
      </c>
      <c r="B131" s="7"/>
      <c r="C131" s="2"/>
      <c r="D131" s="2">
        <v>700</v>
      </c>
      <c r="E131" s="2"/>
      <c r="F131" s="49"/>
      <c r="G131" s="49"/>
      <c r="I131" s="2"/>
      <c r="J131" s="2"/>
    </row>
    <row r="132" spans="1:10" ht="15" x14ac:dyDescent="0.4">
      <c r="A132" s="7" t="s">
        <v>1147</v>
      </c>
      <c r="B132" s="7"/>
      <c r="C132" s="12"/>
      <c r="D132" s="12">
        <v>800</v>
      </c>
      <c r="E132" s="2"/>
      <c r="F132" s="49"/>
      <c r="G132" s="49"/>
      <c r="I132" s="2"/>
      <c r="J132" s="2"/>
    </row>
    <row r="133" spans="1:10" x14ac:dyDescent="0.25">
      <c r="A133" s="7" t="s">
        <v>1279</v>
      </c>
      <c r="B133" s="7"/>
      <c r="C133" s="2"/>
      <c r="D133" s="2">
        <f>SUM(D128:D132)</f>
        <v>5100</v>
      </c>
      <c r="E133" s="2"/>
      <c r="F133" s="49"/>
      <c r="G133" s="49"/>
      <c r="I133" s="2"/>
      <c r="J133" s="2"/>
    </row>
    <row r="134" spans="1:10" x14ac:dyDescent="0.25">
      <c r="B134" s="2"/>
      <c r="C134" s="19"/>
      <c r="D134" s="19"/>
      <c r="E134" s="2"/>
      <c r="F134" s="49"/>
      <c r="G134" s="49"/>
      <c r="I134" s="2"/>
      <c r="J134" s="2"/>
    </row>
    <row r="135" spans="1:10" ht="13.8" x14ac:dyDescent="0.3">
      <c r="A135" s="11" t="s">
        <v>1193</v>
      </c>
      <c r="D135" s="2" t="s">
        <v>417</v>
      </c>
      <c r="E135" s="2">
        <v>9201</v>
      </c>
      <c r="F135" s="49">
        <v>9492</v>
      </c>
      <c r="G135" s="49">
        <v>9492</v>
      </c>
      <c r="H135" s="2">
        <v>9492</v>
      </c>
      <c r="I135" s="2">
        <v>9492</v>
      </c>
      <c r="J135" s="2">
        <v>9492</v>
      </c>
    </row>
    <row r="136" spans="1:10" x14ac:dyDescent="0.25">
      <c r="A136" s="8" t="s">
        <v>50</v>
      </c>
      <c r="B136" s="2">
        <v>3</v>
      </c>
      <c r="C136" s="2">
        <v>255</v>
      </c>
      <c r="D136" s="2">
        <v>765</v>
      </c>
      <c r="E136" s="2"/>
      <c r="F136" s="49"/>
      <c r="G136" s="49"/>
      <c r="I136" s="2"/>
      <c r="J136" s="2"/>
    </row>
    <row r="137" spans="1:10" x14ac:dyDescent="0.25">
      <c r="A137" s="8" t="s">
        <v>1092</v>
      </c>
      <c r="B137" s="2">
        <v>3</v>
      </c>
      <c r="C137" s="2">
        <v>130</v>
      </c>
      <c r="D137" s="2">
        <v>390</v>
      </c>
      <c r="E137" s="2"/>
      <c r="F137" s="49"/>
      <c r="G137" s="49"/>
      <c r="I137" s="2"/>
      <c r="J137" s="2"/>
    </row>
    <row r="138" spans="1:10" x14ac:dyDescent="0.25">
      <c r="A138" s="8" t="s">
        <v>1194</v>
      </c>
      <c r="B138" s="2">
        <v>2</v>
      </c>
      <c r="C138" s="2">
        <v>350</v>
      </c>
      <c r="D138" s="2">
        <v>700</v>
      </c>
      <c r="E138" s="2"/>
      <c r="F138" s="49"/>
      <c r="G138" s="49"/>
      <c r="I138" s="2"/>
      <c r="J138" s="2"/>
    </row>
    <row r="139" spans="1:10" x14ac:dyDescent="0.25">
      <c r="A139" s="8" t="s">
        <v>1020</v>
      </c>
      <c r="B139" s="2">
        <v>2</v>
      </c>
      <c r="C139" s="2">
        <v>75</v>
      </c>
      <c r="D139" s="2">
        <v>150</v>
      </c>
      <c r="E139" s="2"/>
      <c r="F139" s="49"/>
      <c r="G139" s="49"/>
      <c r="I139" s="2"/>
      <c r="J139" s="2"/>
    </row>
    <row r="140" spans="1:10" x14ac:dyDescent="0.25">
      <c r="A140" s="8" t="s">
        <v>1292</v>
      </c>
      <c r="B140" s="2">
        <v>17</v>
      </c>
      <c r="C140" s="2">
        <v>260</v>
      </c>
      <c r="D140" s="2">
        <f>+C140*B140</f>
        <v>4420</v>
      </c>
      <c r="E140" s="2"/>
      <c r="F140" s="49"/>
      <c r="G140" s="49"/>
      <c r="I140" s="2"/>
      <c r="J140" s="2"/>
    </row>
    <row r="141" spans="1:10" x14ac:dyDescent="0.25">
      <c r="A141" s="8" t="s">
        <v>1815</v>
      </c>
      <c r="B141" s="2">
        <v>1</v>
      </c>
      <c r="C141" s="135">
        <v>2.25</v>
      </c>
      <c r="D141" s="2">
        <v>117</v>
      </c>
      <c r="E141" s="2"/>
      <c r="F141" s="49"/>
      <c r="G141" s="49"/>
      <c r="I141" s="2"/>
      <c r="J141" s="2"/>
    </row>
    <row r="142" spans="1:10" x14ac:dyDescent="0.25">
      <c r="A142" s="8" t="s">
        <v>1021</v>
      </c>
      <c r="B142" s="2">
        <v>2</v>
      </c>
      <c r="C142" s="2">
        <v>75</v>
      </c>
      <c r="D142" s="2">
        <v>150</v>
      </c>
      <c r="E142" s="2"/>
      <c r="F142" s="49"/>
      <c r="G142" s="49"/>
      <c r="I142" s="2"/>
      <c r="J142" s="2"/>
    </row>
    <row r="143" spans="1:10" x14ac:dyDescent="0.25">
      <c r="A143" s="8" t="s">
        <v>932</v>
      </c>
      <c r="B143" s="2">
        <v>14</v>
      </c>
      <c r="C143" s="2">
        <v>200</v>
      </c>
      <c r="D143" s="37">
        <f>+B143*C143</f>
        <v>2800</v>
      </c>
      <c r="E143" s="2"/>
      <c r="F143" s="49"/>
      <c r="G143" s="49"/>
      <c r="I143" s="2"/>
      <c r="J143" s="2"/>
    </row>
    <row r="144" spans="1:10" x14ac:dyDescent="0.25">
      <c r="A144" s="8" t="s">
        <v>1279</v>
      </c>
      <c r="D144" s="2">
        <f>SUM(D136:D143)</f>
        <v>9492</v>
      </c>
      <c r="E144" s="2"/>
      <c r="I144" s="2"/>
      <c r="J144" s="2"/>
    </row>
    <row r="145" spans="1:10" x14ac:dyDescent="0.25">
      <c r="D145" s="2"/>
      <c r="E145" s="2"/>
      <c r="I145" s="2"/>
      <c r="J145" s="2"/>
    </row>
    <row r="146" spans="1:10" ht="13.8" x14ac:dyDescent="0.3">
      <c r="A146" s="11" t="s">
        <v>388</v>
      </c>
      <c r="D146" s="2"/>
      <c r="E146" s="2">
        <v>28319</v>
      </c>
      <c r="F146" s="49">
        <v>28000</v>
      </c>
      <c r="G146" s="49">
        <v>28000</v>
      </c>
      <c r="H146" s="2">
        <v>28000</v>
      </c>
      <c r="I146" s="2">
        <v>28000</v>
      </c>
      <c r="J146" s="2">
        <v>28000</v>
      </c>
    </row>
    <row r="147" spans="1:10" x14ac:dyDescent="0.25">
      <c r="A147" s="8" t="s">
        <v>1816</v>
      </c>
      <c r="D147" s="2"/>
      <c r="E147" s="2"/>
      <c r="F147" s="49"/>
      <c r="G147" s="49"/>
      <c r="I147" s="2"/>
      <c r="J147" s="2"/>
    </row>
    <row r="148" spans="1:10" x14ac:dyDescent="0.25">
      <c r="A148" s="8" t="s">
        <v>64</v>
      </c>
      <c r="C148" s="2"/>
      <c r="D148" s="2">
        <v>28000</v>
      </c>
      <c r="E148" s="2"/>
      <c r="F148" s="49"/>
      <c r="G148" s="49"/>
      <c r="I148" s="2"/>
      <c r="J148" s="2"/>
    </row>
    <row r="149" spans="1:10" x14ac:dyDescent="0.25">
      <c r="C149" s="2"/>
      <c r="D149" s="2"/>
      <c r="E149" s="2"/>
      <c r="F149" s="49"/>
      <c r="G149" s="49"/>
      <c r="I149" s="2"/>
      <c r="J149" s="2"/>
    </row>
    <row r="150" spans="1:10" ht="13.8" x14ac:dyDescent="0.3">
      <c r="A150" s="11" t="s">
        <v>389</v>
      </c>
      <c r="C150" s="2"/>
      <c r="D150" s="2"/>
      <c r="E150" s="2">
        <v>3900</v>
      </c>
      <c r="F150" s="49">
        <v>3000</v>
      </c>
      <c r="G150" s="49">
        <v>3000</v>
      </c>
      <c r="H150" s="2">
        <v>3000</v>
      </c>
      <c r="I150" s="2">
        <v>3000</v>
      </c>
      <c r="J150" s="2">
        <v>3000</v>
      </c>
    </row>
    <row r="151" spans="1:10" x14ac:dyDescent="0.25">
      <c r="A151" s="8" t="s">
        <v>1390</v>
      </c>
      <c r="C151" s="2"/>
      <c r="D151" s="2">
        <v>3000</v>
      </c>
      <c r="E151" s="2"/>
      <c r="F151" s="49"/>
      <c r="G151" s="49"/>
      <c r="I151" s="2"/>
      <c r="J151" s="2"/>
    </row>
    <row r="152" spans="1:10" x14ac:dyDescent="0.25">
      <c r="C152" s="2"/>
      <c r="D152" s="2"/>
      <c r="E152" s="2"/>
      <c r="F152" s="49"/>
      <c r="G152" s="49"/>
      <c r="I152" s="2"/>
      <c r="J152" s="2"/>
    </row>
    <row r="153" spans="1:10" ht="13.8" x14ac:dyDescent="0.3">
      <c r="A153" s="11" t="s">
        <v>887</v>
      </c>
      <c r="C153" s="2"/>
      <c r="D153" s="2"/>
      <c r="E153" s="2">
        <f>1902+214</f>
        <v>2116</v>
      </c>
      <c r="F153" s="49">
        <v>1750</v>
      </c>
      <c r="G153" s="49">
        <v>2000</v>
      </c>
      <c r="H153" s="2">
        <v>2000</v>
      </c>
      <c r="I153" s="2">
        <v>2000</v>
      </c>
      <c r="J153" s="2">
        <v>2000</v>
      </c>
    </row>
    <row r="154" spans="1:10" x14ac:dyDescent="0.25">
      <c r="A154" s="8" t="s">
        <v>1817</v>
      </c>
      <c r="C154" s="2"/>
      <c r="D154" s="2">
        <v>2000</v>
      </c>
      <c r="E154" s="2"/>
      <c r="F154" s="49"/>
      <c r="G154" s="49"/>
      <c r="I154" s="2"/>
      <c r="J154" s="2"/>
    </row>
    <row r="155" spans="1:10" x14ac:dyDescent="0.25">
      <c r="C155" s="2"/>
      <c r="D155" s="2"/>
      <c r="E155" s="2"/>
      <c r="F155" s="49"/>
      <c r="G155" s="49"/>
      <c r="I155" s="2"/>
      <c r="J155" s="2"/>
    </row>
    <row r="156" spans="1:10" ht="13.8" x14ac:dyDescent="0.3">
      <c r="A156" s="11" t="s">
        <v>372</v>
      </c>
      <c r="C156" s="2"/>
      <c r="D156" s="2"/>
      <c r="E156" s="2">
        <v>361454</v>
      </c>
      <c r="F156" s="49">
        <v>398011</v>
      </c>
      <c r="G156" s="49">
        <v>433395</v>
      </c>
      <c r="H156" s="2">
        <v>433395</v>
      </c>
      <c r="I156" s="2">
        <v>433395</v>
      </c>
      <c r="J156" s="2">
        <v>433395</v>
      </c>
    </row>
    <row r="157" spans="1:10" x14ac:dyDescent="0.25">
      <c r="A157" s="8" t="s">
        <v>373</v>
      </c>
      <c r="C157" s="2"/>
      <c r="D157" s="2">
        <v>313125</v>
      </c>
      <c r="E157" s="2"/>
      <c r="I157" s="2"/>
      <c r="J157" s="2"/>
    </row>
    <row r="158" spans="1:10" x14ac:dyDescent="0.25">
      <c r="A158" s="8" t="s">
        <v>1057</v>
      </c>
      <c r="C158" s="2"/>
      <c r="D158" s="2">
        <v>8025</v>
      </c>
      <c r="E158" s="2"/>
      <c r="F158" s="49"/>
      <c r="G158" s="49"/>
      <c r="I158" s="2"/>
      <c r="J158" s="2"/>
    </row>
    <row r="159" spans="1:10" x14ac:dyDescent="0.25">
      <c r="A159" s="8" t="s">
        <v>1058</v>
      </c>
      <c r="C159" s="2"/>
      <c r="D159" s="2">
        <v>5800</v>
      </c>
      <c r="E159" s="2"/>
      <c r="F159" s="49"/>
      <c r="G159" s="49"/>
      <c r="I159" s="2"/>
      <c r="J159" s="2"/>
    </row>
    <row r="160" spans="1:10" x14ac:dyDescent="0.25">
      <c r="A160" s="8" t="s">
        <v>774</v>
      </c>
      <c r="C160" s="2"/>
      <c r="D160" s="2">
        <v>2500</v>
      </c>
      <c r="E160" s="2"/>
      <c r="F160" s="49"/>
      <c r="G160" s="49"/>
      <c r="I160" s="2"/>
      <c r="J160" s="2"/>
    </row>
    <row r="161" spans="1:10" x14ac:dyDescent="0.25">
      <c r="A161" s="8" t="s">
        <v>1142</v>
      </c>
      <c r="C161" s="2"/>
      <c r="D161" s="2">
        <v>1885</v>
      </c>
      <c r="E161" s="2"/>
      <c r="F161" s="49"/>
      <c r="G161" s="49"/>
      <c r="I161" s="2"/>
      <c r="J161" s="2"/>
    </row>
    <row r="162" spans="1:10" x14ac:dyDescent="0.25">
      <c r="A162" s="8" t="s">
        <v>1587</v>
      </c>
      <c r="C162" s="2"/>
      <c r="D162" s="2">
        <v>1225</v>
      </c>
      <c r="E162" s="2"/>
      <c r="F162" s="49"/>
      <c r="G162" s="49"/>
      <c r="I162" s="2"/>
      <c r="J162" s="2"/>
    </row>
    <row r="163" spans="1:10" x14ac:dyDescent="0.25">
      <c r="A163" s="8" t="s">
        <v>775</v>
      </c>
      <c r="C163" s="2"/>
      <c r="D163" s="2">
        <v>1150</v>
      </c>
      <c r="E163" s="2"/>
      <c r="F163" s="49"/>
      <c r="G163" s="49"/>
      <c r="I163" s="2"/>
      <c r="J163" s="2"/>
    </row>
    <row r="164" spans="1:10" x14ac:dyDescent="0.25">
      <c r="A164" s="8" t="s">
        <v>2173</v>
      </c>
      <c r="C164" s="2"/>
      <c r="D164" s="2">
        <v>2160</v>
      </c>
      <c r="E164" s="2"/>
      <c r="F164" s="49"/>
      <c r="G164" s="49"/>
      <c r="I164" s="2"/>
      <c r="J164" s="2"/>
    </row>
    <row r="165" spans="1:10" ht="15" x14ac:dyDescent="0.4">
      <c r="A165" s="8" t="s">
        <v>776</v>
      </c>
      <c r="C165" s="12"/>
      <c r="D165" s="12">
        <v>97525</v>
      </c>
      <c r="E165" s="2"/>
      <c r="F165" s="49"/>
      <c r="G165" s="49"/>
      <c r="I165" s="2"/>
      <c r="J165" s="2"/>
    </row>
    <row r="166" spans="1:10" x14ac:dyDescent="0.25">
      <c r="A166" s="8" t="s">
        <v>1279</v>
      </c>
      <c r="C166" s="2"/>
      <c r="D166" s="2">
        <f>SUM(D157:D165)</f>
        <v>433395</v>
      </c>
      <c r="E166" s="2"/>
      <c r="F166" s="49"/>
      <c r="G166" s="49"/>
      <c r="I166" s="2"/>
      <c r="J166" s="2"/>
    </row>
    <row r="167" spans="1:10" x14ac:dyDescent="0.25">
      <c r="C167" s="2"/>
      <c r="D167" s="2"/>
      <c r="E167" s="2"/>
      <c r="F167" s="49"/>
      <c r="G167" s="49"/>
      <c r="I167" s="2"/>
      <c r="J167" s="2"/>
    </row>
    <row r="168" spans="1:10" ht="13.8" x14ac:dyDescent="0.3">
      <c r="A168" s="11" t="s">
        <v>407</v>
      </c>
      <c r="C168" s="2"/>
      <c r="D168" s="2"/>
      <c r="E168" s="2">
        <v>62144</v>
      </c>
      <c r="F168" s="49">
        <v>80316</v>
      </c>
      <c r="G168" s="49">
        <v>74075</v>
      </c>
      <c r="H168" s="2">
        <v>74075</v>
      </c>
      <c r="I168" s="2">
        <v>74075</v>
      </c>
      <c r="J168" s="2">
        <v>74075</v>
      </c>
    </row>
    <row r="169" spans="1:10" x14ac:dyDescent="0.25">
      <c r="A169" s="8" t="s">
        <v>2174</v>
      </c>
      <c r="C169" s="2"/>
      <c r="D169" s="2">
        <v>13000</v>
      </c>
      <c r="E169" s="2"/>
      <c r="F169" s="49"/>
      <c r="G169" s="49"/>
      <c r="I169" s="2"/>
      <c r="J169" s="2"/>
    </row>
    <row r="170" spans="1:10" x14ac:dyDescent="0.25">
      <c r="A170" s="8" t="s">
        <v>2175</v>
      </c>
      <c r="C170" s="2"/>
      <c r="D170" s="2">
        <v>13600</v>
      </c>
      <c r="E170" s="2"/>
      <c r="F170" s="49"/>
      <c r="G170" s="49"/>
      <c r="I170" s="2"/>
      <c r="J170" s="2"/>
    </row>
    <row r="171" spans="1:10" x14ac:dyDescent="0.25">
      <c r="A171" s="8" t="s">
        <v>1236</v>
      </c>
      <c r="C171" s="2"/>
      <c r="D171" s="2">
        <v>2475</v>
      </c>
      <c r="E171" s="2"/>
      <c r="F171" s="49"/>
      <c r="G171" s="49"/>
      <c r="I171" s="2"/>
      <c r="J171" s="2"/>
    </row>
    <row r="172" spans="1:10" ht="15" x14ac:dyDescent="0.4">
      <c r="A172" s="8" t="s">
        <v>1133</v>
      </c>
      <c r="C172" s="12"/>
      <c r="D172" s="12">
        <v>45000</v>
      </c>
      <c r="E172" s="2"/>
      <c r="F172" s="49"/>
      <c r="G172" s="49"/>
      <c r="I172" s="2"/>
      <c r="J172" s="2"/>
    </row>
    <row r="173" spans="1:10" x14ac:dyDescent="0.25">
      <c r="A173" s="8" t="s">
        <v>1279</v>
      </c>
      <c r="C173" s="2"/>
      <c r="D173" s="2">
        <f>SUM(D169:D172)</f>
        <v>74075</v>
      </c>
      <c r="E173" s="2"/>
      <c r="F173" s="49"/>
      <c r="G173" s="49"/>
      <c r="I173" s="2"/>
      <c r="J173" s="2"/>
    </row>
    <row r="174" spans="1:10" x14ac:dyDescent="0.25">
      <c r="D174" s="2"/>
      <c r="E174" s="2"/>
      <c r="F174" s="49"/>
      <c r="G174" s="49"/>
      <c r="I174" s="2"/>
      <c r="J174" s="2"/>
    </row>
    <row r="175" spans="1:10" ht="13.8" x14ac:dyDescent="0.3">
      <c r="A175" s="11" t="s">
        <v>1134</v>
      </c>
      <c r="D175" s="2"/>
      <c r="E175" s="2">
        <v>569</v>
      </c>
      <c r="F175" s="49">
        <v>2400</v>
      </c>
      <c r="G175" s="49">
        <v>2400</v>
      </c>
      <c r="H175" s="2">
        <v>2400</v>
      </c>
      <c r="I175" s="2">
        <v>2400</v>
      </c>
      <c r="J175" s="2">
        <v>2400</v>
      </c>
    </row>
    <row r="176" spans="1:10" x14ac:dyDescent="0.25">
      <c r="A176" s="8" t="s">
        <v>1058</v>
      </c>
      <c r="B176" s="2">
        <v>300</v>
      </c>
      <c r="C176" s="13">
        <v>3</v>
      </c>
      <c r="D176" s="2">
        <f>+C176*B176</f>
        <v>900</v>
      </c>
      <c r="E176" s="2"/>
      <c r="F176" s="49"/>
      <c r="G176" s="49"/>
      <c r="I176" s="2"/>
      <c r="J176" s="2"/>
    </row>
    <row r="177" spans="1:10" ht="15" x14ac:dyDescent="0.4">
      <c r="A177" s="8" t="s">
        <v>1135</v>
      </c>
      <c r="B177" s="2">
        <v>500</v>
      </c>
      <c r="C177" s="13">
        <v>3</v>
      </c>
      <c r="D177" s="12">
        <f>B177*C177</f>
        <v>1500</v>
      </c>
      <c r="E177" s="2"/>
      <c r="F177" s="49"/>
      <c r="G177" s="49"/>
      <c r="I177" s="2"/>
      <c r="J177" s="2"/>
    </row>
    <row r="178" spans="1:10" x14ac:dyDescent="0.25">
      <c r="A178" s="8" t="s">
        <v>1279</v>
      </c>
      <c r="D178" s="2">
        <f>SUM(D176:D177)</f>
        <v>2400</v>
      </c>
      <c r="E178" s="2"/>
      <c r="I178" s="2"/>
      <c r="J178" s="2"/>
    </row>
    <row r="179" spans="1:10" x14ac:dyDescent="0.25">
      <c r="D179" s="2"/>
      <c r="E179" s="2"/>
      <c r="I179" s="2"/>
      <c r="J179" s="2"/>
    </row>
    <row r="180" spans="1:10" ht="13.8" x14ac:dyDescent="0.3">
      <c r="A180" s="16" t="s">
        <v>232</v>
      </c>
      <c r="D180" s="2"/>
      <c r="E180" s="2">
        <v>9350</v>
      </c>
      <c r="F180" s="49">
        <v>10882</v>
      </c>
      <c r="G180" s="49">
        <v>10000</v>
      </c>
      <c r="H180" s="2">
        <v>10000</v>
      </c>
      <c r="I180" s="2">
        <v>10000</v>
      </c>
      <c r="J180" s="2">
        <v>10000</v>
      </c>
    </row>
    <row r="181" spans="1:10" x14ac:dyDescent="0.25">
      <c r="A181" s="8" t="s">
        <v>1237</v>
      </c>
      <c r="C181" s="2"/>
      <c r="D181" s="2">
        <v>2200</v>
      </c>
      <c r="E181" s="2"/>
      <c r="F181" s="49"/>
      <c r="G181" s="49"/>
      <c r="I181" s="2"/>
      <c r="J181" s="2"/>
    </row>
    <row r="182" spans="1:10" x14ac:dyDescent="0.25">
      <c r="A182" s="8" t="s">
        <v>1238</v>
      </c>
      <c r="C182" s="2"/>
      <c r="D182" s="2">
        <v>2000</v>
      </c>
      <c r="E182" s="2"/>
      <c r="F182" s="49"/>
      <c r="G182" s="49"/>
      <c r="I182" s="2"/>
      <c r="J182" s="2"/>
    </row>
    <row r="183" spans="1:10" x14ac:dyDescent="0.25">
      <c r="A183" s="8" t="s">
        <v>1239</v>
      </c>
      <c r="C183" s="2"/>
      <c r="D183" s="2">
        <v>1075</v>
      </c>
      <c r="E183" s="2"/>
      <c r="F183" s="49"/>
      <c r="G183" s="49"/>
      <c r="I183" s="2"/>
      <c r="J183" s="2"/>
    </row>
    <row r="184" spans="1:10" x14ac:dyDescent="0.25">
      <c r="A184" s="8" t="s">
        <v>1431</v>
      </c>
      <c r="C184" s="2"/>
      <c r="D184" s="2">
        <v>349</v>
      </c>
      <c r="E184" s="2"/>
      <c r="F184" s="49"/>
      <c r="G184" s="49"/>
      <c r="I184" s="2"/>
      <c r="J184" s="2"/>
    </row>
    <row r="185" spans="1:10" x14ac:dyDescent="0.25">
      <c r="A185" s="8" t="s">
        <v>1240</v>
      </c>
      <c r="C185" s="2"/>
      <c r="D185" s="2">
        <v>1676</v>
      </c>
      <c r="E185" s="2"/>
      <c r="F185" s="49"/>
      <c r="G185" s="49"/>
      <c r="I185" s="2"/>
      <c r="J185" s="2"/>
    </row>
    <row r="186" spans="1:10" x14ac:dyDescent="0.25">
      <c r="A186" s="8" t="s">
        <v>1615</v>
      </c>
      <c r="C186" s="2"/>
      <c r="D186" s="2">
        <v>1500</v>
      </c>
      <c r="E186" s="2"/>
      <c r="F186" s="49"/>
      <c r="G186" s="49"/>
      <c r="I186" s="2"/>
      <c r="J186" s="2"/>
    </row>
    <row r="187" spans="1:10" ht="15" x14ac:dyDescent="0.4">
      <c r="A187" s="8" t="s">
        <v>1818</v>
      </c>
      <c r="C187" s="12"/>
      <c r="D187" s="12">
        <v>1200</v>
      </c>
      <c r="E187" s="2"/>
      <c r="F187" s="49"/>
      <c r="G187" s="49"/>
      <c r="I187" s="2"/>
      <c r="J187" s="2"/>
    </row>
    <row r="188" spans="1:10" x14ac:dyDescent="0.25">
      <c r="A188" s="8" t="s">
        <v>1279</v>
      </c>
      <c r="C188" s="2"/>
      <c r="D188" s="2">
        <f>SUM(D181:D187)</f>
        <v>10000</v>
      </c>
      <c r="E188" s="2"/>
      <c r="F188" s="49"/>
      <c r="G188" s="49"/>
      <c r="I188" s="2"/>
      <c r="J188" s="2"/>
    </row>
    <row r="189" spans="1:10" x14ac:dyDescent="0.25">
      <c r="C189" s="2"/>
      <c r="D189" s="2"/>
      <c r="E189" s="2"/>
      <c r="F189" s="49"/>
      <c r="G189" s="49"/>
      <c r="I189" s="2"/>
      <c r="J189" s="2"/>
    </row>
    <row r="190" spans="1:10" ht="13.8" x14ac:dyDescent="0.3">
      <c r="A190" s="11" t="s">
        <v>377</v>
      </c>
      <c r="C190" s="2"/>
      <c r="D190" s="2"/>
      <c r="E190" s="2">
        <v>42701</v>
      </c>
      <c r="F190" s="49">
        <v>40000</v>
      </c>
      <c r="G190" s="49">
        <v>45000</v>
      </c>
      <c r="H190" s="2">
        <v>45000</v>
      </c>
      <c r="I190" s="2">
        <v>45000</v>
      </c>
      <c r="J190" s="2">
        <v>45000</v>
      </c>
    </row>
    <row r="191" spans="1:10" x14ac:dyDescent="0.25">
      <c r="A191" s="8" t="s">
        <v>378</v>
      </c>
      <c r="C191" s="2"/>
      <c r="D191" s="2">
        <v>45000</v>
      </c>
      <c r="E191" s="2"/>
      <c r="F191" s="49"/>
      <c r="G191" s="49"/>
      <c r="I191" s="2"/>
      <c r="J191" s="2"/>
    </row>
    <row r="192" spans="1:10" x14ac:dyDescent="0.25">
      <c r="D192" s="2"/>
      <c r="E192" s="2"/>
      <c r="F192" s="49"/>
      <c r="G192" s="49"/>
      <c r="I192" s="2"/>
      <c r="J192" s="2"/>
    </row>
    <row r="193" spans="1:10" ht="13.8" x14ac:dyDescent="0.3">
      <c r="A193" s="11" t="s">
        <v>649</v>
      </c>
      <c r="D193" s="2"/>
      <c r="E193" s="2">
        <v>33824</v>
      </c>
      <c r="F193" s="49">
        <v>42520</v>
      </c>
      <c r="G193" s="49">
        <v>42950</v>
      </c>
      <c r="H193" s="2">
        <v>42950</v>
      </c>
      <c r="I193" s="2">
        <v>42950</v>
      </c>
      <c r="J193" s="2">
        <v>42950</v>
      </c>
    </row>
    <row r="194" spans="1:10" x14ac:dyDescent="0.25">
      <c r="A194" s="8" t="s">
        <v>1317</v>
      </c>
      <c r="B194" s="2">
        <v>4300</v>
      </c>
      <c r="C194" s="13">
        <v>2.5</v>
      </c>
      <c r="D194" s="2">
        <f>+C194*B194</f>
        <v>10750</v>
      </c>
      <c r="E194" s="2"/>
      <c r="F194" s="49"/>
      <c r="G194" s="49"/>
      <c r="I194" s="2"/>
      <c r="J194" s="2"/>
    </row>
    <row r="195" spans="1:10" x14ac:dyDescent="0.25">
      <c r="A195" s="8" t="s">
        <v>2176</v>
      </c>
      <c r="B195" s="2">
        <v>10500</v>
      </c>
      <c r="C195" s="13">
        <v>2.8</v>
      </c>
      <c r="D195" s="2">
        <f>+C195*B195</f>
        <v>29399.999999999996</v>
      </c>
      <c r="E195" s="2"/>
      <c r="F195" s="49"/>
      <c r="G195" s="49"/>
      <c r="I195" s="2"/>
      <c r="J195" s="2"/>
    </row>
    <row r="196" spans="1:10" ht="15" x14ac:dyDescent="0.4">
      <c r="A196" s="8" t="s">
        <v>1396</v>
      </c>
      <c r="B196" s="2">
        <v>1000</v>
      </c>
      <c r="C196" s="13">
        <v>2.8</v>
      </c>
      <c r="D196" s="12">
        <f>+C196*B196</f>
        <v>2800</v>
      </c>
      <c r="E196" s="2"/>
      <c r="F196" s="49"/>
      <c r="G196" s="49"/>
      <c r="I196" s="2"/>
      <c r="J196" s="2"/>
    </row>
    <row r="197" spans="1:10" x14ac:dyDescent="0.25">
      <c r="E197" s="2"/>
      <c r="F197" s="49"/>
      <c r="G197" s="49"/>
      <c r="I197" s="2"/>
      <c r="J197" s="2"/>
    </row>
    <row r="198" spans="1:10" x14ac:dyDescent="0.25">
      <c r="A198" s="8" t="s">
        <v>1279</v>
      </c>
      <c r="D198" s="2">
        <f>SUM(D194:D196)</f>
        <v>42950</v>
      </c>
      <c r="E198" s="2"/>
      <c r="F198" s="49"/>
      <c r="G198" s="49"/>
      <c r="I198" s="2"/>
      <c r="J198" s="2"/>
    </row>
    <row r="199" spans="1:10" x14ac:dyDescent="0.25">
      <c r="D199" s="2"/>
      <c r="E199" s="2"/>
      <c r="F199" s="49"/>
      <c r="G199" s="49"/>
      <c r="I199" s="2"/>
      <c r="J199" s="2"/>
    </row>
    <row r="200" spans="1:10" ht="13.8" x14ac:dyDescent="0.3">
      <c r="A200" s="11" t="s">
        <v>1467</v>
      </c>
      <c r="D200" s="2"/>
      <c r="E200" s="2">
        <v>7974</v>
      </c>
      <c r="F200" s="49">
        <v>7427</v>
      </c>
      <c r="G200" s="49">
        <v>8362</v>
      </c>
      <c r="H200" s="2">
        <v>8362</v>
      </c>
      <c r="I200" s="2">
        <v>8362</v>
      </c>
      <c r="J200" s="2">
        <v>8362</v>
      </c>
    </row>
    <row r="201" spans="1:10" x14ac:dyDescent="0.25">
      <c r="A201" s="8" t="s">
        <v>977</v>
      </c>
      <c r="C201" s="2"/>
      <c r="D201" s="2">
        <v>3700</v>
      </c>
      <c r="E201" s="2"/>
      <c r="F201" s="49"/>
      <c r="G201" s="49"/>
      <c r="I201" s="2"/>
      <c r="J201" s="2"/>
    </row>
    <row r="202" spans="1:10" x14ac:dyDescent="0.25">
      <c r="A202" s="8" t="s">
        <v>1241</v>
      </c>
      <c r="C202" s="2"/>
      <c r="D202" s="2">
        <v>4287</v>
      </c>
      <c r="E202" s="2"/>
      <c r="F202" s="49"/>
      <c r="G202" s="49"/>
      <c r="I202" s="2"/>
      <c r="J202" s="2"/>
    </row>
    <row r="203" spans="1:10" ht="15" x14ac:dyDescent="0.4">
      <c r="A203" s="8" t="s">
        <v>187</v>
      </c>
      <c r="B203" s="2" t="s">
        <v>417</v>
      </c>
      <c r="C203" s="12">
        <v>136</v>
      </c>
      <c r="D203" s="12">
        <v>375</v>
      </c>
      <c r="E203" s="2"/>
      <c r="F203" s="49"/>
      <c r="G203" s="49"/>
      <c r="I203" s="2"/>
      <c r="J203" s="2"/>
    </row>
    <row r="204" spans="1:10" x14ac:dyDescent="0.25">
      <c r="A204" s="8" t="s">
        <v>1279</v>
      </c>
      <c r="C204" s="2"/>
      <c r="D204" s="2">
        <f>SUM(D201:D203)</f>
        <v>8362</v>
      </c>
      <c r="E204" s="2"/>
      <c r="F204" s="49"/>
      <c r="G204" s="49"/>
      <c r="I204" s="2"/>
      <c r="J204" s="2"/>
    </row>
    <row r="205" spans="1:10" x14ac:dyDescent="0.25">
      <c r="C205" s="2"/>
      <c r="D205" s="2"/>
      <c r="E205" s="2"/>
      <c r="F205" s="49"/>
      <c r="G205" s="49"/>
      <c r="I205" s="2"/>
      <c r="J205" s="2"/>
    </row>
    <row r="206" spans="1:10" ht="13.8" x14ac:dyDescent="0.3">
      <c r="A206" s="11" t="s">
        <v>1116</v>
      </c>
      <c r="C206" s="9" t="s">
        <v>417</v>
      </c>
      <c r="D206" s="9" t="s">
        <v>417</v>
      </c>
      <c r="E206" s="2">
        <v>4679</v>
      </c>
      <c r="F206" s="49">
        <v>4918</v>
      </c>
      <c r="G206" s="49">
        <v>4918</v>
      </c>
      <c r="H206" s="2">
        <v>4918</v>
      </c>
      <c r="I206" s="2">
        <v>4918</v>
      </c>
      <c r="J206" s="2">
        <v>4918</v>
      </c>
    </row>
    <row r="207" spans="1:10" x14ac:dyDescent="0.25">
      <c r="A207" s="8" t="s">
        <v>362</v>
      </c>
      <c r="B207" s="2" t="s">
        <v>417</v>
      </c>
      <c r="C207" s="2"/>
      <c r="D207" s="2">
        <v>375</v>
      </c>
      <c r="E207" s="2"/>
      <c r="F207" s="49"/>
      <c r="G207" s="49"/>
      <c r="I207" s="2"/>
      <c r="J207" s="2"/>
    </row>
    <row r="208" spans="1:10" x14ac:dyDescent="0.25">
      <c r="A208" s="8" t="s">
        <v>915</v>
      </c>
      <c r="B208" s="2"/>
      <c r="C208" s="2"/>
      <c r="D208" s="2">
        <v>2773</v>
      </c>
      <c r="E208" s="2"/>
      <c r="F208" s="49"/>
      <c r="G208" s="49"/>
      <c r="I208" s="2"/>
      <c r="J208" s="2"/>
    </row>
    <row r="209" spans="1:10" x14ac:dyDescent="0.25">
      <c r="A209" s="8" t="s">
        <v>188</v>
      </c>
      <c r="B209" s="2"/>
      <c r="C209" s="2"/>
      <c r="D209" s="2">
        <v>450</v>
      </c>
      <c r="E209" s="2"/>
      <c r="F209" s="49"/>
      <c r="G209" s="49"/>
      <c r="I209" s="2"/>
      <c r="J209" s="2"/>
    </row>
    <row r="210" spans="1:10" x14ac:dyDescent="0.25">
      <c r="A210" s="8" t="s">
        <v>363</v>
      </c>
      <c r="B210" s="2"/>
      <c r="C210" s="2"/>
      <c r="D210" s="2">
        <v>900</v>
      </c>
      <c r="E210" s="2"/>
      <c r="F210" s="49"/>
      <c r="G210" s="49"/>
      <c r="I210" s="2"/>
      <c r="J210" s="2"/>
    </row>
    <row r="211" spans="1:10" ht="15" x14ac:dyDescent="0.4">
      <c r="A211" s="8" t="s">
        <v>916</v>
      </c>
      <c r="B211" s="2"/>
      <c r="C211" s="12"/>
      <c r="D211" s="12">
        <v>420</v>
      </c>
      <c r="E211" s="2"/>
      <c r="F211" s="49"/>
      <c r="G211" s="49"/>
      <c r="I211" s="2"/>
      <c r="J211" s="2"/>
    </row>
    <row r="212" spans="1:10" x14ac:dyDescent="0.25">
      <c r="A212" s="8" t="s">
        <v>1279</v>
      </c>
      <c r="B212" s="2"/>
      <c r="C212" s="2"/>
      <c r="D212" s="2">
        <f>SUM(D207:D211)</f>
        <v>4918</v>
      </c>
      <c r="E212" s="2"/>
      <c r="I212" s="2"/>
      <c r="J212" s="2"/>
    </row>
    <row r="213" spans="1:10" hidden="1" x14ac:dyDescent="0.25">
      <c r="A213" s="8" t="s">
        <v>417</v>
      </c>
      <c r="C213" s="2" t="s">
        <v>417</v>
      </c>
      <c r="D213" s="2" t="s">
        <v>417</v>
      </c>
      <c r="E213" s="2"/>
      <c r="I213" s="2"/>
      <c r="J213" s="2"/>
    </row>
    <row r="214" spans="1:10" ht="13.8" x14ac:dyDescent="0.3">
      <c r="A214" s="18" t="s">
        <v>909</v>
      </c>
      <c r="C214" s="2"/>
      <c r="D214" s="2"/>
      <c r="E214" s="2">
        <v>48639</v>
      </c>
      <c r="F214" s="49">
        <v>73043</v>
      </c>
      <c r="G214" s="49">
        <v>57248</v>
      </c>
      <c r="H214" s="2">
        <v>53813</v>
      </c>
      <c r="I214" s="2">
        <v>53813</v>
      </c>
      <c r="J214" s="2">
        <v>53813</v>
      </c>
    </row>
    <row r="215" spans="1:10" x14ac:dyDescent="0.25">
      <c r="A215" s="8" t="s">
        <v>1788</v>
      </c>
      <c r="C215" s="2"/>
      <c r="D215" s="2">
        <v>53813</v>
      </c>
      <c r="E215" s="2"/>
      <c r="I215" s="2"/>
      <c r="J215" s="2"/>
    </row>
    <row r="216" spans="1:10" x14ac:dyDescent="0.25">
      <c r="C216" s="2"/>
      <c r="D216" s="2"/>
      <c r="E216" s="2"/>
      <c r="F216" s="49"/>
      <c r="G216" s="49"/>
      <c r="I216" s="2"/>
      <c r="J216" s="2"/>
    </row>
    <row r="217" spans="1:10" x14ac:dyDescent="0.25">
      <c r="C217" s="2"/>
      <c r="D217" s="2"/>
      <c r="E217" s="2"/>
      <c r="F217" s="49"/>
      <c r="G217" s="49"/>
      <c r="I217" s="2"/>
      <c r="J217" s="2"/>
    </row>
    <row r="218" spans="1:10" ht="13.8" x14ac:dyDescent="0.3">
      <c r="A218" s="11" t="s">
        <v>1079</v>
      </c>
      <c r="C218" s="2"/>
      <c r="D218" s="2"/>
      <c r="E218" s="2">
        <v>796</v>
      </c>
      <c r="F218" s="49">
        <v>1500</v>
      </c>
      <c r="G218" s="49">
        <v>2500</v>
      </c>
      <c r="H218" s="2">
        <v>2500</v>
      </c>
      <c r="I218" s="2">
        <v>2500</v>
      </c>
      <c r="J218" s="2">
        <v>2500</v>
      </c>
    </row>
    <row r="219" spans="1:10" x14ac:dyDescent="0.25">
      <c r="A219" s="8" t="s">
        <v>2177</v>
      </c>
      <c r="C219" s="2" t="s">
        <v>417</v>
      </c>
      <c r="D219" s="2" t="s">
        <v>417</v>
      </c>
      <c r="E219" s="2"/>
      <c r="F219" s="49"/>
      <c r="G219" s="49"/>
      <c r="I219" s="2"/>
      <c r="J219" s="2"/>
    </row>
    <row r="220" spans="1:10" x14ac:dyDescent="0.25">
      <c r="A220" s="8" t="s">
        <v>1819</v>
      </c>
      <c r="C220" s="2"/>
      <c r="D220" s="2">
        <v>2500</v>
      </c>
      <c r="E220" s="2"/>
      <c r="F220" s="49"/>
      <c r="G220" s="49"/>
      <c r="I220" s="2"/>
      <c r="J220" s="2"/>
    </row>
    <row r="221" spans="1:10" x14ac:dyDescent="0.25">
      <c r="C221" s="2"/>
      <c r="D221" s="2"/>
      <c r="E221" s="2"/>
      <c r="F221" s="49"/>
      <c r="G221" s="49"/>
      <c r="I221" s="2"/>
      <c r="J221" s="2"/>
    </row>
    <row r="222" spans="1:10" ht="13.8" x14ac:dyDescent="0.3">
      <c r="A222" s="11" t="s">
        <v>677</v>
      </c>
      <c r="B222" s="8" t="s">
        <v>65</v>
      </c>
      <c r="C222" s="2" t="s">
        <v>66</v>
      </c>
      <c r="D222" s="2" t="s">
        <v>67</v>
      </c>
      <c r="E222" s="2">
        <v>65116</v>
      </c>
      <c r="F222" s="49">
        <v>88625</v>
      </c>
      <c r="G222" s="49">
        <v>75125</v>
      </c>
      <c r="H222" s="2">
        <v>75125</v>
      </c>
      <c r="I222" s="2">
        <v>75125</v>
      </c>
      <c r="J222" s="2">
        <v>75125</v>
      </c>
    </row>
    <row r="223" spans="1:10" x14ac:dyDescent="0.25">
      <c r="A223" s="8" t="s">
        <v>68</v>
      </c>
      <c r="B223" s="8">
        <v>0.75</v>
      </c>
      <c r="C223" s="2">
        <v>30000</v>
      </c>
      <c r="D223" s="2">
        <f>B223*C223</f>
        <v>22500</v>
      </c>
      <c r="E223" s="2"/>
      <c r="I223" s="2"/>
      <c r="J223" s="2"/>
    </row>
    <row r="224" spans="1:10" x14ac:dyDescent="0.25">
      <c r="A224" s="8" t="s">
        <v>69</v>
      </c>
      <c r="B224" s="8">
        <v>0.3</v>
      </c>
      <c r="C224" s="2">
        <v>15000</v>
      </c>
      <c r="D224" s="2">
        <f>B224*C224</f>
        <v>4500</v>
      </c>
      <c r="E224" s="2"/>
      <c r="F224" s="49"/>
      <c r="G224" s="49"/>
      <c r="I224" s="2"/>
      <c r="J224" s="2"/>
    </row>
    <row r="225" spans="1:10" x14ac:dyDescent="0.25">
      <c r="A225" s="8" t="s">
        <v>1073</v>
      </c>
      <c r="B225" s="8">
        <v>0.9</v>
      </c>
      <c r="C225" s="2">
        <v>14000</v>
      </c>
      <c r="D225" s="2">
        <f>B225*C225</f>
        <v>12600</v>
      </c>
      <c r="E225" s="2"/>
      <c r="F225" s="49"/>
      <c r="G225" s="49"/>
      <c r="I225" s="2"/>
      <c r="J225" s="2"/>
    </row>
    <row r="226" spans="1:10" x14ac:dyDescent="0.25">
      <c r="A226" s="8" t="s">
        <v>678</v>
      </c>
      <c r="B226" s="8">
        <v>0.1</v>
      </c>
      <c r="C226" s="2">
        <v>350000</v>
      </c>
      <c r="D226" s="2">
        <f>B226*C226</f>
        <v>35000</v>
      </c>
      <c r="E226" s="2"/>
      <c r="F226" s="49"/>
      <c r="G226" s="49"/>
      <c r="I226" s="2"/>
      <c r="J226" s="2"/>
    </row>
    <row r="227" spans="1:10" ht="15" x14ac:dyDescent="0.4">
      <c r="A227" s="8" t="s">
        <v>1616</v>
      </c>
      <c r="B227" s="8">
        <v>0.15</v>
      </c>
      <c r="C227" s="12">
        <v>3500</v>
      </c>
      <c r="D227" s="12">
        <f>B227*C227</f>
        <v>525</v>
      </c>
      <c r="E227" s="2"/>
      <c r="F227" s="49"/>
      <c r="G227" s="49"/>
      <c r="I227" s="2"/>
      <c r="J227" s="2"/>
    </row>
    <row r="228" spans="1:10" x14ac:dyDescent="0.25">
      <c r="A228" s="8" t="s">
        <v>1279</v>
      </c>
      <c r="C228" s="2"/>
      <c r="D228" s="2">
        <f>SUM(D223:D227)</f>
        <v>75125</v>
      </c>
      <c r="E228" s="2"/>
      <c r="F228" s="49"/>
      <c r="G228" s="49"/>
      <c r="I228" s="2"/>
      <c r="J228" s="2"/>
    </row>
    <row r="229" spans="1:10" x14ac:dyDescent="0.25">
      <c r="I229" s="2"/>
      <c r="J229" s="2"/>
    </row>
    <row r="230" spans="1:10" ht="15" x14ac:dyDescent="0.4">
      <c r="A230" s="11" t="s">
        <v>1212</v>
      </c>
      <c r="B230" s="8" t="s">
        <v>65</v>
      </c>
      <c r="C230" s="12" t="s">
        <v>1242</v>
      </c>
      <c r="D230" s="12"/>
      <c r="E230" s="2">
        <v>254131</v>
      </c>
      <c r="F230" s="49">
        <v>268000</v>
      </c>
      <c r="G230" s="49">
        <v>261500</v>
      </c>
      <c r="H230" s="2">
        <v>248000</v>
      </c>
      <c r="I230" s="2">
        <v>248000</v>
      </c>
      <c r="J230" s="2">
        <v>248000</v>
      </c>
    </row>
    <row r="231" spans="1:10" x14ac:dyDescent="0.25">
      <c r="A231" s="8" t="s">
        <v>2178</v>
      </c>
      <c r="B231" s="8">
        <v>13.5</v>
      </c>
      <c r="C231" s="2">
        <v>18000</v>
      </c>
      <c r="D231" s="2">
        <f>B231*C231</f>
        <v>243000</v>
      </c>
      <c r="E231" s="2"/>
      <c r="F231" s="49"/>
      <c r="G231" s="49"/>
      <c r="I231" s="2"/>
      <c r="J231" s="2"/>
    </row>
    <row r="232" spans="1:10" ht="15" x14ac:dyDescent="0.4">
      <c r="A232" s="8" t="s">
        <v>2179</v>
      </c>
      <c r="C232" s="2"/>
      <c r="D232" s="12">
        <v>5000</v>
      </c>
      <c r="E232" s="2"/>
      <c r="F232" s="49"/>
      <c r="G232" s="49"/>
      <c r="I232" s="2"/>
      <c r="J232" s="2"/>
    </row>
    <row r="233" spans="1:10" x14ac:dyDescent="0.25">
      <c r="A233" s="8" t="s">
        <v>1279</v>
      </c>
      <c r="C233" s="2"/>
      <c r="D233" s="2">
        <f>SUM(D231:D232)</f>
        <v>248000</v>
      </c>
      <c r="E233" s="2"/>
      <c r="F233" s="49"/>
      <c r="G233" s="49"/>
      <c r="I233" s="2"/>
      <c r="J233" s="2"/>
    </row>
    <row r="234" spans="1:10" x14ac:dyDescent="0.25">
      <c r="C234" s="2"/>
      <c r="D234" s="2"/>
      <c r="E234" s="2"/>
      <c r="F234" s="49"/>
      <c r="G234" s="49"/>
      <c r="I234" s="2"/>
      <c r="J234" s="2"/>
    </row>
    <row r="235" spans="1:10" ht="13.8" x14ac:dyDescent="0.3">
      <c r="A235" s="11" t="s">
        <v>1213</v>
      </c>
      <c r="C235" s="2"/>
      <c r="D235" s="2"/>
      <c r="E235" s="2">
        <v>9296</v>
      </c>
      <c r="F235" s="49">
        <v>45500</v>
      </c>
      <c r="G235" s="49">
        <v>8800</v>
      </c>
      <c r="H235" s="2">
        <v>8800</v>
      </c>
      <c r="I235" s="2">
        <v>8800</v>
      </c>
      <c r="J235" s="2">
        <v>8800</v>
      </c>
    </row>
    <row r="236" spans="1:10" x14ac:dyDescent="0.25">
      <c r="A236" s="8" t="s">
        <v>1319</v>
      </c>
      <c r="C236" s="2"/>
      <c r="D236" s="2">
        <v>2000</v>
      </c>
      <c r="E236" s="2"/>
      <c r="F236" s="49"/>
      <c r="G236" s="49"/>
      <c r="I236" s="2"/>
      <c r="J236" s="2"/>
    </row>
    <row r="237" spans="1:10" x14ac:dyDescent="0.25">
      <c r="A237" s="8" t="s">
        <v>1320</v>
      </c>
      <c r="C237" s="2"/>
      <c r="D237" s="2">
        <v>1000</v>
      </c>
      <c r="E237" s="2"/>
      <c r="F237" s="49"/>
      <c r="G237" s="49"/>
      <c r="I237" s="2"/>
      <c r="J237" s="2"/>
    </row>
    <row r="238" spans="1:10" ht="15" x14ac:dyDescent="0.4">
      <c r="A238" s="8" t="s">
        <v>1321</v>
      </c>
      <c r="C238" s="12"/>
      <c r="D238" s="2">
        <v>3000</v>
      </c>
      <c r="E238" s="2"/>
      <c r="F238" s="49"/>
      <c r="G238" s="49"/>
      <c r="I238" s="2"/>
      <c r="J238" s="2"/>
    </row>
    <row r="239" spans="1:10" ht="15" x14ac:dyDescent="0.4">
      <c r="A239" s="8" t="s">
        <v>1922</v>
      </c>
      <c r="C239" s="12"/>
      <c r="D239" s="2">
        <v>1800</v>
      </c>
      <c r="E239" s="2"/>
      <c r="F239" s="49"/>
      <c r="G239" s="49"/>
      <c r="I239" s="2"/>
      <c r="J239" s="2"/>
    </row>
    <row r="240" spans="1:10" ht="15" x14ac:dyDescent="0.4">
      <c r="A240" s="43" t="s">
        <v>2180</v>
      </c>
      <c r="D240" s="33">
        <v>1000</v>
      </c>
      <c r="E240" s="2"/>
      <c r="F240" s="49"/>
      <c r="G240" s="49"/>
      <c r="I240" s="2"/>
      <c r="J240" s="2"/>
    </row>
    <row r="241" spans="1:10" x14ac:dyDescent="0.25">
      <c r="A241" s="8" t="s">
        <v>1279</v>
      </c>
      <c r="C241" s="2"/>
      <c r="D241" s="2">
        <f>SUM(D236:D240)</f>
        <v>8800</v>
      </c>
      <c r="E241" s="2"/>
      <c r="F241" s="49"/>
      <c r="G241" s="49"/>
      <c r="I241" s="2"/>
      <c r="J241" s="2"/>
    </row>
    <row r="242" spans="1:10" x14ac:dyDescent="0.25">
      <c r="C242" s="2"/>
      <c r="D242" s="2"/>
      <c r="E242" s="2"/>
      <c r="F242" s="49"/>
      <c r="G242" s="49"/>
      <c r="I242" s="2"/>
      <c r="J242" s="2"/>
    </row>
    <row r="243" spans="1:10" ht="13.8" x14ac:dyDescent="0.3">
      <c r="A243" s="11" t="s">
        <v>1322</v>
      </c>
      <c r="C243" s="2"/>
      <c r="D243" s="2"/>
      <c r="E243" s="2">
        <v>891</v>
      </c>
      <c r="F243" s="49">
        <v>1100</v>
      </c>
      <c r="G243" s="49">
        <v>1100</v>
      </c>
      <c r="H243" s="2">
        <v>1100</v>
      </c>
      <c r="I243" s="2">
        <v>1100</v>
      </c>
      <c r="J243" s="2">
        <v>1100</v>
      </c>
    </row>
    <row r="244" spans="1:10" x14ac:dyDescent="0.25">
      <c r="A244" s="8" t="s">
        <v>1323</v>
      </c>
      <c r="C244" s="2"/>
      <c r="D244" s="2">
        <v>1100</v>
      </c>
      <c r="E244" s="2"/>
      <c r="F244" s="49"/>
      <c r="G244" s="49"/>
      <c r="I244" s="2"/>
      <c r="J244" s="2"/>
    </row>
    <row r="245" spans="1:10" x14ac:dyDescent="0.25">
      <c r="C245" s="2"/>
      <c r="D245" s="2"/>
      <c r="E245" s="2"/>
      <c r="F245" s="49"/>
      <c r="G245" s="49"/>
      <c r="I245" s="2"/>
      <c r="J245" s="2"/>
    </row>
    <row r="246" spans="1:10" ht="13.8" x14ac:dyDescent="0.3">
      <c r="A246" s="11" t="s">
        <v>696</v>
      </c>
      <c r="C246" s="2"/>
      <c r="D246" s="2"/>
      <c r="E246" s="2">
        <v>126762</v>
      </c>
      <c r="F246" s="49">
        <v>99000</v>
      </c>
      <c r="G246" s="49">
        <v>122000</v>
      </c>
      <c r="H246" s="2">
        <v>122000</v>
      </c>
      <c r="I246" s="2">
        <v>122000</v>
      </c>
      <c r="J246" s="2">
        <v>122000</v>
      </c>
    </row>
    <row r="247" spans="1:10" x14ac:dyDescent="0.25">
      <c r="A247" s="8" t="s">
        <v>1820</v>
      </c>
      <c r="C247" s="2"/>
      <c r="D247" s="2">
        <v>18000</v>
      </c>
      <c r="E247" s="2"/>
      <c r="F247" s="49"/>
      <c r="G247" s="49"/>
      <c r="I247" s="2"/>
      <c r="J247" s="2"/>
    </row>
    <row r="248" spans="1:10" x14ac:dyDescent="0.25">
      <c r="A248" s="8" t="s">
        <v>1243</v>
      </c>
      <c r="C248" s="2"/>
      <c r="D248" s="2">
        <v>30000</v>
      </c>
      <c r="E248" s="2"/>
      <c r="F248" s="49"/>
      <c r="G248" s="49"/>
      <c r="I248" s="2"/>
      <c r="J248" s="2"/>
    </row>
    <row r="249" spans="1:10" x14ac:dyDescent="0.25">
      <c r="A249" s="8" t="s">
        <v>1244</v>
      </c>
      <c r="C249" s="2"/>
      <c r="D249" s="2">
        <v>6000</v>
      </c>
      <c r="E249" s="2"/>
      <c r="F249" s="49"/>
      <c r="G249" s="49"/>
      <c r="I249" s="2"/>
      <c r="J249" s="2"/>
    </row>
    <row r="250" spans="1:10" x14ac:dyDescent="0.25">
      <c r="A250" s="8" t="s">
        <v>990</v>
      </c>
      <c r="C250" s="2"/>
      <c r="D250" s="2">
        <v>8000</v>
      </c>
      <c r="E250" s="2"/>
      <c r="F250" s="49"/>
      <c r="G250" s="49"/>
      <c r="I250" s="2"/>
      <c r="J250" s="2"/>
    </row>
    <row r="251" spans="1:10" x14ac:dyDescent="0.25">
      <c r="A251" s="8" t="s">
        <v>70</v>
      </c>
      <c r="C251" s="2"/>
      <c r="D251" s="2">
        <v>6000</v>
      </c>
      <c r="E251" s="2"/>
      <c r="F251" s="49"/>
      <c r="G251" s="49"/>
      <c r="I251" s="2"/>
      <c r="J251" s="2"/>
    </row>
    <row r="252" spans="1:10" x14ac:dyDescent="0.25">
      <c r="A252" s="8" t="s">
        <v>1821</v>
      </c>
      <c r="C252" s="2"/>
      <c r="D252" s="2">
        <v>15000</v>
      </c>
      <c r="E252" s="2"/>
      <c r="F252" s="49"/>
      <c r="G252" s="49"/>
      <c r="I252" s="2"/>
      <c r="J252" s="2"/>
    </row>
    <row r="253" spans="1:10" x14ac:dyDescent="0.25">
      <c r="A253" s="8" t="s">
        <v>2181</v>
      </c>
      <c r="C253" s="2"/>
      <c r="D253" s="2">
        <v>23000</v>
      </c>
      <c r="E253" s="2"/>
      <c r="F253" s="49"/>
      <c r="G253" s="49"/>
      <c r="I253" s="2"/>
      <c r="J253" s="2"/>
    </row>
    <row r="254" spans="1:10" ht="15" x14ac:dyDescent="0.4">
      <c r="A254" s="8" t="s">
        <v>1245</v>
      </c>
      <c r="C254" s="12"/>
      <c r="D254" s="12">
        <v>16000</v>
      </c>
      <c r="E254" s="2"/>
      <c r="F254" s="49"/>
      <c r="G254" s="49"/>
      <c r="I254" s="2"/>
      <c r="J254" s="2"/>
    </row>
    <row r="255" spans="1:10" x14ac:dyDescent="0.25">
      <c r="A255" s="8" t="s">
        <v>1279</v>
      </c>
      <c r="C255" s="2"/>
      <c r="D255" s="2">
        <f>SUM(D247:D254)</f>
        <v>122000</v>
      </c>
      <c r="E255" s="2"/>
      <c r="F255" s="49"/>
      <c r="G255" s="49"/>
      <c r="I255" s="2"/>
      <c r="J255" s="2"/>
    </row>
    <row r="256" spans="1:10" x14ac:dyDescent="0.25">
      <c r="C256" s="2"/>
      <c r="D256" s="2"/>
      <c r="E256" s="2"/>
      <c r="F256" s="49"/>
      <c r="G256" s="49"/>
      <c r="I256" s="2"/>
      <c r="J256" s="2"/>
    </row>
    <row r="257" spans="1:10" ht="13.8" x14ac:dyDescent="0.3">
      <c r="A257" s="11" t="s">
        <v>1008</v>
      </c>
      <c r="C257" s="2"/>
      <c r="D257" s="2"/>
      <c r="E257" s="2">
        <v>24751</v>
      </c>
      <c r="F257" s="2">
        <v>37000</v>
      </c>
      <c r="G257" s="2">
        <v>38000</v>
      </c>
      <c r="H257" s="2">
        <v>38000</v>
      </c>
      <c r="I257" s="2">
        <v>38000</v>
      </c>
      <c r="J257" s="2">
        <v>38000</v>
      </c>
    </row>
    <row r="258" spans="1:10" x14ac:dyDescent="0.25">
      <c r="A258" s="8" t="s">
        <v>1822</v>
      </c>
      <c r="C258" s="2"/>
      <c r="D258" s="2">
        <v>25000</v>
      </c>
      <c r="E258" s="2"/>
      <c r="I258" s="2"/>
      <c r="J258" s="2"/>
    </row>
    <row r="259" spans="1:10" ht="15" x14ac:dyDescent="0.4">
      <c r="A259" s="43" t="s">
        <v>2182</v>
      </c>
      <c r="D259" s="33">
        <v>13000</v>
      </c>
      <c r="E259" s="2"/>
      <c r="I259" s="2"/>
      <c r="J259" s="2"/>
    </row>
    <row r="260" spans="1:10" x14ac:dyDescent="0.25">
      <c r="C260" s="2"/>
      <c r="D260" s="2">
        <f>SUM(D258:D259)</f>
        <v>38000</v>
      </c>
      <c r="E260" s="2"/>
      <c r="I260" s="2"/>
      <c r="J260" s="2"/>
    </row>
    <row r="261" spans="1:10" x14ac:dyDescent="0.25">
      <c r="C261" s="2"/>
      <c r="D261" s="2"/>
      <c r="E261" s="2"/>
      <c r="I261" s="2"/>
      <c r="J261" s="2"/>
    </row>
    <row r="262" spans="1:10" ht="13.8" x14ac:dyDescent="0.3">
      <c r="A262" s="11" t="s">
        <v>1009</v>
      </c>
      <c r="C262" s="9" t="s">
        <v>417</v>
      </c>
      <c r="D262" s="9" t="s">
        <v>417</v>
      </c>
      <c r="E262" s="2">
        <v>13535</v>
      </c>
      <c r="F262" s="49">
        <v>14073</v>
      </c>
      <c r="G262" s="49">
        <v>14073</v>
      </c>
      <c r="H262" s="2">
        <v>14073</v>
      </c>
      <c r="I262" s="2">
        <v>14073</v>
      </c>
      <c r="J262" s="2">
        <v>14073</v>
      </c>
    </row>
    <row r="263" spans="1:10" x14ac:dyDescent="0.25">
      <c r="A263" s="8" t="s">
        <v>1010</v>
      </c>
      <c r="C263" s="2"/>
      <c r="D263" s="2">
        <v>650</v>
      </c>
      <c r="E263" s="2"/>
      <c r="F263" s="49"/>
      <c r="G263" s="49"/>
      <c r="I263" s="2"/>
      <c r="J263" s="2"/>
    </row>
    <row r="264" spans="1:10" x14ac:dyDescent="0.25">
      <c r="A264" s="8" t="s">
        <v>1011</v>
      </c>
      <c r="C264" s="2"/>
      <c r="D264" s="2">
        <v>1500</v>
      </c>
      <c r="E264" s="2"/>
      <c r="F264" s="49"/>
      <c r="G264" s="49"/>
      <c r="I264" s="2"/>
      <c r="J264" s="2"/>
    </row>
    <row r="265" spans="1:10" x14ac:dyDescent="0.25">
      <c r="A265" s="8" t="s">
        <v>189</v>
      </c>
      <c r="C265" s="2"/>
      <c r="D265" s="2">
        <v>500</v>
      </c>
      <c r="E265" s="2"/>
      <c r="F265" s="49"/>
      <c r="G265" s="49"/>
      <c r="I265" s="2"/>
      <c r="J265" s="2"/>
    </row>
    <row r="266" spans="1:10" x14ac:dyDescent="0.25">
      <c r="A266" s="8" t="s">
        <v>1823</v>
      </c>
      <c r="C266" s="2"/>
      <c r="D266" s="2">
        <v>7094</v>
      </c>
      <c r="E266" s="2"/>
      <c r="F266" s="49"/>
      <c r="G266" s="49"/>
      <c r="I266" s="2"/>
      <c r="J266" s="2"/>
    </row>
    <row r="267" spans="1:10" x14ac:dyDescent="0.25">
      <c r="A267" s="8" t="s">
        <v>1824</v>
      </c>
      <c r="C267" s="2"/>
      <c r="D267" s="2">
        <v>2584</v>
      </c>
      <c r="E267" s="2"/>
      <c r="F267" s="49"/>
      <c r="G267" s="49"/>
      <c r="I267" s="2"/>
      <c r="J267" s="2"/>
    </row>
    <row r="268" spans="1:10" x14ac:dyDescent="0.25">
      <c r="A268" s="8" t="s">
        <v>883</v>
      </c>
      <c r="C268" s="2"/>
      <c r="D268" s="2">
        <v>250</v>
      </c>
      <c r="E268" s="2"/>
      <c r="F268" s="49"/>
      <c r="G268" s="49"/>
      <c r="I268" s="2"/>
      <c r="J268" s="2"/>
    </row>
    <row r="269" spans="1:10" ht="15" x14ac:dyDescent="0.4">
      <c r="A269" s="8" t="s">
        <v>132</v>
      </c>
      <c r="C269" s="12"/>
      <c r="D269" s="3">
        <v>500</v>
      </c>
      <c r="E269" s="2"/>
      <c r="F269" s="49"/>
      <c r="G269" s="49"/>
      <c r="I269" s="2"/>
      <c r="J269" s="2"/>
    </row>
    <row r="270" spans="1:10" ht="15" x14ac:dyDescent="0.4">
      <c r="A270" s="8" t="s">
        <v>1246</v>
      </c>
      <c r="C270" s="12"/>
      <c r="D270" s="12">
        <v>995</v>
      </c>
      <c r="E270" s="2"/>
      <c r="F270" s="49"/>
      <c r="G270" s="49"/>
      <c r="I270" s="2"/>
      <c r="J270" s="2"/>
    </row>
    <row r="271" spans="1:10" x14ac:dyDescent="0.25">
      <c r="A271" s="8" t="s">
        <v>1279</v>
      </c>
      <c r="C271" s="2"/>
      <c r="D271" s="2">
        <f>SUM(D263:D270)</f>
        <v>14073</v>
      </c>
      <c r="E271" s="2"/>
      <c r="F271" s="49"/>
      <c r="G271" s="49"/>
      <c r="I271" s="2"/>
      <c r="J271" s="2"/>
    </row>
    <row r="272" spans="1:10" x14ac:dyDescent="0.25">
      <c r="C272" s="2"/>
      <c r="D272" s="2"/>
      <c r="E272" s="2"/>
      <c r="F272" s="49"/>
      <c r="G272" s="49"/>
      <c r="I272" s="2"/>
      <c r="J272" s="2"/>
    </row>
    <row r="273" spans="1:10" ht="13.8" x14ac:dyDescent="0.3">
      <c r="A273" s="11" t="s">
        <v>485</v>
      </c>
      <c r="C273" s="2"/>
      <c r="D273" s="2"/>
      <c r="E273" s="2">
        <v>8550</v>
      </c>
      <c r="F273" s="49">
        <v>5000</v>
      </c>
      <c r="G273" s="49">
        <v>5000</v>
      </c>
      <c r="H273" s="2">
        <v>5000</v>
      </c>
      <c r="I273" s="2">
        <v>5000</v>
      </c>
      <c r="J273" s="2">
        <v>5000</v>
      </c>
    </row>
    <row r="274" spans="1:10" x14ac:dyDescent="0.25">
      <c r="A274" s="8" t="s">
        <v>1370</v>
      </c>
      <c r="C274" s="2"/>
      <c r="D274" s="2">
        <v>5000</v>
      </c>
      <c r="E274" s="2"/>
      <c r="F274" s="49"/>
      <c r="G274" s="49"/>
      <c r="I274" s="2"/>
      <c r="J274" s="2"/>
    </row>
    <row r="275" spans="1:10" x14ac:dyDescent="0.25">
      <c r="C275" s="2"/>
      <c r="D275" s="2"/>
      <c r="E275" s="2"/>
      <c r="F275" s="49"/>
      <c r="G275" s="49"/>
      <c r="I275" s="2"/>
      <c r="J275" s="2"/>
    </row>
    <row r="276" spans="1:10" ht="13.8" x14ac:dyDescent="0.3">
      <c r="A276" s="11" t="s">
        <v>921</v>
      </c>
      <c r="C276" s="9" t="s">
        <v>417</v>
      </c>
      <c r="D276" s="9" t="s">
        <v>417</v>
      </c>
      <c r="E276" s="2">
        <v>3925</v>
      </c>
      <c r="F276" s="49">
        <v>5000</v>
      </c>
      <c r="G276" s="49">
        <v>5000</v>
      </c>
      <c r="H276" s="2">
        <v>5000</v>
      </c>
      <c r="I276" s="2">
        <v>5000</v>
      </c>
      <c r="J276" s="2">
        <v>5000</v>
      </c>
    </row>
    <row r="277" spans="1:10" x14ac:dyDescent="0.25">
      <c r="A277" s="8" t="s">
        <v>1825</v>
      </c>
      <c r="C277" s="2"/>
      <c r="D277" s="2">
        <v>4000</v>
      </c>
      <c r="E277" s="2"/>
      <c r="F277" s="49"/>
      <c r="G277" s="49"/>
      <c r="I277" s="2"/>
      <c r="J277" s="2"/>
    </row>
    <row r="278" spans="1:10" ht="15" x14ac:dyDescent="0.4">
      <c r="A278" s="8" t="s">
        <v>1312</v>
      </c>
      <c r="C278" s="12"/>
      <c r="D278" s="12">
        <v>1000</v>
      </c>
      <c r="E278" s="2"/>
      <c r="F278" s="49"/>
      <c r="G278" s="49"/>
      <c r="I278" s="2"/>
      <c r="J278" s="2"/>
    </row>
    <row r="279" spans="1:10" x14ac:dyDescent="0.25">
      <c r="A279" s="8" t="s">
        <v>1279</v>
      </c>
      <c r="C279" s="2"/>
      <c r="D279" s="2">
        <v>5000</v>
      </c>
      <c r="E279" s="2"/>
      <c r="F279" s="49"/>
      <c r="G279" s="49"/>
      <c r="I279" s="2"/>
      <c r="J279" s="2"/>
    </row>
    <row r="280" spans="1:10" x14ac:dyDescent="0.25">
      <c r="C280" s="2"/>
      <c r="D280" s="2"/>
      <c r="E280" s="2"/>
      <c r="F280" s="49"/>
      <c r="G280" s="49"/>
      <c r="I280" s="2"/>
      <c r="J280" s="2"/>
    </row>
    <row r="281" spans="1:10" ht="13.8" x14ac:dyDescent="0.3">
      <c r="A281" s="11" t="s">
        <v>454</v>
      </c>
      <c r="C281" s="20"/>
      <c r="D281" s="20"/>
      <c r="E281" s="2">
        <v>280811</v>
      </c>
      <c r="F281" s="49">
        <v>294601</v>
      </c>
      <c r="G281" s="49">
        <v>309630</v>
      </c>
      <c r="H281" s="2">
        <v>309630</v>
      </c>
      <c r="I281" s="2">
        <v>309630</v>
      </c>
      <c r="J281" s="2">
        <v>309630</v>
      </c>
    </row>
    <row r="282" spans="1:10" x14ac:dyDescent="0.25">
      <c r="A282" s="8" t="s">
        <v>1826</v>
      </c>
      <c r="C282" s="2"/>
      <c r="D282" s="2">
        <v>276567</v>
      </c>
      <c r="E282" s="2"/>
      <c r="F282" s="49"/>
      <c r="G282" s="49"/>
      <c r="I282" s="2"/>
      <c r="J282" s="2"/>
    </row>
    <row r="283" spans="1:10" x14ac:dyDescent="0.25">
      <c r="A283" s="8" t="s">
        <v>455</v>
      </c>
      <c r="C283" s="2"/>
      <c r="D283" s="2">
        <v>10000</v>
      </c>
      <c r="E283" s="2"/>
      <c r="F283" s="49"/>
      <c r="G283" s="49"/>
      <c r="I283" s="2"/>
      <c r="J283" s="2"/>
    </row>
    <row r="284" spans="1:10" x14ac:dyDescent="0.25">
      <c r="A284" s="8" t="s">
        <v>456</v>
      </c>
      <c r="C284" s="2"/>
      <c r="D284" s="2">
        <v>10000</v>
      </c>
      <c r="E284" s="2"/>
      <c r="F284" s="49"/>
      <c r="G284" s="49"/>
      <c r="I284" s="2"/>
      <c r="J284" s="2"/>
    </row>
    <row r="285" spans="1:10" x14ac:dyDescent="0.25">
      <c r="A285" s="8" t="s">
        <v>1827</v>
      </c>
      <c r="C285" s="2"/>
      <c r="D285" s="2">
        <v>1100</v>
      </c>
      <c r="E285" s="2"/>
      <c r="F285" s="49"/>
      <c r="G285" s="49"/>
      <c r="I285" s="2"/>
      <c r="J285" s="2"/>
    </row>
    <row r="286" spans="1:10" x14ac:dyDescent="0.25">
      <c r="A286" s="8" t="s">
        <v>1828</v>
      </c>
      <c r="C286" s="2"/>
      <c r="D286" s="2">
        <v>175</v>
      </c>
      <c r="E286" s="2"/>
      <c r="F286" s="49"/>
      <c r="G286" s="49"/>
      <c r="I286" s="2"/>
      <c r="J286" s="2"/>
    </row>
    <row r="287" spans="1:10" x14ac:dyDescent="0.25">
      <c r="A287" s="8" t="s">
        <v>190</v>
      </c>
      <c r="C287" s="2"/>
      <c r="D287" s="2">
        <v>138</v>
      </c>
      <c r="E287" s="2"/>
      <c r="F287" s="49"/>
      <c r="G287" s="49"/>
      <c r="I287" s="2"/>
      <c r="J287" s="2"/>
    </row>
    <row r="288" spans="1:10" x14ac:dyDescent="0.25">
      <c r="A288" s="8" t="s">
        <v>2183</v>
      </c>
      <c r="C288" s="2"/>
      <c r="D288" s="2">
        <v>7000</v>
      </c>
      <c r="E288" s="2"/>
      <c r="F288" s="49"/>
      <c r="G288" s="49"/>
      <c r="I288" s="2"/>
      <c r="J288" s="2"/>
    </row>
    <row r="289" spans="1:10" x14ac:dyDescent="0.25">
      <c r="A289" s="8" t="s">
        <v>1923</v>
      </c>
      <c r="C289" s="2"/>
      <c r="D289" s="2">
        <v>3000</v>
      </c>
      <c r="E289" s="2"/>
      <c r="F289" s="49"/>
      <c r="G289" s="49"/>
      <c r="I289" s="2"/>
      <c r="J289" s="2"/>
    </row>
    <row r="290" spans="1:10" ht="15" x14ac:dyDescent="0.4">
      <c r="A290" s="8" t="s">
        <v>612</v>
      </c>
      <c r="C290" s="12"/>
      <c r="D290" s="12">
        <v>1650</v>
      </c>
      <c r="E290" s="2"/>
      <c r="F290" s="49"/>
      <c r="G290" s="49"/>
      <c r="I290" s="2"/>
      <c r="J290" s="2"/>
    </row>
    <row r="291" spans="1:10" x14ac:dyDescent="0.25">
      <c r="A291" s="8" t="s">
        <v>1279</v>
      </c>
      <c r="C291" s="2"/>
      <c r="D291" s="2">
        <f>SUM(D282:D290)</f>
        <v>309630</v>
      </c>
      <c r="E291" s="2"/>
      <c r="F291" s="49"/>
      <c r="G291" s="49"/>
      <c r="I291" s="2"/>
      <c r="J291" s="2"/>
    </row>
    <row r="292" spans="1:10" x14ac:dyDescent="0.25">
      <c r="C292" s="2"/>
      <c r="D292" s="2"/>
      <c r="E292" s="2"/>
      <c r="F292" s="49"/>
      <c r="G292" s="49"/>
      <c r="I292" s="2"/>
      <c r="J292" s="2"/>
    </row>
    <row r="293" spans="1:10" ht="13.8" x14ac:dyDescent="0.3">
      <c r="A293" s="11" t="s">
        <v>457</v>
      </c>
      <c r="C293" s="2"/>
      <c r="D293" s="2"/>
      <c r="E293" s="2">
        <v>8150</v>
      </c>
      <c r="F293" s="2">
        <v>7000</v>
      </c>
      <c r="G293" s="2">
        <v>8000</v>
      </c>
      <c r="H293" s="2">
        <v>8000</v>
      </c>
      <c r="I293" s="2">
        <v>8000</v>
      </c>
      <c r="J293" s="2">
        <v>8000</v>
      </c>
    </row>
    <row r="294" spans="1:10" x14ac:dyDescent="0.25">
      <c r="A294" s="25" t="s">
        <v>191</v>
      </c>
      <c r="C294" s="2"/>
      <c r="D294" s="2">
        <v>1000</v>
      </c>
      <c r="E294" s="2"/>
      <c r="I294" s="2"/>
      <c r="J294" s="2"/>
    </row>
    <row r="295" spans="1:10" x14ac:dyDescent="0.25">
      <c r="A295" s="8" t="s">
        <v>458</v>
      </c>
      <c r="C295" s="2"/>
      <c r="D295" s="2">
        <v>2000</v>
      </c>
      <c r="E295" s="2"/>
      <c r="I295" s="2"/>
      <c r="J295" s="2"/>
    </row>
    <row r="296" spans="1:10" ht="15" x14ac:dyDescent="0.4">
      <c r="A296" s="8" t="s">
        <v>1924</v>
      </c>
      <c r="C296" s="12"/>
      <c r="D296" s="12">
        <v>5000</v>
      </c>
      <c r="E296" s="2"/>
      <c r="F296" s="49"/>
      <c r="G296" s="49"/>
      <c r="I296" s="2"/>
      <c r="J296" s="2"/>
    </row>
    <row r="297" spans="1:10" x14ac:dyDescent="0.25">
      <c r="A297" s="8" t="s">
        <v>1279</v>
      </c>
      <c r="C297" s="2"/>
      <c r="D297" s="2">
        <f>SUM(D294:D296)</f>
        <v>8000</v>
      </c>
      <c r="E297" s="2"/>
      <c r="F297" s="49"/>
      <c r="G297" s="49"/>
      <c r="I297" s="2"/>
      <c r="J297" s="2"/>
    </row>
    <row r="298" spans="1:10" x14ac:dyDescent="0.25">
      <c r="C298" s="2"/>
      <c r="D298" s="2"/>
      <c r="E298" s="2"/>
      <c r="F298" s="49"/>
      <c r="G298" s="49"/>
      <c r="I298" s="2"/>
      <c r="J298" s="2"/>
    </row>
    <row r="299" spans="1:10" ht="13.8" x14ac:dyDescent="0.3">
      <c r="A299" s="11" t="s">
        <v>416</v>
      </c>
      <c r="C299" s="2"/>
      <c r="D299" s="2"/>
      <c r="E299" s="2">
        <v>0</v>
      </c>
      <c r="F299" s="49">
        <v>500</v>
      </c>
      <c r="G299" s="49">
        <v>500</v>
      </c>
      <c r="H299" s="2">
        <v>500</v>
      </c>
      <c r="I299" s="2">
        <v>500</v>
      </c>
      <c r="J299" s="2">
        <v>500</v>
      </c>
    </row>
    <row r="300" spans="1:10" x14ac:dyDescent="0.25">
      <c r="A300" s="8" t="s">
        <v>812</v>
      </c>
      <c r="C300" s="2"/>
      <c r="D300" s="2">
        <v>500</v>
      </c>
      <c r="E300" s="2"/>
      <c r="F300" s="49"/>
      <c r="G300" s="49"/>
      <c r="I300" s="2"/>
      <c r="J300" s="2"/>
    </row>
    <row r="301" spans="1:10" x14ac:dyDescent="0.25">
      <c r="C301" s="2"/>
      <c r="D301" s="2"/>
      <c r="E301" s="2"/>
      <c r="F301" s="49"/>
      <c r="G301" s="49"/>
      <c r="I301" s="2"/>
      <c r="J301" s="2"/>
    </row>
    <row r="302" spans="1:10" ht="13.8" x14ac:dyDescent="0.3">
      <c r="A302" s="11" t="s">
        <v>813</v>
      </c>
      <c r="C302" s="2"/>
      <c r="D302" s="2"/>
      <c r="E302" s="2">
        <v>328</v>
      </c>
      <c r="F302" s="49">
        <v>500</v>
      </c>
      <c r="G302" s="49">
        <v>500</v>
      </c>
      <c r="H302" s="2">
        <v>500</v>
      </c>
      <c r="I302" s="2">
        <v>500</v>
      </c>
      <c r="J302" s="2">
        <v>500</v>
      </c>
    </row>
    <row r="303" spans="1:10" x14ac:dyDescent="0.25">
      <c r="A303" s="8" t="s">
        <v>1829</v>
      </c>
      <c r="C303" s="2"/>
      <c r="D303" s="2">
        <v>500</v>
      </c>
      <c r="E303" s="2"/>
      <c r="F303" s="49"/>
      <c r="G303" s="49"/>
      <c r="I303" s="2"/>
      <c r="J303" s="2"/>
    </row>
    <row r="304" spans="1:10" x14ac:dyDescent="0.25">
      <c r="C304" s="2"/>
      <c r="D304" s="2"/>
      <c r="E304" s="2"/>
      <c r="F304" s="49"/>
      <c r="G304" s="49"/>
      <c r="I304" s="2"/>
      <c r="J304" s="2"/>
    </row>
    <row r="305" spans="1:10" ht="13.8" x14ac:dyDescent="0.3">
      <c r="A305" s="11" t="s">
        <v>261</v>
      </c>
      <c r="C305" s="20"/>
      <c r="D305" s="20"/>
      <c r="E305" s="2">
        <v>2274</v>
      </c>
      <c r="F305" s="49">
        <v>3500</v>
      </c>
      <c r="G305" s="49">
        <v>2500</v>
      </c>
      <c r="H305" s="2">
        <v>2500</v>
      </c>
      <c r="I305" s="2">
        <v>2500</v>
      </c>
      <c r="J305" s="2">
        <v>2500</v>
      </c>
    </row>
    <row r="306" spans="1:10" x14ac:dyDescent="0.25">
      <c r="A306" s="25" t="s">
        <v>1830</v>
      </c>
      <c r="C306" s="2"/>
      <c r="D306" s="2">
        <v>2500</v>
      </c>
      <c r="E306" s="2"/>
      <c r="F306" s="49"/>
      <c r="G306" s="49"/>
      <c r="I306" s="2"/>
      <c r="J306" s="2"/>
    </row>
    <row r="307" spans="1:10" ht="15" x14ac:dyDescent="0.4">
      <c r="A307" s="25"/>
      <c r="C307" s="2"/>
      <c r="D307" s="33"/>
      <c r="E307" s="2"/>
      <c r="F307" s="49"/>
      <c r="G307" s="49"/>
      <c r="I307" s="2"/>
      <c r="J307" s="2"/>
    </row>
    <row r="308" spans="1:10" ht="13.8" x14ac:dyDescent="0.3">
      <c r="A308" s="11" t="s">
        <v>1033</v>
      </c>
      <c r="C308" s="2"/>
      <c r="D308" s="2"/>
      <c r="E308" s="3">
        <v>1848</v>
      </c>
      <c r="F308" s="49">
        <v>5000</v>
      </c>
      <c r="G308" s="49">
        <v>7000</v>
      </c>
      <c r="H308" s="3">
        <v>7000</v>
      </c>
      <c r="I308" s="3">
        <v>7000</v>
      </c>
      <c r="J308" s="3">
        <v>7000</v>
      </c>
    </row>
    <row r="309" spans="1:10" x14ac:dyDescent="0.25">
      <c r="A309" s="25" t="s">
        <v>2184</v>
      </c>
      <c r="C309" s="2"/>
      <c r="D309" s="2">
        <v>7000</v>
      </c>
      <c r="E309" s="3"/>
      <c r="I309" s="2"/>
      <c r="J309" s="2"/>
    </row>
    <row r="310" spans="1:10" ht="15" x14ac:dyDescent="0.4">
      <c r="C310" s="2"/>
      <c r="D310" s="2"/>
      <c r="E310" s="3"/>
      <c r="H310" s="12"/>
      <c r="I310" s="12"/>
      <c r="J310" s="12"/>
    </row>
    <row r="311" spans="1:10" ht="13.8" x14ac:dyDescent="0.3">
      <c r="A311" s="11" t="s">
        <v>133</v>
      </c>
      <c r="D311" s="2">
        <v>25000</v>
      </c>
      <c r="E311" s="3">
        <v>75000</v>
      </c>
      <c r="F311" s="81">
        <v>75000</v>
      </c>
      <c r="G311" s="81">
        <v>300000</v>
      </c>
      <c r="H311" s="2">
        <v>300000</v>
      </c>
      <c r="I311" s="2">
        <v>300000</v>
      </c>
      <c r="J311" s="2">
        <v>300000</v>
      </c>
    </row>
    <row r="312" spans="1:10" x14ac:dyDescent="0.25">
      <c r="A312" s="8" t="s">
        <v>1831</v>
      </c>
      <c r="D312" s="2"/>
      <c r="E312" s="2"/>
      <c r="F312" s="49"/>
      <c r="G312" s="49"/>
      <c r="I312" s="2"/>
      <c r="J312" s="2"/>
    </row>
    <row r="313" spans="1:10" x14ac:dyDescent="0.25">
      <c r="D313" s="2"/>
      <c r="E313" s="2"/>
      <c r="F313" s="49"/>
      <c r="G313" s="49"/>
      <c r="I313" s="2"/>
      <c r="J313" s="2"/>
    </row>
    <row r="314" spans="1:10" ht="15" x14ac:dyDescent="0.4">
      <c r="A314" s="11" t="s">
        <v>1357</v>
      </c>
      <c r="D314" s="2"/>
      <c r="E314" s="12">
        <v>212844</v>
      </c>
      <c r="F314" s="153">
        <v>248000</v>
      </c>
      <c r="G314" s="153">
        <v>550000</v>
      </c>
      <c r="H314" s="19">
        <v>550000</v>
      </c>
      <c r="I314" s="19">
        <v>550000</v>
      </c>
      <c r="J314" s="19">
        <v>550000</v>
      </c>
    </row>
    <row r="315" spans="1:10" x14ac:dyDescent="0.25">
      <c r="A315" s="45"/>
      <c r="C315" s="46"/>
      <c r="E315" s="2"/>
      <c r="F315" s="49"/>
      <c r="G315" s="49"/>
      <c r="I315" s="2"/>
      <c r="J315" s="2"/>
    </row>
    <row r="316" spans="1:10" x14ac:dyDescent="0.25">
      <c r="A316" s="43" t="s">
        <v>2185</v>
      </c>
      <c r="C316" s="3"/>
      <c r="D316" s="75">
        <v>25000</v>
      </c>
      <c r="E316" s="2"/>
      <c r="F316" s="49"/>
      <c r="G316" s="49"/>
      <c r="I316" s="2"/>
      <c r="J316" s="2"/>
    </row>
    <row r="317" spans="1:10" ht="15" x14ac:dyDescent="0.4">
      <c r="A317" s="43" t="s">
        <v>2186</v>
      </c>
      <c r="C317" s="33"/>
      <c r="D317" s="9">
        <v>98000</v>
      </c>
      <c r="E317" s="2"/>
      <c r="F317" s="49"/>
      <c r="G317" s="49"/>
      <c r="I317" s="2"/>
      <c r="J317" s="2"/>
    </row>
    <row r="318" spans="1:10" x14ac:dyDescent="0.25">
      <c r="A318" s="45" t="s">
        <v>2187</v>
      </c>
      <c r="C318" s="49"/>
      <c r="D318" s="75">
        <v>40000</v>
      </c>
      <c r="E318" s="2"/>
      <c r="F318" s="49"/>
      <c r="G318" s="49"/>
      <c r="I318" s="2"/>
      <c r="J318" s="2"/>
    </row>
    <row r="319" spans="1:10" x14ac:dyDescent="0.25">
      <c r="A319" s="43" t="s">
        <v>2188</v>
      </c>
      <c r="D319" s="75">
        <v>37000</v>
      </c>
      <c r="E319" s="2"/>
      <c r="F319" s="49"/>
      <c r="G319" s="49"/>
      <c r="I319" s="2"/>
      <c r="J319" s="2"/>
    </row>
    <row r="320" spans="1:10" x14ac:dyDescent="0.25">
      <c r="A320" s="43" t="s">
        <v>2189</v>
      </c>
      <c r="D320" s="3"/>
      <c r="E320" s="2"/>
      <c r="F320" s="49"/>
      <c r="G320" s="49"/>
      <c r="I320" s="2"/>
      <c r="J320" s="2"/>
    </row>
    <row r="321" spans="1:10" ht="15" x14ac:dyDescent="0.4">
      <c r="A321" s="43" t="s">
        <v>2190</v>
      </c>
      <c r="D321" s="33">
        <v>350000</v>
      </c>
      <c r="E321" s="2"/>
      <c r="F321" s="49"/>
      <c r="G321" s="49"/>
      <c r="I321" s="2"/>
      <c r="J321" s="2"/>
    </row>
    <row r="322" spans="1:10" x14ac:dyDescent="0.25">
      <c r="A322" s="45" t="s">
        <v>1279</v>
      </c>
      <c r="C322" s="42"/>
      <c r="D322" s="2">
        <f>SUM(D315:D321)</f>
        <v>550000</v>
      </c>
      <c r="E322" s="2"/>
      <c r="F322" s="2"/>
      <c r="G322" s="2"/>
      <c r="I322" s="2"/>
      <c r="J322" s="2"/>
    </row>
    <row r="323" spans="1:10" x14ac:dyDescent="0.25">
      <c r="A323" s="45"/>
      <c r="C323" s="46"/>
      <c r="D323" s="2"/>
      <c r="E323" s="2"/>
      <c r="F323" s="2"/>
      <c r="G323" s="2"/>
      <c r="I323" s="2"/>
      <c r="J323" s="2"/>
    </row>
    <row r="324" spans="1:10" x14ac:dyDescent="0.25">
      <c r="A324" s="8" t="s">
        <v>1366</v>
      </c>
      <c r="D324" s="2"/>
      <c r="E324" s="2">
        <f t="shared" ref="E324:H324" si="4">SUM(E6:E322)</f>
        <v>3449675.3500000006</v>
      </c>
      <c r="F324" s="2">
        <f t="shared" si="4"/>
        <v>3829989</v>
      </c>
      <c r="G324" s="2">
        <f t="shared" si="4"/>
        <v>4397985</v>
      </c>
      <c r="H324" s="2">
        <f t="shared" si="4"/>
        <v>4381830</v>
      </c>
      <c r="I324" s="2">
        <f>SUM(I6:I322)</f>
        <v>4385515</v>
      </c>
      <c r="J324" s="2">
        <f>SUM(J6:J322)</f>
        <v>4385515</v>
      </c>
    </row>
    <row r="325" spans="1:10" x14ac:dyDescent="0.25">
      <c r="E325" s="2" t="s">
        <v>417</v>
      </c>
      <c r="F325" s="2" t="s">
        <v>417</v>
      </c>
      <c r="G325" s="2" t="s">
        <v>417</v>
      </c>
      <c r="H325" s="2" t="s">
        <v>417</v>
      </c>
      <c r="I325" s="2" t="s">
        <v>417</v>
      </c>
      <c r="J325" s="2" t="s">
        <v>417</v>
      </c>
    </row>
    <row r="326" spans="1:10" x14ac:dyDescent="0.25">
      <c r="A326" s="8" t="s">
        <v>1001</v>
      </c>
      <c r="E326" s="2">
        <f t="shared" ref="E326:H326" si="5">SUM(E5:E115)</f>
        <v>1730913.3500000003</v>
      </c>
      <c r="F326" s="2">
        <f t="shared" si="5"/>
        <v>1913431</v>
      </c>
      <c r="G326" s="2">
        <f t="shared" si="5"/>
        <v>1949917</v>
      </c>
      <c r="H326" s="2">
        <f t="shared" si="5"/>
        <v>1950697</v>
      </c>
      <c r="I326" s="2">
        <f>SUM(I5:I115)</f>
        <v>1954382</v>
      </c>
      <c r="J326" s="2">
        <f>SUM(J5:J115)</f>
        <v>1954382</v>
      </c>
    </row>
    <row r="327" spans="1:10" x14ac:dyDescent="0.25">
      <c r="A327" s="8" t="s">
        <v>975</v>
      </c>
      <c r="E327" s="2">
        <f t="shared" ref="E327:H327" si="6">SUM(E117:E302)</f>
        <v>1426796</v>
      </c>
      <c r="F327" s="2">
        <f t="shared" si="6"/>
        <v>1585058</v>
      </c>
      <c r="G327" s="2">
        <f t="shared" si="6"/>
        <v>1588568</v>
      </c>
      <c r="H327" s="2">
        <f t="shared" si="6"/>
        <v>1571633</v>
      </c>
      <c r="I327" s="2">
        <f>SUM(I117:I302)</f>
        <v>1571633</v>
      </c>
      <c r="J327" s="2">
        <f>SUM(J117:J302)</f>
        <v>1571633</v>
      </c>
    </row>
    <row r="328" spans="1:10" ht="15" x14ac:dyDescent="0.4">
      <c r="A328" s="8" t="s">
        <v>976</v>
      </c>
      <c r="E328" s="12">
        <f t="shared" ref="E328:H328" si="7">SUM(E305:E322)</f>
        <v>291966</v>
      </c>
      <c r="F328" s="12">
        <f t="shared" si="7"/>
        <v>331500</v>
      </c>
      <c r="G328" s="12">
        <f t="shared" si="7"/>
        <v>859500</v>
      </c>
      <c r="H328" s="12">
        <f t="shared" si="7"/>
        <v>859500</v>
      </c>
      <c r="I328" s="12">
        <f>SUM(I305:I322)</f>
        <v>859500</v>
      </c>
      <c r="J328" s="12">
        <f>SUM(J305:J322)</f>
        <v>859500</v>
      </c>
    </row>
    <row r="329" spans="1:10" x14ac:dyDescent="0.25">
      <c r="A329" s="8" t="s">
        <v>1279</v>
      </c>
      <c r="E329" s="2">
        <f t="shared" ref="E329:H329" si="8">SUM(E326:E328)</f>
        <v>3449675.3500000006</v>
      </c>
      <c r="F329" s="2">
        <f t="shared" si="8"/>
        <v>3829989</v>
      </c>
      <c r="G329" s="2">
        <f t="shared" si="8"/>
        <v>4397985</v>
      </c>
      <c r="H329" s="2">
        <f t="shared" si="8"/>
        <v>4381830</v>
      </c>
      <c r="I329" s="2">
        <f>SUM(I326:I328)</f>
        <v>4385515</v>
      </c>
      <c r="J329" s="2">
        <f>SUM(J326:J328)</f>
        <v>4385515</v>
      </c>
    </row>
    <row r="330" spans="1:10" x14ac:dyDescent="0.25">
      <c r="F330" s="2"/>
      <c r="I330" s="2"/>
      <c r="J330" s="2"/>
    </row>
    <row r="331" spans="1:10" x14ac:dyDescent="0.25">
      <c r="F331" s="2"/>
      <c r="H331" s="2">
        <v>3685</v>
      </c>
      <c r="I331" s="2"/>
      <c r="J331" s="2"/>
    </row>
    <row r="332" spans="1:10" x14ac:dyDescent="0.25">
      <c r="F332" s="2"/>
      <c r="H332" s="2">
        <f>+H331+H329</f>
        <v>4385515</v>
      </c>
      <c r="I332" s="2">
        <f>+I331+I329</f>
        <v>4385515</v>
      </c>
      <c r="J332" s="2">
        <f>+J331+J329</f>
        <v>4385515</v>
      </c>
    </row>
    <row r="333" spans="1:10" x14ac:dyDescent="0.25">
      <c r="F333" s="2"/>
      <c r="I333" s="2"/>
      <c r="J333" s="2"/>
    </row>
    <row r="334" spans="1:10" x14ac:dyDescent="0.25">
      <c r="F334" s="2"/>
      <c r="I334" s="2"/>
      <c r="J334" s="2"/>
    </row>
    <row r="335" spans="1:10" x14ac:dyDescent="0.25">
      <c r="F335" s="2"/>
      <c r="I335" s="2"/>
      <c r="J335" s="2">
        <v>4385515</v>
      </c>
    </row>
    <row r="336" spans="1:10" x14ac:dyDescent="0.25">
      <c r="F336" s="2"/>
      <c r="I336" s="2"/>
      <c r="J336" s="2"/>
    </row>
    <row r="337" spans="6:10" x14ac:dyDescent="0.25">
      <c r="F337" s="2"/>
      <c r="I337" s="2"/>
      <c r="J337" s="2"/>
    </row>
    <row r="338" spans="6:10" x14ac:dyDescent="0.25">
      <c r="F338" s="2"/>
      <c r="I338" s="2"/>
      <c r="J338" s="2">
        <f>+J335-J332</f>
        <v>0</v>
      </c>
    </row>
    <row r="339" spans="6:10" x14ac:dyDescent="0.25">
      <c r="F339" s="2"/>
      <c r="I339" s="2"/>
      <c r="J339" s="2"/>
    </row>
    <row r="340" spans="6:10" x14ac:dyDescent="0.25">
      <c r="F340" s="2"/>
      <c r="I340" s="2"/>
      <c r="J340" s="2"/>
    </row>
    <row r="341" spans="6:10" x14ac:dyDescent="0.25">
      <c r="F341" s="2"/>
      <c r="I341" s="2"/>
      <c r="J341" s="2"/>
    </row>
    <row r="342" spans="6:10" x14ac:dyDescent="0.25">
      <c r="F342" s="2"/>
      <c r="I342" s="2"/>
      <c r="J342" s="2"/>
    </row>
    <row r="343" spans="6:10" x14ac:dyDescent="0.25">
      <c r="F343" s="2"/>
      <c r="I343" s="2"/>
      <c r="J343" s="2"/>
    </row>
    <row r="344" spans="6:10" x14ac:dyDescent="0.25">
      <c r="F344" s="2"/>
      <c r="I344" s="2"/>
      <c r="J344" s="2"/>
    </row>
    <row r="345" spans="6:10" x14ac:dyDescent="0.25">
      <c r="F345" s="2"/>
      <c r="I345" s="2"/>
      <c r="J345" s="2"/>
    </row>
    <row r="346" spans="6:10" x14ac:dyDescent="0.25">
      <c r="F346" s="2"/>
      <c r="I346" s="2"/>
      <c r="J346" s="2"/>
    </row>
    <row r="347" spans="6:10" x14ac:dyDescent="0.25">
      <c r="I347" s="2"/>
      <c r="J347" s="2"/>
    </row>
    <row r="348" spans="6:10" x14ac:dyDescent="0.25">
      <c r="I348" s="2"/>
      <c r="J348" s="2"/>
    </row>
    <row r="349" spans="6:10" x14ac:dyDescent="0.25">
      <c r="I349" s="2"/>
      <c r="J349" s="2"/>
    </row>
  </sheetData>
  <mergeCells count="1">
    <mergeCell ref="A1:J1"/>
  </mergeCells>
  <phoneticPr fontId="0" type="noConversion"/>
  <printOptions gridLines="1"/>
  <pageMargins left="0.75" right="0" top="0.51" bottom="0.22" header="0.5" footer="0"/>
  <pageSetup scale="84" fitToHeight="17" orientation="landscape" r:id="rId1"/>
  <headerFooter alignWithMargins="0"/>
  <rowBreaks count="4" manualBreakCount="4">
    <brk id="126" max="9" man="1"/>
    <brk id="173" max="9" man="1"/>
    <brk id="261" max="9" man="1"/>
    <brk id="307" max="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79"/>
  <sheetViews>
    <sheetView view="pageBreakPreview" zoomScaleNormal="100" zoomScaleSheetLayoutView="100" workbookViewId="0">
      <selection sqref="A1:J1"/>
    </sheetView>
  </sheetViews>
  <sheetFormatPr defaultRowHeight="13.2" x14ac:dyDescent="0.25"/>
  <cols>
    <col min="1" max="1" width="53.6640625" style="2" customWidth="1"/>
    <col min="2" max="2" width="8.6640625" style="2" bestFit="1" customWidth="1"/>
    <col min="3" max="3" width="10.44140625" style="2" customWidth="1"/>
    <col min="4" max="4" width="11.44140625" style="2" customWidth="1"/>
    <col min="5" max="7" width="10.88671875" style="2" customWidth="1"/>
    <col min="8" max="8" width="14" style="2" bestFit="1" customWidth="1"/>
    <col min="9" max="10" width="10.88671875" style="2" customWidth="1"/>
    <col min="11" max="16384" width="8.88671875" style="2"/>
  </cols>
  <sheetData>
    <row r="1" spans="1:10" x14ac:dyDescent="0.25">
      <c r="A1" s="217" t="s">
        <v>1972</v>
      </c>
      <c r="B1" s="218"/>
      <c r="C1" s="218"/>
      <c r="D1" s="218"/>
      <c r="E1" s="218"/>
      <c r="F1" s="218"/>
      <c r="G1" s="218"/>
      <c r="H1" s="218"/>
      <c r="I1" s="218"/>
      <c r="J1" s="218"/>
    </row>
    <row r="2" spans="1:10" ht="17.399999999999999" x14ac:dyDescent="0.3">
      <c r="A2" s="204" t="s">
        <v>2238</v>
      </c>
      <c r="B2" s="203"/>
      <c r="C2" s="203"/>
      <c r="D2" s="203"/>
      <c r="E2" s="203"/>
      <c r="F2" s="203"/>
    </row>
    <row r="4" spans="1:10" x14ac:dyDescent="0.25">
      <c r="E4" s="9" t="s">
        <v>251</v>
      </c>
      <c r="F4" s="9" t="s">
        <v>252</v>
      </c>
      <c r="G4" s="9" t="s">
        <v>73</v>
      </c>
      <c r="H4" s="9" t="s">
        <v>430</v>
      </c>
      <c r="I4" s="2" t="s">
        <v>330</v>
      </c>
      <c r="J4" s="2" t="s">
        <v>364</v>
      </c>
    </row>
    <row r="5" spans="1:10" ht="15" x14ac:dyDescent="0.4">
      <c r="E5" s="10" t="s">
        <v>1684</v>
      </c>
      <c r="F5" s="10" t="s">
        <v>1874</v>
      </c>
      <c r="G5" s="10" t="s">
        <v>1944</v>
      </c>
      <c r="H5" s="10" t="s">
        <v>1944</v>
      </c>
      <c r="I5" s="10" t="s">
        <v>1944</v>
      </c>
      <c r="J5" s="10" t="s">
        <v>1944</v>
      </c>
    </row>
    <row r="6" spans="1:10" ht="13.8" x14ac:dyDescent="0.3">
      <c r="A6" s="55" t="s">
        <v>1276</v>
      </c>
      <c r="E6" s="2">
        <v>25500.48</v>
      </c>
      <c r="F6" s="2">
        <v>28500</v>
      </c>
      <c r="G6" s="2">
        <v>28500</v>
      </c>
      <c r="H6" s="2">
        <v>28500</v>
      </c>
      <c r="I6" s="2">
        <v>28500</v>
      </c>
      <c r="J6" s="2">
        <v>28500</v>
      </c>
    </row>
    <row r="7" spans="1:10" x14ac:dyDescent="0.25">
      <c r="A7" s="2" t="s">
        <v>511</v>
      </c>
      <c r="B7" s="2">
        <v>7</v>
      </c>
      <c r="C7" s="2">
        <v>3600</v>
      </c>
      <c r="D7" s="2">
        <f>ROUND(B7*C7,0)</f>
        <v>25200</v>
      </c>
    </row>
    <row r="8" spans="1:10" x14ac:dyDescent="0.25">
      <c r="A8" s="2" t="s">
        <v>1277</v>
      </c>
      <c r="B8" s="2">
        <v>1</v>
      </c>
      <c r="C8" s="2">
        <v>1300</v>
      </c>
      <c r="D8" s="2">
        <f>ROUND(B8*C8,0)</f>
        <v>1300</v>
      </c>
    </row>
    <row r="9" spans="1:10" ht="15" x14ac:dyDescent="0.4">
      <c r="A9" s="2" t="s">
        <v>1278</v>
      </c>
      <c r="B9" s="2">
        <v>1</v>
      </c>
      <c r="C9" s="2">
        <v>2000</v>
      </c>
      <c r="D9" s="12">
        <f>ROUND(B9*C9,0)</f>
        <v>2000</v>
      </c>
    </row>
    <row r="10" spans="1:10" x14ac:dyDescent="0.25">
      <c r="A10" s="2" t="s">
        <v>1279</v>
      </c>
      <c r="D10" s="2">
        <f>SUM(D7:D9)</f>
        <v>28500</v>
      </c>
    </row>
    <row r="12" spans="1:10" ht="13.8" x14ac:dyDescent="0.3">
      <c r="A12" s="55" t="s">
        <v>429</v>
      </c>
      <c r="E12" s="2">
        <v>372664.61</v>
      </c>
      <c r="F12" s="2">
        <v>399760</v>
      </c>
      <c r="G12" s="2">
        <v>393268</v>
      </c>
      <c r="H12" s="2">
        <v>393268</v>
      </c>
      <c r="I12" s="2">
        <v>393268</v>
      </c>
      <c r="J12" s="2">
        <v>402564</v>
      </c>
    </row>
    <row r="13" spans="1:10" x14ac:dyDescent="0.25">
      <c r="A13" s="2" t="s">
        <v>430</v>
      </c>
      <c r="B13" s="2">
        <v>52</v>
      </c>
      <c r="C13" s="2">
        <v>2675</v>
      </c>
      <c r="D13" s="2">
        <f>ROUND(B13*C13,0)</f>
        <v>139100</v>
      </c>
    </row>
    <row r="14" spans="1:10" x14ac:dyDescent="0.25">
      <c r="A14" s="2" t="s">
        <v>1853</v>
      </c>
      <c r="B14" s="2">
        <v>52</v>
      </c>
      <c r="C14" s="2">
        <v>2091</v>
      </c>
      <c r="D14" s="2">
        <f>ROUND(B14*C14,0)</f>
        <v>108732</v>
      </c>
    </row>
    <row r="15" spans="1:10" x14ac:dyDescent="0.25">
      <c r="A15" s="2" t="s">
        <v>1585</v>
      </c>
      <c r="B15" s="2">
        <v>52</v>
      </c>
      <c r="C15" s="2">
        <v>1479</v>
      </c>
      <c r="D15" s="2">
        <f>ROUND(B15*C15,0)</f>
        <v>76908</v>
      </c>
    </row>
    <row r="16" spans="1:10" x14ac:dyDescent="0.25">
      <c r="A16" s="2" t="s">
        <v>300</v>
      </c>
      <c r="B16" s="2">
        <v>52</v>
      </c>
      <c r="C16" s="2">
        <v>1401</v>
      </c>
      <c r="D16" s="2">
        <f>ROUND(B16*C16,0)</f>
        <v>72852</v>
      </c>
    </row>
    <row r="17" spans="1:10" ht="15" x14ac:dyDescent="0.4">
      <c r="A17" s="2" t="s">
        <v>995</v>
      </c>
      <c r="D17" s="12">
        <v>4972</v>
      </c>
    </row>
    <row r="18" spans="1:10" x14ac:dyDescent="0.25">
      <c r="D18" s="2">
        <f>SUM(D13:D17)</f>
        <v>402564</v>
      </c>
    </row>
    <row r="20" spans="1:10" ht="13.8" x14ac:dyDescent="0.3">
      <c r="A20" s="55" t="s">
        <v>353</v>
      </c>
      <c r="E20" s="2">
        <v>264900.40000000002</v>
      </c>
      <c r="F20" s="2">
        <v>295957</v>
      </c>
      <c r="G20" s="2">
        <v>333348</v>
      </c>
      <c r="H20" s="2">
        <v>333348</v>
      </c>
      <c r="I20" s="2">
        <v>333348</v>
      </c>
      <c r="J20" s="2">
        <v>343512</v>
      </c>
    </row>
    <row r="21" spans="1:10" x14ac:dyDescent="0.25">
      <c r="A21" s="2" t="s">
        <v>763</v>
      </c>
      <c r="B21" s="2">
        <v>52</v>
      </c>
      <c r="C21" s="2">
        <v>832</v>
      </c>
      <c r="D21" s="2">
        <f t="shared" ref="D21:D27" si="0">ROUND(B21*C21,0)</f>
        <v>43264</v>
      </c>
    </row>
    <row r="22" spans="1:10" x14ac:dyDescent="0.25">
      <c r="A22" s="2" t="s">
        <v>1118</v>
      </c>
      <c r="B22" s="2">
        <v>52</v>
      </c>
      <c r="C22" s="2">
        <v>713</v>
      </c>
      <c r="D22" s="2">
        <f t="shared" si="0"/>
        <v>37076</v>
      </c>
    </row>
    <row r="23" spans="1:10" x14ac:dyDescent="0.25">
      <c r="A23" s="2" t="s">
        <v>197</v>
      </c>
      <c r="B23" s="2">
        <v>52</v>
      </c>
      <c r="C23" s="2">
        <v>1010</v>
      </c>
      <c r="D23" s="2">
        <f t="shared" si="0"/>
        <v>52520</v>
      </c>
    </row>
    <row r="24" spans="1:10" x14ac:dyDescent="0.25">
      <c r="A24" s="2" t="s">
        <v>419</v>
      </c>
      <c r="B24" s="2">
        <v>52</v>
      </c>
      <c r="C24" s="2">
        <v>845</v>
      </c>
      <c r="D24" s="2">
        <f t="shared" si="0"/>
        <v>43940</v>
      </c>
    </row>
    <row r="25" spans="1:10" x14ac:dyDescent="0.25">
      <c r="A25" s="2" t="s">
        <v>467</v>
      </c>
      <c r="B25" s="2">
        <v>52</v>
      </c>
      <c r="C25" s="2">
        <v>916</v>
      </c>
      <c r="D25" s="2">
        <f t="shared" si="0"/>
        <v>47632</v>
      </c>
    </row>
    <row r="26" spans="1:10" x14ac:dyDescent="0.25">
      <c r="A26" s="2" t="s">
        <v>2217</v>
      </c>
      <c r="B26" s="2">
        <v>52</v>
      </c>
      <c r="C26" s="2">
        <v>1290</v>
      </c>
      <c r="D26" s="2">
        <f t="shared" si="0"/>
        <v>67080</v>
      </c>
    </row>
    <row r="27" spans="1:10" x14ac:dyDescent="0.25">
      <c r="A27" s="2" t="s">
        <v>2059</v>
      </c>
      <c r="B27" s="2">
        <v>52</v>
      </c>
      <c r="C27" s="2">
        <v>929</v>
      </c>
      <c r="D27" s="2">
        <f t="shared" si="0"/>
        <v>48308</v>
      </c>
    </row>
    <row r="28" spans="1:10" ht="15" x14ac:dyDescent="0.4">
      <c r="A28" s="2" t="s">
        <v>995</v>
      </c>
      <c r="B28" s="2" t="s">
        <v>417</v>
      </c>
      <c r="C28" s="2" t="s">
        <v>417</v>
      </c>
      <c r="D28" s="41">
        <v>3692</v>
      </c>
    </row>
    <row r="29" spans="1:10" x14ac:dyDescent="0.25">
      <c r="A29" s="2" t="s">
        <v>1279</v>
      </c>
      <c r="D29" s="2">
        <f>SUM(D21:D28)</f>
        <v>343512</v>
      </c>
    </row>
    <row r="31" spans="1:10" ht="13.8" x14ac:dyDescent="0.3">
      <c r="A31" s="55" t="s">
        <v>418</v>
      </c>
      <c r="E31" s="2">
        <v>27409.8</v>
      </c>
      <c r="F31" s="2">
        <v>31070</v>
      </c>
      <c r="G31" s="2">
        <v>8021</v>
      </c>
      <c r="H31" s="2">
        <v>8021</v>
      </c>
      <c r="I31" s="2">
        <v>8021</v>
      </c>
      <c r="J31" s="2">
        <v>8184</v>
      </c>
    </row>
    <row r="32" spans="1:10" x14ac:dyDescent="0.25">
      <c r="A32" s="2" t="s">
        <v>1500</v>
      </c>
      <c r="B32" s="2">
        <v>530</v>
      </c>
      <c r="C32" s="13">
        <v>8.5500000000000007</v>
      </c>
      <c r="D32" s="2">
        <f>ROUND(B32*C32,0)</f>
        <v>4532</v>
      </c>
    </row>
    <row r="33" spans="1:10" x14ac:dyDescent="0.25">
      <c r="A33" s="2" t="s">
        <v>2060</v>
      </c>
      <c r="B33" s="2">
        <v>0</v>
      </c>
      <c r="C33" s="13">
        <v>21.81</v>
      </c>
      <c r="D33" s="2">
        <f>ROUND(B33*C33,0)</f>
        <v>0</v>
      </c>
    </row>
    <row r="34" spans="1:10" ht="15" x14ac:dyDescent="0.4">
      <c r="A34" s="2" t="s">
        <v>1586</v>
      </c>
      <c r="B34" s="2">
        <v>225</v>
      </c>
      <c r="C34" s="13">
        <v>16.23</v>
      </c>
      <c r="D34" s="12">
        <f>ROUND(B34*C34,0)</f>
        <v>3652</v>
      </c>
    </row>
    <row r="35" spans="1:10" x14ac:dyDescent="0.25">
      <c r="C35" s="13"/>
      <c r="D35" s="2">
        <f>SUM(D32:D34)</f>
        <v>8184</v>
      </c>
    </row>
    <row r="36" spans="1:10" x14ac:dyDescent="0.25">
      <c r="C36" s="13"/>
    </row>
    <row r="37" spans="1:10" ht="13.8" x14ac:dyDescent="0.3">
      <c r="A37" s="55" t="s">
        <v>830</v>
      </c>
      <c r="C37" s="13"/>
      <c r="E37" s="2">
        <v>7337.88</v>
      </c>
      <c r="F37" s="2">
        <v>8511</v>
      </c>
      <c r="G37" s="2">
        <v>6628</v>
      </c>
      <c r="H37" s="2">
        <v>6628</v>
      </c>
      <c r="I37" s="2">
        <v>6628</v>
      </c>
      <c r="J37" s="2">
        <v>6760</v>
      </c>
    </row>
    <row r="38" spans="1:10" x14ac:dyDescent="0.25">
      <c r="A38" s="53" t="s">
        <v>831</v>
      </c>
      <c r="B38" s="2">
        <v>193</v>
      </c>
      <c r="C38" s="13">
        <f>+D29/2080/7*1.5</f>
        <v>35.38928571428572</v>
      </c>
      <c r="D38" s="2">
        <f>+C38*B38</f>
        <v>6830.1321428571437</v>
      </c>
    </row>
    <row r="39" spans="1:10" x14ac:dyDescent="0.25">
      <c r="A39" s="2" t="s">
        <v>417</v>
      </c>
      <c r="B39" s="2" t="s">
        <v>417</v>
      </c>
      <c r="C39" s="2" t="s">
        <v>417</v>
      </c>
      <c r="D39" s="2" t="s">
        <v>417</v>
      </c>
    </row>
    <row r="40" spans="1:10" ht="13.8" x14ac:dyDescent="0.3">
      <c r="A40" s="55" t="s">
        <v>198</v>
      </c>
      <c r="E40" s="2">
        <v>52060.08</v>
      </c>
      <c r="F40" s="2">
        <v>55388</v>
      </c>
      <c r="G40" s="2">
        <v>56000</v>
      </c>
      <c r="H40" s="2">
        <v>56000</v>
      </c>
      <c r="I40" s="2">
        <v>56000</v>
      </c>
      <c r="J40" s="2">
        <v>57350</v>
      </c>
    </row>
    <row r="41" spans="1:10" hidden="1" x14ac:dyDescent="0.25">
      <c r="A41" s="53" t="s">
        <v>199</v>
      </c>
      <c r="B41" s="2">
        <f>+D10</f>
        <v>28500</v>
      </c>
      <c r="C41" s="15">
        <v>1.4500000000000001E-2</v>
      </c>
      <c r="D41" s="2">
        <f>ROUND(B41*C41,0)</f>
        <v>413</v>
      </c>
    </row>
    <row r="42" spans="1:10" hidden="1" x14ac:dyDescent="0.25">
      <c r="A42" s="53" t="s">
        <v>200</v>
      </c>
      <c r="B42" s="2">
        <f>IF((D13)&gt;118500,118500,D13)</f>
        <v>118500</v>
      </c>
      <c r="C42" s="15">
        <v>7.6499999999999999E-2</v>
      </c>
      <c r="D42" s="2">
        <f t="shared" ref="D42:D47" si="1">ROUND(B42*C42,0)</f>
        <v>9065</v>
      </c>
    </row>
    <row r="43" spans="1:10" hidden="1" x14ac:dyDescent="0.25">
      <c r="A43" s="2" t="s">
        <v>200</v>
      </c>
      <c r="B43" s="2">
        <f>IF((D13)&gt;118500,+D13+-118500,D13)+160</f>
        <v>20760</v>
      </c>
      <c r="C43" s="15">
        <v>1.4500000000000001E-2</v>
      </c>
      <c r="D43" s="2">
        <f t="shared" si="1"/>
        <v>301</v>
      </c>
    </row>
    <row r="44" spans="1:10" hidden="1" x14ac:dyDescent="0.25">
      <c r="A44" s="53" t="s">
        <v>1437</v>
      </c>
      <c r="B44" s="2">
        <f>SUM(D14:D17)-160</f>
        <v>263304</v>
      </c>
      <c r="C44" s="15">
        <v>7.6499999999999999E-2</v>
      </c>
      <c r="D44" s="2">
        <f t="shared" si="1"/>
        <v>20143</v>
      </c>
    </row>
    <row r="45" spans="1:10" hidden="1" x14ac:dyDescent="0.25">
      <c r="A45" s="53" t="s">
        <v>831</v>
      </c>
      <c r="B45" s="2">
        <f>+D29</f>
        <v>343512</v>
      </c>
      <c r="C45" s="15">
        <v>7.6499999999999999E-2</v>
      </c>
      <c r="D45" s="2">
        <f t="shared" si="1"/>
        <v>26279</v>
      </c>
    </row>
    <row r="46" spans="1:10" hidden="1" x14ac:dyDescent="0.25">
      <c r="A46" s="53" t="s">
        <v>201</v>
      </c>
      <c r="B46" s="2">
        <f>+D35</f>
        <v>8184</v>
      </c>
      <c r="C46" s="15">
        <v>7.6499999999999999E-2</v>
      </c>
      <c r="D46" s="2">
        <f t="shared" si="1"/>
        <v>626</v>
      </c>
    </row>
    <row r="47" spans="1:10" hidden="1" x14ac:dyDescent="0.25">
      <c r="A47" s="53" t="s">
        <v>202</v>
      </c>
      <c r="B47" s="2">
        <f>+D38</f>
        <v>6830.1321428571437</v>
      </c>
      <c r="C47" s="15">
        <v>7.6499999999999999E-2</v>
      </c>
      <c r="D47" s="2">
        <f t="shared" si="1"/>
        <v>523</v>
      </c>
    </row>
    <row r="48" spans="1:10" hidden="1" x14ac:dyDescent="0.25">
      <c r="A48" s="2" t="s">
        <v>1279</v>
      </c>
      <c r="C48" s="15"/>
      <c r="D48" s="2">
        <f>SUM(D41:D47)</f>
        <v>57350</v>
      </c>
    </row>
    <row r="49" spans="1:10" x14ac:dyDescent="0.25">
      <c r="C49" s="15"/>
    </row>
    <row r="50" spans="1:10" ht="13.8" x14ac:dyDescent="0.3">
      <c r="A50" s="55" t="s">
        <v>2278</v>
      </c>
      <c r="C50" s="15"/>
      <c r="E50" s="2">
        <v>63991.75</v>
      </c>
      <c r="F50" s="2">
        <v>78663</v>
      </c>
      <c r="G50" s="2">
        <v>89088</v>
      </c>
      <c r="H50" s="2">
        <v>89088</v>
      </c>
      <c r="I50" s="2">
        <v>89088</v>
      </c>
      <c r="J50" s="2">
        <v>91478</v>
      </c>
    </row>
    <row r="51" spans="1:10" hidden="1" x14ac:dyDescent="0.25">
      <c r="A51" s="53" t="s">
        <v>1288</v>
      </c>
      <c r="B51" s="2">
        <f>+D10</f>
        <v>28500</v>
      </c>
      <c r="C51" s="15">
        <v>0</v>
      </c>
      <c r="D51" s="2">
        <f>+C51*B51</f>
        <v>0</v>
      </c>
    </row>
    <row r="52" spans="1:10" hidden="1" x14ac:dyDescent="0.25">
      <c r="A52" s="53" t="s">
        <v>200</v>
      </c>
      <c r="B52" s="2">
        <f>+D13</f>
        <v>139100</v>
      </c>
      <c r="C52" s="15">
        <v>0.1215</v>
      </c>
      <c r="D52" s="2">
        <f>+C52*B52</f>
        <v>16900.649999999998</v>
      </c>
    </row>
    <row r="53" spans="1:10" hidden="1" x14ac:dyDescent="0.25">
      <c r="A53" s="53" t="s">
        <v>1289</v>
      </c>
      <c r="B53" s="2">
        <f>+D18-B52</f>
        <v>263464</v>
      </c>
      <c r="C53" s="15">
        <v>0.1215</v>
      </c>
      <c r="D53" s="2">
        <f>ROUND(B53*C53,0)</f>
        <v>32011</v>
      </c>
    </row>
    <row r="54" spans="1:10" hidden="1" x14ac:dyDescent="0.25">
      <c r="A54" s="2" t="s">
        <v>1130</v>
      </c>
      <c r="B54" s="2">
        <f>+D26</f>
        <v>67080</v>
      </c>
      <c r="C54" s="15">
        <v>0.1215</v>
      </c>
      <c r="D54" s="2">
        <f>ROUND(B54*C54,0)</f>
        <v>8150</v>
      </c>
    </row>
    <row r="55" spans="1:10" hidden="1" x14ac:dyDescent="0.25">
      <c r="A55" s="2" t="s">
        <v>1290</v>
      </c>
      <c r="B55" s="2">
        <f>+D29-D26</f>
        <v>276432</v>
      </c>
      <c r="C55" s="15">
        <v>0.1215</v>
      </c>
      <c r="D55" s="2">
        <f>ROUND(B55*C55,0)</f>
        <v>33586</v>
      </c>
    </row>
    <row r="56" spans="1:10" ht="15" hidden="1" x14ac:dyDescent="0.4">
      <c r="A56" s="53" t="s">
        <v>1438</v>
      </c>
      <c r="B56" s="2">
        <f>+D38</f>
        <v>6830.1321428571437</v>
      </c>
      <c r="C56" s="15">
        <v>0.1215</v>
      </c>
      <c r="D56" s="12">
        <f>ROUND(B56*C56,0)</f>
        <v>830</v>
      </c>
    </row>
    <row r="57" spans="1:10" hidden="1" x14ac:dyDescent="0.25">
      <c r="A57" s="2" t="s">
        <v>1279</v>
      </c>
      <c r="D57" s="2">
        <f>SUM(D51:D56)</f>
        <v>91477.65</v>
      </c>
    </row>
    <row r="59" spans="1:10" ht="13.8" x14ac:dyDescent="0.3">
      <c r="A59" s="55" t="s">
        <v>962</v>
      </c>
      <c r="E59" s="2">
        <v>177628.1</v>
      </c>
      <c r="F59" s="2">
        <v>170000</v>
      </c>
      <c r="G59" s="2">
        <v>189750</v>
      </c>
      <c r="H59" s="2">
        <v>189750</v>
      </c>
      <c r="I59" s="2">
        <v>189750</v>
      </c>
      <c r="J59" s="2">
        <v>189750</v>
      </c>
    </row>
    <row r="60" spans="1:10" x14ac:dyDescent="0.25">
      <c r="A60" s="2" t="s">
        <v>438</v>
      </c>
      <c r="B60" s="2">
        <v>11</v>
      </c>
      <c r="C60" s="2">
        <v>17250</v>
      </c>
      <c r="D60" s="2">
        <f>ROUND(B60*C60,0)</f>
        <v>189750</v>
      </c>
    </row>
    <row r="62" spans="1:10" ht="13.8" x14ac:dyDescent="0.3">
      <c r="A62" s="55" t="s">
        <v>963</v>
      </c>
      <c r="E62" s="2">
        <v>11865.56</v>
      </c>
      <c r="F62" s="2">
        <v>11700</v>
      </c>
      <c r="G62" s="2">
        <v>12870</v>
      </c>
      <c r="H62" s="2">
        <v>12870</v>
      </c>
      <c r="I62" s="2">
        <v>12870</v>
      </c>
      <c r="J62" s="2">
        <v>12870</v>
      </c>
    </row>
    <row r="63" spans="1:10" x14ac:dyDescent="0.25">
      <c r="A63" s="2" t="s">
        <v>438</v>
      </c>
      <c r="B63" s="2">
        <v>11</v>
      </c>
      <c r="C63" s="2">
        <v>1300</v>
      </c>
      <c r="D63" s="2">
        <f>ROUND(B63*C63,0)</f>
        <v>14300</v>
      </c>
    </row>
    <row r="64" spans="1:10" ht="15" x14ac:dyDescent="0.4">
      <c r="A64" s="2" t="s">
        <v>245</v>
      </c>
      <c r="D64" s="12">
        <f>-C63*0.1*B63</f>
        <v>-1430</v>
      </c>
    </row>
    <row r="65" spans="1:10" x14ac:dyDescent="0.25">
      <c r="A65" s="8" t="s">
        <v>825</v>
      </c>
      <c r="D65" s="2">
        <f>SUM(D63:D64)</f>
        <v>12870</v>
      </c>
    </row>
    <row r="67" spans="1:10" ht="13.8" x14ac:dyDescent="0.3">
      <c r="A67" s="55" t="s">
        <v>964</v>
      </c>
      <c r="E67" s="2">
        <v>1404.01</v>
      </c>
      <c r="F67" s="2">
        <v>1350</v>
      </c>
      <c r="G67" s="2">
        <v>1485</v>
      </c>
      <c r="H67" s="2">
        <v>1485</v>
      </c>
      <c r="I67" s="2">
        <v>1485</v>
      </c>
      <c r="J67" s="2">
        <v>1485</v>
      </c>
    </row>
    <row r="68" spans="1:10" hidden="1" x14ac:dyDescent="0.25">
      <c r="A68" s="2" t="s">
        <v>1287</v>
      </c>
      <c r="B68" s="2">
        <v>11</v>
      </c>
      <c r="C68" s="2">
        <v>135</v>
      </c>
      <c r="D68" s="2">
        <f>ROUND(B68*C68,0)</f>
        <v>1485</v>
      </c>
    </row>
    <row r="70" spans="1:10" ht="13.8" x14ac:dyDescent="0.3">
      <c r="A70" s="55" t="s">
        <v>965</v>
      </c>
      <c r="E70" s="2">
        <v>5493.64</v>
      </c>
      <c r="F70" s="2">
        <v>4100</v>
      </c>
      <c r="G70" s="2">
        <v>4510</v>
      </c>
      <c r="H70" s="2">
        <v>4510</v>
      </c>
      <c r="I70" s="2">
        <v>4510</v>
      </c>
      <c r="J70" s="2">
        <v>4510</v>
      </c>
    </row>
    <row r="71" spans="1:10" hidden="1" x14ac:dyDescent="0.25">
      <c r="A71" s="2" t="s">
        <v>850</v>
      </c>
      <c r="B71" s="2">
        <v>11</v>
      </c>
      <c r="C71" s="2">
        <v>410</v>
      </c>
      <c r="D71" s="2">
        <f>ROUND(B71*C71,0)</f>
        <v>4510</v>
      </c>
    </row>
    <row r="73" spans="1:10" ht="13.8" x14ac:dyDescent="0.3">
      <c r="A73" s="55" t="s">
        <v>1517</v>
      </c>
      <c r="E73" s="2">
        <v>1142.08</v>
      </c>
      <c r="F73" s="2">
        <v>1228</v>
      </c>
      <c r="G73" s="2">
        <v>1315</v>
      </c>
      <c r="H73" s="2">
        <v>1315</v>
      </c>
      <c r="I73" s="2">
        <v>1315</v>
      </c>
      <c r="J73" s="2">
        <v>1347</v>
      </c>
    </row>
    <row r="74" spans="1:10" hidden="1" x14ac:dyDescent="0.25">
      <c r="A74" s="53" t="s">
        <v>199</v>
      </c>
      <c r="B74" s="2">
        <f>+D10</f>
        <v>28500</v>
      </c>
      <c r="C74" s="15">
        <v>1.6999999999999999E-3</v>
      </c>
      <c r="D74" s="2">
        <f>ROUND(B74*C74,0)</f>
        <v>48</v>
      </c>
    </row>
    <row r="75" spans="1:10" hidden="1" x14ac:dyDescent="0.25">
      <c r="A75" s="53" t="s">
        <v>1511</v>
      </c>
      <c r="B75" s="2">
        <f>+D18</f>
        <v>402564</v>
      </c>
      <c r="C75" s="15">
        <v>1.6999999999999999E-3</v>
      </c>
      <c r="D75" s="2">
        <f>ROUND(B75*C75,0)+9</f>
        <v>693</v>
      </c>
    </row>
    <row r="76" spans="1:10" hidden="1" x14ac:dyDescent="0.25">
      <c r="A76" s="53" t="s">
        <v>831</v>
      </c>
      <c r="B76" s="2">
        <f>+D29</f>
        <v>343512</v>
      </c>
      <c r="C76" s="15">
        <v>1.6999999999999999E-3</v>
      </c>
      <c r="D76" s="2">
        <f>ROUND(B76*C76,0)</f>
        <v>584</v>
      </c>
    </row>
    <row r="77" spans="1:10" hidden="1" x14ac:dyDescent="0.25">
      <c r="A77" s="53" t="s">
        <v>201</v>
      </c>
      <c r="B77" s="2">
        <f>+D35</f>
        <v>8184</v>
      </c>
      <c r="C77" s="15">
        <v>1.6999999999999999E-3</v>
      </c>
      <c r="D77" s="2">
        <f>ROUND(B77*C77,0)</f>
        <v>14</v>
      </c>
    </row>
    <row r="78" spans="1:10" ht="15" hidden="1" x14ac:dyDescent="0.4">
      <c r="A78" s="53" t="s">
        <v>354</v>
      </c>
      <c r="B78" s="2">
        <f>+D38*0.67</f>
        <v>4576.1885357142864</v>
      </c>
      <c r="C78" s="15">
        <v>1.6999999999999999E-3</v>
      </c>
      <c r="D78" s="12">
        <f>ROUND(B78*C78,0)</f>
        <v>8</v>
      </c>
    </row>
    <row r="79" spans="1:10" hidden="1" x14ac:dyDescent="0.25">
      <c r="A79" s="2" t="s">
        <v>1279</v>
      </c>
      <c r="D79" s="2">
        <f>SUM(D74:D78)</f>
        <v>1347</v>
      </c>
    </row>
    <row r="81" spans="1:10" ht="13.8" x14ac:dyDescent="0.3">
      <c r="A81" s="55" t="s">
        <v>355</v>
      </c>
      <c r="E81" s="2">
        <v>453.88</v>
      </c>
      <c r="F81" s="2">
        <v>555</v>
      </c>
      <c r="G81" s="2">
        <v>405</v>
      </c>
      <c r="H81" s="2">
        <v>405</v>
      </c>
      <c r="I81" s="2">
        <v>405</v>
      </c>
      <c r="J81" s="2">
        <v>405</v>
      </c>
    </row>
    <row r="82" spans="1:10" hidden="1" x14ac:dyDescent="0.25">
      <c r="A82" s="53" t="s">
        <v>199</v>
      </c>
      <c r="B82" s="2">
        <f>+D10</f>
        <v>28500</v>
      </c>
      <c r="C82" s="2">
        <v>0</v>
      </c>
      <c r="D82" s="2">
        <f>ROUND(B82*C82,0)</f>
        <v>0</v>
      </c>
    </row>
    <row r="83" spans="1:10" hidden="1" x14ac:dyDescent="0.25">
      <c r="A83" s="53" t="s">
        <v>1511</v>
      </c>
      <c r="B83" s="2">
        <v>4</v>
      </c>
      <c r="C83" s="2">
        <v>35</v>
      </c>
      <c r="D83" s="2">
        <f>ROUND(B83*C83,0)</f>
        <v>140</v>
      </c>
    </row>
    <row r="84" spans="1:10" hidden="1" x14ac:dyDescent="0.25">
      <c r="A84" s="53" t="s">
        <v>831</v>
      </c>
      <c r="B84" s="2">
        <v>6</v>
      </c>
      <c r="C84" s="2">
        <v>35</v>
      </c>
      <c r="D84" s="2">
        <f>ROUND(B84*C84,0)</f>
        <v>210</v>
      </c>
    </row>
    <row r="85" spans="1:10" hidden="1" x14ac:dyDescent="0.25">
      <c r="A85" s="53" t="s">
        <v>1589</v>
      </c>
      <c r="B85" s="2">
        <v>1</v>
      </c>
      <c r="C85" s="2">
        <v>35</v>
      </c>
      <c r="D85" s="2">
        <f>ROUND(B85*C85,0)</f>
        <v>35</v>
      </c>
    </row>
    <row r="86" spans="1:10" ht="15" hidden="1" x14ac:dyDescent="0.4">
      <c r="A86" s="53" t="s">
        <v>201</v>
      </c>
      <c r="B86" s="2">
        <f>+B77-D33</f>
        <v>8184</v>
      </c>
      <c r="C86" s="15">
        <v>2.5000000000000001E-3</v>
      </c>
      <c r="D86" s="12">
        <f>ROUND(B86*C86,0)</f>
        <v>20</v>
      </c>
    </row>
    <row r="87" spans="1:10" hidden="1" x14ac:dyDescent="0.25">
      <c r="A87" s="2" t="s">
        <v>1279</v>
      </c>
      <c r="D87" s="2">
        <f>SUM(D82:D86)</f>
        <v>405</v>
      </c>
    </row>
    <row r="88" spans="1:10" ht="13.8" x14ac:dyDescent="0.3">
      <c r="A88" s="206"/>
    </row>
    <row r="89" spans="1:10" ht="13.8" x14ac:dyDescent="0.3">
      <c r="A89" s="55" t="s">
        <v>271</v>
      </c>
      <c r="B89" s="2" t="s">
        <v>417</v>
      </c>
      <c r="E89" s="2">
        <v>81775.490000000005</v>
      </c>
      <c r="F89" s="2">
        <v>69948</v>
      </c>
      <c r="G89" s="2">
        <v>171408</v>
      </c>
      <c r="H89" s="2">
        <v>171408</v>
      </c>
      <c r="I89" s="2">
        <v>171408</v>
      </c>
      <c r="J89" s="2">
        <v>171408</v>
      </c>
    </row>
    <row r="90" spans="1:10" x14ac:dyDescent="0.25">
      <c r="A90" s="2" t="s">
        <v>316</v>
      </c>
    </row>
    <row r="91" spans="1:10" x14ac:dyDescent="0.25">
      <c r="A91" s="2" t="s">
        <v>2203</v>
      </c>
      <c r="D91" s="2">
        <v>49513.33</v>
      </c>
    </row>
    <row r="92" spans="1:10" x14ac:dyDescent="0.25">
      <c r="A92" s="2" t="s">
        <v>2204</v>
      </c>
      <c r="D92" s="2">
        <v>69275.13</v>
      </c>
    </row>
    <row r="93" spans="1:10" ht="15" x14ac:dyDescent="0.4">
      <c r="A93" s="2" t="s">
        <v>1985</v>
      </c>
      <c r="D93" s="12">
        <v>52620</v>
      </c>
    </row>
    <row r="94" spans="1:10" x14ac:dyDescent="0.25">
      <c r="A94" s="2" t="s">
        <v>273</v>
      </c>
      <c r="D94" s="2">
        <f>SUM(D91:D93)</f>
        <v>171408.46000000002</v>
      </c>
    </row>
    <row r="96" spans="1:10" ht="13.8" x14ac:dyDescent="0.3">
      <c r="A96" s="55" t="s">
        <v>464</v>
      </c>
      <c r="E96" s="2">
        <v>0</v>
      </c>
      <c r="F96" s="2">
        <f>1891+5000+730-691+72-509-107</f>
        <v>6386</v>
      </c>
      <c r="G96" s="2">
        <v>5000</v>
      </c>
      <c r="H96" s="2">
        <v>5000</v>
      </c>
      <c r="I96" s="2">
        <v>73219</v>
      </c>
      <c r="J96" s="2">
        <v>5000</v>
      </c>
    </row>
    <row r="97" spans="1:10" hidden="1" x14ac:dyDescent="0.25">
      <c r="A97" s="54" t="s">
        <v>196</v>
      </c>
      <c r="D97" s="2">
        <v>5000</v>
      </c>
    </row>
    <row r="98" spans="1:10" hidden="1" x14ac:dyDescent="0.25">
      <c r="A98" s="54" t="s">
        <v>2269</v>
      </c>
      <c r="D98" s="2">
        <v>0</v>
      </c>
    </row>
    <row r="99" spans="1:10" x14ac:dyDescent="0.25">
      <c r="A99" s="31"/>
    </row>
    <row r="100" spans="1:10" ht="13.8" x14ac:dyDescent="0.3">
      <c r="A100" s="55" t="s">
        <v>274</v>
      </c>
      <c r="E100" s="2">
        <v>7167.73</v>
      </c>
      <c r="F100" s="2">
        <v>8000</v>
      </c>
      <c r="G100" s="2">
        <v>7500</v>
      </c>
      <c r="H100" s="2">
        <v>7500</v>
      </c>
      <c r="I100" s="2">
        <v>7500</v>
      </c>
      <c r="J100" s="2">
        <v>7500</v>
      </c>
    </row>
    <row r="101" spans="1:10" x14ac:dyDescent="0.25">
      <c r="A101" s="2" t="s">
        <v>317</v>
      </c>
      <c r="B101" s="2">
        <v>8500</v>
      </c>
      <c r="C101" s="2">
        <v>8000</v>
      </c>
      <c r="D101" s="2">
        <v>7500</v>
      </c>
    </row>
    <row r="102" spans="1:10" x14ac:dyDescent="0.25">
      <c r="A102" s="2" t="s">
        <v>417</v>
      </c>
      <c r="C102" s="2" t="s">
        <v>417</v>
      </c>
      <c r="D102" s="2" t="s">
        <v>417</v>
      </c>
    </row>
    <row r="103" spans="1:10" ht="15" x14ac:dyDescent="0.4">
      <c r="A103" s="55" t="s">
        <v>1523</v>
      </c>
      <c r="B103" s="83" t="s">
        <v>1684</v>
      </c>
      <c r="C103" s="83" t="s">
        <v>1874</v>
      </c>
      <c r="D103" s="83" t="s">
        <v>1944</v>
      </c>
      <c r="E103" s="2">
        <v>10037.09</v>
      </c>
      <c r="F103" s="2">
        <v>11500</v>
      </c>
      <c r="G103" s="2">
        <v>10500</v>
      </c>
      <c r="H103" s="2">
        <v>10500</v>
      </c>
      <c r="I103" s="2">
        <v>10500</v>
      </c>
      <c r="J103" s="2">
        <v>10500</v>
      </c>
    </row>
    <row r="104" spans="1:10" x14ac:dyDescent="0.25">
      <c r="A104" s="2" t="s">
        <v>1524</v>
      </c>
      <c r="B104" s="2">
        <v>4500</v>
      </c>
      <c r="C104" s="2">
        <v>4500</v>
      </c>
      <c r="D104" s="2">
        <v>4500</v>
      </c>
    </row>
    <row r="105" spans="1:10" x14ac:dyDescent="0.25">
      <c r="A105" s="2" t="s">
        <v>624</v>
      </c>
      <c r="B105" s="2">
        <v>5000</v>
      </c>
      <c r="C105" s="2">
        <v>5000</v>
      </c>
      <c r="D105" s="2">
        <v>4000</v>
      </c>
    </row>
    <row r="106" spans="1:10" x14ac:dyDescent="0.25">
      <c r="A106" s="2" t="s">
        <v>1694</v>
      </c>
      <c r="B106" s="2">
        <v>500</v>
      </c>
      <c r="C106" s="2">
        <v>500</v>
      </c>
      <c r="D106" s="2">
        <v>500</v>
      </c>
    </row>
    <row r="107" spans="1:10" x14ac:dyDescent="0.25">
      <c r="A107" s="2" t="s">
        <v>333</v>
      </c>
      <c r="B107" s="2">
        <v>700</v>
      </c>
      <c r="C107" s="2">
        <v>700</v>
      </c>
      <c r="D107" s="2">
        <v>700</v>
      </c>
    </row>
    <row r="108" spans="1:10" ht="15" x14ac:dyDescent="0.4">
      <c r="A108" s="2" t="s">
        <v>334</v>
      </c>
      <c r="B108" s="12">
        <v>800</v>
      </c>
      <c r="C108" s="12">
        <v>800</v>
      </c>
      <c r="D108" s="12">
        <v>800</v>
      </c>
    </row>
    <row r="109" spans="1:10" x14ac:dyDescent="0.25">
      <c r="A109" s="2" t="s">
        <v>1279</v>
      </c>
      <c r="B109" s="2">
        <f>SUM(B104:B108)</f>
        <v>11500</v>
      </c>
      <c r="C109" s="2">
        <f>SUM(C104:C108)</f>
        <v>11500</v>
      </c>
      <c r="D109" s="2">
        <f>SUM(D104:D108)</f>
        <v>10500</v>
      </c>
    </row>
    <row r="111" spans="1:10" ht="15" x14ac:dyDescent="0.4">
      <c r="A111" s="55" t="s">
        <v>335</v>
      </c>
      <c r="B111" s="83" t="s">
        <v>1684</v>
      </c>
      <c r="C111" s="83" t="s">
        <v>1874</v>
      </c>
      <c r="D111" s="83" t="s">
        <v>1944</v>
      </c>
      <c r="E111" s="2">
        <v>5620.77</v>
      </c>
      <c r="F111" s="2">
        <v>5780</v>
      </c>
      <c r="G111" s="2">
        <v>6280</v>
      </c>
      <c r="H111" s="2">
        <v>6280</v>
      </c>
      <c r="I111" s="2">
        <v>6280</v>
      </c>
      <c r="J111" s="2">
        <v>6280</v>
      </c>
    </row>
    <row r="112" spans="1:10" x14ac:dyDescent="0.25">
      <c r="A112" s="2" t="s">
        <v>336</v>
      </c>
      <c r="B112" s="2">
        <v>5000</v>
      </c>
      <c r="C112" s="2">
        <v>5000</v>
      </c>
      <c r="D112" s="2">
        <v>5500</v>
      </c>
    </row>
    <row r="113" spans="1:10" ht="15" x14ac:dyDescent="0.4">
      <c r="A113" s="2" t="s">
        <v>337</v>
      </c>
      <c r="B113" s="12">
        <v>780</v>
      </c>
      <c r="C113" s="12">
        <v>780</v>
      </c>
      <c r="D113" s="12">
        <v>780</v>
      </c>
    </row>
    <row r="114" spans="1:10" x14ac:dyDescent="0.25">
      <c r="A114" s="2" t="s">
        <v>1279</v>
      </c>
      <c r="B114" s="17">
        <f>SUM(B112:B113)</f>
        <v>5780</v>
      </c>
      <c r="C114" s="17">
        <f>SUM(C112:C113)</f>
        <v>5780</v>
      </c>
      <c r="D114" s="17">
        <f>SUM(D112:D113)</f>
        <v>6280</v>
      </c>
    </row>
    <row r="116" spans="1:10" ht="15" x14ac:dyDescent="0.4">
      <c r="A116" s="55" t="s">
        <v>338</v>
      </c>
      <c r="B116" s="83" t="s">
        <v>1684</v>
      </c>
      <c r="C116" s="83" t="s">
        <v>1874</v>
      </c>
      <c r="D116" s="83" t="s">
        <v>1944</v>
      </c>
      <c r="E116" s="2">
        <v>10359.43</v>
      </c>
      <c r="F116" s="2">
        <v>22340</v>
      </c>
      <c r="G116" s="2">
        <v>13500</v>
      </c>
      <c r="H116" s="2">
        <v>13500</v>
      </c>
      <c r="I116" s="2">
        <v>13500</v>
      </c>
      <c r="J116" s="2">
        <v>13500</v>
      </c>
    </row>
    <row r="117" spans="1:10" x14ac:dyDescent="0.25">
      <c r="A117" s="2" t="s">
        <v>977</v>
      </c>
      <c r="B117" s="2">
        <v>4200</v>
      </c>
      <c r="C117" s="2">
        <v>2940</v>
      </c>
      <c r="D117" s="2">
        <v>4300</v>
      </c>
    </row>
    <row r="118" spans="1:10" x14ac:dyDescent="0.25">
      <c r="A118" s="2" t="s">
        <v>231</v>
      </c>
      <c r="B118" s="2">
        <v>3060</v>
      </c>
      <c r="C118" s="2">
        <v>3200</v>
      </c>
      <c r="D118" s="2">
        <v>3200</v>
      </c>
    </row>
    <row r="119" spans="1:10" ht="15" x14ac:dyDescent="0.4">
      <c r="A119" s="2" t="s">
        <v>323</v>
      </c>
      <c r="B119" s="12">
        <v>16200</v>
      </c>
      <c r="C119" s="12">
        <v>16200</v>
      </c>
      <c r="D119" s="12">
        <v>6000</v>
      </c>
    </row>
    <row r="120" spans="1:10" x14ac:dyDescent="0.25">
      <c r="A120" s="2" t="s">
        <v>1279</v>
      </c>
      <c r="B120" s="2">
        <f>SUM(B117:B119)</f>
        <v>23460</v>
      </c>
      <c r="C120" s="2">
        <f>SUM(C117:C119)</f>
        <v>22340</v>
      </c>
      <c r="D120" s="2">
        <f>SUM(D117:D119)</f>
        <v>13500</v>
      </c>
    </row>
    <row r="122" spans="1:10" ht="15" x14ac:dyDescent="0.4">
      <c r="A122" s="55" t="s">
        <v>1432</v>
      </c>
      <c r="B122" s="83" t="s">
        <v>1684</v>
      </c>
      <c r="C122" s="83" t="s">
        <v>1874</v>
      </c>
      <c r="D122" s="83" t="s">
        <v>1944</v>
      </c>
      <c r="E122" s="2">
        <v>1840.99</v>
      </c>
      <c r="F122" s="2">
        <v>1665</v>
      </c>
      <c r="G122" s="2">
        <v>1875</v>
      </c>
      <c r="H122" s="2">
        <v>1875</v>
      </c>
      <c r="I122" s="2">
        <v>1875</v>
      </c>
      <c r="J122" s="2">
        <v>1875</v>
      </c>
    </row>
    <row r="123" spans="1:10" x14ac:dyDescent="0.25">
      <c r="A123" s="2" t="s">
        <v>1433</v>
      </c>
      <c r="B123" s="2">
        <v>0</v>
      </c>
      <c r="C123" s="2">
        <v>0</v>
      </c>
      <c r="D123" s="2">
        <v>0</v>
      </c>
    </row>
    <row r="124" spans="1:10" x14ac:dyDescent="0.25">
      <c r="A124" s="2" t="s">
        <v>1148</v>
      </c>
      <c r="B124" s="2">
        <v>250</v>
      </c>
      <c r="C124" s="2">
        <v>250</v>
      </c>
      <c r="D124" s="2">
        <v>250</v>
      </c>
    </row>
    <row r="125" spans="1:10" x14ac:dyDescent="0.25">
      <c r="A125" s="2" t="s">
        <v>1149</v>
      </c>
      <c r="B125" s="2">
        <v>1000</v>
      </c>
      <c r="C125" s="2">
        <v>1000</v>
      </c>
      <c r="D125" s="2">
        <v>1000</v>
      </c>
    </row>
    <row r="126" spans="1:10" x14ac:dyDescent="0.25">
      <c r="A126" s="2" t="s">
        <v>1219</v>
      </c>
      <c r="B126" s="2">
        <v>210</v>
      </c>
      <c r="C126" s="2">
        <v>210</v>
      </c>
      <c r="D126" s="2">
        <v>420</v>
      </c>
    </row>
    <row r="127" spans="1:10" x14ac:dyDescent="0.25">
      <c r="A127" s="2" t="s">
        <v>1030</v>
      </c>
      <c r="B127" s="2">
        <v>175</v>
      </c>
      <c r="C127" s="2">
        <v>175</v>
      </c>
      <c r="D127" s="2">
        <v>175</v>
      </c>
    </row>
    <row r="128" spans="1:10" ht="15" x14ac:dyDescent="0.4">
      <c r="A128" s="2" t="s">
        <v>1590</v>
      </c>
      <c r="B128" s="12">
        <v>30</v>
      </c>
      <c r="C128" s="12">
        <v>30</v>
      </c>
      <c r="D128" s="12">
        <v>30</v>
      </c>
    </row>
    <row r="129" spans="1:10" x14ac:dyDescent="0.25">
      <c r="A129" s="2" t="s">
        <v>1279</v>
      </c>
      <c r="B129" s="2">
        <f>SUM(B123:B128)</f>
        <v>1665</v>
      </c>
      <c r="C129" s="2">
        <f>SUM(C123:C128)</f>
        <v>1665</v>
      </c>
      <c r="D129" s="2">
        <f>SUM(D123:D128)</f>
        <v>1875</v>
      </c>
    </row>
    <row r="131" spans="1:10" ht="15" x14ac:dyDescent="0.4">
      <c r="A131" s="55" t="s">
        <v>194</v>
      </c>
      <c r="B131" s="83" t="s">
        <v>1684</v>
      </c>
      <c r="C131" s="83" t="s">
        <v>1874</v>
      </c>
      <c r="D131" s="83" t="s">
        <v>1944</v>
      </c>
      <c r="E131" s="2">
        <v>408</v>
      </c>
      <c r="F131" s="2">
        <v>875</v>
      </c>
      <c r="G131" s="2">
        <v>700</v>
      </c>
      <c r="H131" s="2">
        <v>700</v>
      </c>
      <c r="I131" s="2">
        <v>700</v>
      </c>
      <c r="J131" s="2">
        <v>700</v>
      </c>
    </row>
    <row r="132" spans="1:10" x14ac:dyDescent="0.25">
      <c r="A132" s="2" t="s">
        <v>334</v>
      </c>
      <c r="B132" s="2">
        <v>500</v>
      </c>
      <c r="C132" s="2">
        <v>500</v>
      </c>
      <c r="D132" s="2">
        <v>300</v>
      </c>
    </row>
    <row r="133" spans="1:10" ht="15" x14ac:dyDescent="0.4">
      <c r="A133" s="2" t="s">
        <v>1082</v>
      </c>
      <c r="B133" s="12">
        <v>375</v>
      </c>
      <c r="C133" s="12">
        <v>375</v>
      </c>
      <c r="D133" s="12">
        <v>400</v>
      </c>
    </row>
    <row r="134" spans="1:10" x14ac:dyDescent="0.25">
      <c r="A134" s="2" t="s">
        <v>1279</v>
      </c>
      <c r="B134" s="2">
        <f>SUM(B132:B133)</f>
        <v>875</v>
      </c>
      <c r="C134" s="2">
        <f>SUM(C132:C133)</f>
        <v>875</v>
      </c>
      <c r="D134" s="2">
        <f>SUM(D132:D133)</f>
        <v>700</v>
      </c>
    </row>
    <row r="136" spans="1:10" ht="13.8" x14ac:dyDescent="0.3">
      <c r="A136" s="55" t="s">
        <v>1084</v>
      </c>
      <c r="E136" s="2">
        <v>9555.2999999999993</v>
      </c>
      <c r="F136" s="2">
        <v>9881</v>
      </c>
      <c r="G136" s="2">
        <v>11247</v>
      </c>
      <c r="H136" s="2">
        <v>10572</v>
      </c>
      <c r="I136" s="2">
        <v>10572</v>
      </c>
      <c r="J136" s="2">
        <v>10572</v>
      </c>
    </row>
    <row r="137" spans="1:10" x14ac:dyDescent="0.25">
      <c r="A137" s="2" t="s">
        <v>1085</v>
      </c>
      <c r="B137" s="2">
        <v>9065</v>
      </c>
      <c r="C137" s="2">
        <v>9881</v>
      </c>
      <c r="D137" s="2">
        <v>10572</v>
      </c>
    </row>
    <row r="139" spans="1:10" ht="15" x14ac:dyDescent="0.4">
      <c r="A139" s="55" t="s">
        <v>1086</v>
      </c>
      <c r="B139" s="83" t="s">
        <v>1684</v>
      </c>
      <c r="C139" s="83" t="s">
        <v>1874</v>
      </c>
      <c r="D139" s="83" t="s">
        <v>1944</v>
      </c>
      <c r="E139" s="2">
        <f>43847.18+77070+29000</f>
        <v>149917.18</v>
      </c>
      <c r="F139" s="2">
        <v>150000</v>
      </c>
      <c r="G139" s="2">
        <v>100000</v>
      </c>
      <c r="H139" s="2">
        <v>100000</v>
      </c>
      <c r="I139" s="2">
        <v>100000</v>
      </c>
      <c r="J139" s="2">
        <v>100000</v>
      </c>
    </row>
    <row r="140" spans="1:10" x14ac:dyDescent="0.25">
      <c r="A140" s="2" t="s">
        <v>450</v>
      </c>
      <c r="B140" s="2">
        <v>125000</v>
      </c>
      <c r="C140" s="2">
        <v>100000</v>
      </c>
      <c r="D140" s="2">
        <v>100000</v>
      </c>
    </row>
    <row r="141" spans="1:10" ht="15" x14ac:dyDescent="0.4">
      <c r="A141" s="2" t="s">
        <v>1869</v>
      </c>
      <c r="B141" s="12">
        <v>25000</v>
      </c>
      <c r="C141" s="12">
        <v>50000</v>
      </c>
      <c r="D141" s="12">
        <v>0</v>
      </c>
    </row>
    <row r="142" spans="1:10" x14ac:dyDescent="0.25">
      <c r="B142" s="2">
        <f>SUM(B140:B141)</f>
        <v>150000</v>
      </c>
      <c r="C142" s="2">
        <f>SUM(C140:C141)</f>
        <v>150000</v>
      </c>
      <c r="D142" s="2">
        <f>SUM(D140:D141)</f>
        <v>100000</v>
      </c>
    </row>
    <row r="144" spans="1:10" ht="15" x14ac:dyDescent="0.4">
      <c r="A144" s="55" t="s">
        <v>1087</v>
      </c>
      <c r="B144" s="83" t="s">
        <v>1684</v>
      </c>
      <c r="C144" s="83" t="s">
        <v>1874</v>
      </c>
      <c r="D144" s="83" t="s">
        <v>1944</v>
      </c>
      <c r="E144" s="2">
        <v>343.92</v>
      </c>
      <c r="F144" s="2">
        <v>1750</v>
      </c>
      <c r="G144" s="2">
        <v>1750</v>
      </c>
      <c r="H144" s="2">
        <v>1750</v>
      </c>
      <c r="I144" s="2">
        <v>1750</v>
      </c>
      <c r="J144" s="2">
        <v>1750</v>
      </c>
    </row>
    <row r="145" spans="1:10" x14ac:dyDescent="0.25">
      <c r="A145" s="2" t="s">
        <v>556</v>
      </c>
      <c r="B145" s="2">
        <v>250</v>
      </c>
      <c r="C145" s="2">
        <v>250</v>
      </c>
      <c r="D145" s="2">
        <v>250</v>
      </c>
    </row>
    <row r="146" spans="1:10" x14ac:dyDescent="0.25">
      <c r="A146" s="2" t="s">
        <v>169</v>
      </c>
      <c r="B146" s="2">
        <v>250</v>
      </c>
      <c r="C146" s="2">
        <v>250</v>
      </c>
      <c r="D146" s="2">
        <v>250</v>
      </c>
    </row>
    <row r="147" spans="1:10" x14ac:dyDescent="0.25">
      <c r="A147" s="2" t="s">
        <v>247</v>
      </c>
      <c r="B147" s="2">
        <v>250</v>
      </c>
      <c r="C147" s="2">
        <v>250</v>
      </c>
      <c r="D147" s="2">
        <v>250</v>
      </c>
    </row>
    <row r="148" spans="1:10" ht="15" x14ac:dyDescent="0.4">
      <c r="A148" s="2" t="s">
        <v>334</v>
      </c>
      <c r="B148" s="12">
        <v>100</v>
      </c>
      <c r="C148" s="12">
        <v>1000</v>
      </c>
      <c r="D148" s="12">
        <v>1000</v>
      </c>
    </row>
    <row r="149" spans="1:10" x14ac:dyDescent="0.25">
      <c r="A149" s="2" t="s">
        <v>1279</v>
      </c>
      <c r="B149" s="2">
        <f>SUM(B145:B148)</f>
        <v>850</v>
      </c>
      <c r="C149" s="2">
        <f>SUM(C145:C148)</f>
        <v>1750</v>
      </c>
      <c r="D149" s="2">
        <f>SUM(D145:D148)</f>
        <v>1750</v>
      </c>
    </row>
    <row r="151" spans="1:10" ht="15" x14ac:dyDescent="0.4">
      <c r="A151" s="55" t="s">
        <v>555</v>
      </c>
      <c r="B151" s="83" t="s">
        <v>1684</v>
      </c>
      <c r="C151" s="83" t="s">
        <v>1874</v>
      </c>
      <c r="D151" s="83" t="s">
        <v>1944</v>
      </c>
      <c r="E151" s="2">
        <v>7139.14</v>
      </c>
      <c r="F151" s="2">
        <v>7450</v>
      </c>
      <c r="G151" s="2">
        <v>6100</v>
      </c>
      <c r="H151" s="2">
        <v>6100</v>
      </c>
      <c r="I151" s="2">
        <v>6100</v>
      </c>
      <c r="J151" s="2">
        <v>6100</v>
      </c>
    </row>
    <row r="152" spans="1:10" x14ac:dyDescent="0.25">
      <c r="A152" s="2" t="s">
        <v>1090</v>
      </c>
      <c r="B152" s="2">
        <v>1850</v>
      </c>
      <c r="C152" s="2">
        <v>4300</v>
      </c>
      <c r="D152" s="2">
        <v>3500</v>
      </c>
    </row>
    <row r="153" spans="1:10" x14ac:dyDescent="0.25">
      <c r="A153" s="2" t="s">
        <v>536</v>
      </c>
      <c r="B153" s="2">
        <v>2300</v>
      </c>
      <c r="C153" s="2">
        <v>2300</v>
      </c>
      <c r="D153" s="2">
        <v>1750</v>
      </c>
    </row>
    <row r="154" spans="1:10" x14ac:dyDescent="0.25">
      <c r="A154" s="2" t="s">
        <v>638</v>
      </c>
      <c r="B154" s="2">
        <v>408</v>
      </c>
      <c r="C154" s="2">
        <v>700</v>
      </c>
      <c r="D154" s="2">
        <v>700</v>
      </c>
    </row>
    <row r="155" spans="1:10" ht="15" x14ac:dyDescent="0.4">
      <c r="A155" s="2" t="s">
        <v>334</v>
      </c>
      <c r="B155" s="12">
        <v>150</v>
      </c>
      <c r="C155" s="12">
        <v>150</v>
      </c>
      <c r="D155" s="12">
        <v>150</v>
      </c>
    </row>
    <row r="156" spans="1:10" x14ac:dyDescent="0.25">
      <c r="A156" s="2" t="s">
        <v>1279</v>
      </c>
      <c r="B156" s="2">
        <f>SUM(B152:B155)</f>
        <v>4708</v>
      </c>
      <c r="C156" s="2">
        <f>SUM(C152:C155)</f>
        <v>7450</v>
      </c>
      <c r="D156" s="2">
        <f>SUM(D152:D155)</f>
        <v>6100</v>
      </c>
    </row>
    <row r="158" spans="1:10" ht="15" x14ac:dyDescent="0.4">
      <c r="A158" s="55" t="s">
        <v>51</v>
      </c>
      <c r="B158" s="83" t="s">
        <v>1684</v>
      </c>
      <c r="C158" s="83" t="s">
        <v>1874</v>
      </c>
      <c r="D158" s="83" t="s">
        <v>1944</v>
      </c>
      <c r="E158" s="2">
        <v>0</v>
      </c>
      <c r="F158" s="2">
        <v>8000</v>
      </c>
      <c r="G158" s="2">
        <v>8000</v>
      </c>
      <c r="H158" s="2">
        <v>8000</v>
      </c>
      <c r="I158" s="2">
        <v>8000</v>
      </c>
      <c r="J158" s="2">
        <v>8000</v>
      </c>
    </row>
    <row r="159" spans="1:10" x14ac:dyDescent="0.25">
      <c r="A159" s="2" t="s">
        <v>671</v>
      </c>
      <c r="B159" s="2">
        <v>8000</v>
      </c>
      <c r="C159" s="2">
        <v>8000</v>
      </c>
      <c r="D159" s="2">
        <v>8000</v>
      </c>
    </row>
    <row r="160" spans="1:10" ht="15" x14ac:dyDescent="0.4">
      <c r="A160" s="2" t="s">
        <v>1870</v>
      </c>
      <c r="B160" s="33">
        <v>20000</v>
      </c>
      <c r="C160" s="33">
        <v>0</v>
      </c>
      <c r="D160" s="33">
        <v>0</v>
      </c>
    </row>
    <row r="161" spans="1:10" x14ac:dyDescent="0.25">
      <c r="B161" s="2">
        <f>SUM(B159:B160)</f>
        <v>28000</v>
      </c>
      <c r="C161" s="2">
        <f>SUM(C159:C160)</f>
        <v>8000</v>
      </c>
      <c r="D161" s="2">
        <f>SUM(D159:D160)</f>
        <v>8000</v>
      </c>
    </row>
    <row r="163" spans="1:10" ht="15" x14ac:dyDescent="0.4">
      <c r="A163" s="55" t="s">
        <v>52</v>
      </c>
      <c r="B163" s="83" t="s">
        <v>1684</v>
      </c>
      <c r="C163" s="83" t="s">
        <v>1874</v>
      </c>
      <c r="D163" s="83" t="s">
        <v>1944</v>
      </c>
      <c r="E163" s="2">
        <v>1305.75</v>
      </c>
      <c r="F163" s="2">
        <v>13850</v>
      </c>
      <c r="G163" s="2">
        <v>8900</v>
      </c>
      <c r="H163" s="2">
        <v>8900</v>
      </c>
      <c r="I163" s="2">
        <v>8900</v>
      </c>
      <c r="J163" s="2">
        <v>8900</v>
      </c>
    </row>
    <row r="164" spans="1:10" x14ac:dyDescent="0.25">
      <c r="A164" s="2" t="s">
        <v>556</v>
      </c>
      <c r="B164" s="2">
        <v>750</v>
      </c>
      <c r="C164" s="2">
        <v>750</v>
      </c>
      <c r="D164" s="2">
        <v>750</v>
      </c>
    </row>
    <row r="165" spans="1:10" x14ac:dyDescent="0.25">
      <c r="A165" s="2" t="s">
        <v>1064</v>
      </c>
      <c r="B165" s="2">
        <v>500</v>
      </c>
      <c r="C165" s="2">
        <v>500</v>
      </c>
      <c r="D165" s="2">
        <v>500</v>
      </c>
    </row>
    <row r="166" spans="1:10" x14ac:dyDescent="0.25">
      <c r="A166" s="2" t="s">
        <v>1674</v>
      </c>
      <c r="B166" s="2">
        <v>5000</v>
      </c>
      <c r="C166" s="2">
        <v>5000</v>
      </c>
      <c r="D166" s="2">
        <v>250</v>
      </c>
    </row>
    <row r="167" spans="1:10" x14ac:dyDescent="0.25">
      <c r="A167" s="2" t="s">
        <v>298</v>
      </c>
      <c r="B167" s="2">
        <v>150</v>
      </c>
      <c r="C167" s="2">
        <v>150</v>
      </c>
      <c r="D167" s="2">
        <v>150</v>
      </c>
    </row>
    <row r="168" spans="1:10" x14ac:dyDescent="0.25">
      <c r="A168" s="2" t="s">
        <v>1675</v>
      </c>
      <c r="B168" s="2">
        <v>450</v>
      </c>
      <c r="C168" s="2">
        <v>450</v>
      </c>
      <c r="D168" s="2">
        <v>1000</v>
      </c>
    </row>
    <row r="169" spans="1:10" x14ac:dyDescent="0.25">
      <c r="A169" s="2" t="s">
        <v>297</v>
      </c>
      <c r="B169" s="2">
        <v>450</v>
      </c>
      <c r="C169" s="2">
        <v>450</v>
      </c>
      <c r="D169" s="2">
        <v>1000</v>
      </c>
    </row>
    <row r="170" spans="1:10" x14ac:dyDescent="0.25">
      <c r="A170" s="2" t="s">
        <v>248</v>
      </c>
      <c r="B170" s="2">
        <v>150</v>
      </c>
      <c r="C170" s="2">
        <v>150</v>
      </c>
      <c r="D170" s="2">
        <v>150</v>
      </c>
    </row>
    <row r="171" spans="1:10" x14ac:dyDescent="0.25">
      <c r="A171" s="2" t="s">
        <v>665</v>
      </c>
      <c r="B171" s="2">
        <v>100</v>
      </c>
      <c r="C171" s="2">
        <v>100</v>
      </c>
      <c r="D171" s="2">
        <v>100</v>
      </c>
    </row>
    <row r="172" spans="1:10" x14ac:dyDescent="0.25">
      <c r="A172" s="2" t="s">
        <v>1673</v>
      </c>
      <c r="B172" s="2">
        <v>1100</v>
      </c>
      <c r="C172" s="2">
        <v>1100</v>
      </c>
      <c r="D172" s="2">
        <v>0</v>
      </c>
    </row>
    <row r="173" spans="1:10" x14ac:dyDescent="0.25">
      <c r="A173" s="2" t="s">
        <v>1471</v>
      </c>
      <c r="B173" s="2">
        <v>200</v>
      </c>
      <c r="C173" s="2">
        <v>200</v>
      </c>
      <c r="D173" s="2">
        <v>0</v>
      </c>
    </row>
    <row r="174" spans="1:10" ht="15" x14ac:dyDescent="0.4">
      <c r="A174" s="2" t="s">
        <v>28</v>
      </c>
      <c r="B174" s="12">
        <v>5000</v>
      </c>
      <c r="C174" s="12">
        <v>5000</v>
      </c>
      <c r="D174" s="12">
        <v>5000</v>
      </c>
    </row>
    <row r="175" spans="1:10" x14ac:dyDescent="0.25">
      <c r="A175" s="2" t="s">
        <v>1279</v>
      </c>
      <c r="B175" s="2">
        <f>SUM(B164:B174)</f>
        <v>13850</v>
      </c>
      <c r="C175" s="2">
        <f>SUM(C164:C174)</f>
        <v>13850</v>
      </c>
      <c r="D175" s="2">
        <f>SUM(D164:D174)</f>
        <v>8900</v>
      </c>
    </row>
    <row r="177" spans="1:10" ht="15" x14ac:dyDescent="0.4">
      <c r="A177" s="55" t="s">
        <v>1159</v>
      </c>
      <c r="B177" s="83" t="s">
        <v>1684</v>
      </c>
      <c r="C177" s="83" t="s">
        <v>1874</v>
      </c>
      <c r="D177" s="83" t="s">
        <v>1944</v>
      </c>
      <c r="E177" s="2">
        <v>75886.080000000002</v>
      </c>
      <c r="F177" s="2">
        <v>73805</v>
      </c>
      <c r="G177" s="2">
        <v>86800</v>
      </c>
      <c r="H177" s="2">
        <v>86800</v>
      </c>
      <c r="I177" s="2">
        <v>86800</v>
      </c>
      <c r="J177" s="2">
        <v>86800</v>
      </c>
    </row>
    <row r="178" spans="1:10" x14ac:dyDescent="0.25">
      <c r="A178" s="2" t="s">
        <v>610</v>
      </c>
      <c r="B178" s="2">
        <v>40505</v>
      </c>
      <c r="C178" s="2">
        <v>40505</v>
      </c>
      <c r="D178" s="2">
        <v>42500</v>
      </c>
    </row>
    <row r="179" spans="1:10" x14ac:dyDescent="0.25">
      <c r="A179" s="2" t="s">
        <v>666</v>
      </c>
      <c r="B179" s="2">
        <v>6000</v>
      </c>
      <c r="C179" s="2">
        <v>6000</v>
      </c>
      <c r="D179" s="2">
        <v>12000</v>
      </c>
    </row>
    <row r="180" spans="1:10" x14ac:dyDescent="0.25">
      <c r="A180" s="2" t="s">
        <v>87</v>
      </c>
      <c r="B180" s="2">
        <v>5000</v>
      </c>
      <c r="C180" s="2">
        <v>5000</v>
      </c>
      <c r="D180" s="2">
        <v>5000</v>
      </c>
    </row>
    <row r="181" spans="1:10" x14ac:dyDescent="0.25">
      <c r="A181" s="2" t="s">
        <v>1665</v>
      </c>
      <c r="B181" s="2">
        <v>2300</v>
      </c>
      <c r="C181" s="2">
        <v>2300</v>
      </c>
      <c r="D181" s="2">
        <v>2300</v>
      </c>
    </row>
    <row r="182" spans="1:10" ht="15" x14ac:dyDescent="0.4">
      <c r="A182" s="2" t="s">
        <v>657</v>
      </c>
      <c r="B182" s="12">
        <v>15000</v>
      </c>
      <c r="C182" s="12">
        <v>20000</v>
      </c>
      <c r="D182" s="12">
        <v>25000</v>
      </c>
    </row>
    <row r="183" spans="1:10" x14ac:dyDescent="0.25">
      <c r="A183" s="2" t="s">
        <v>1279</v>
      </c>
      <c r="B183" s="2">
        <f>SUM(B178:B182)</f>
        <v>68805</v>
      </c>
      <c r="C183" s="2">
        <f>SUM(C178:C182)</f>
        <v>73805</v>
      </c>
      <c r="D183" s="2">
        <f>SUM(D178:D182)</f>
        <v>86800</v>
      </c>
    </row>
    <row r="185" spans="1:10" ht="15" x14ac:dyDescent="0.4">
      <c r="A185" s="55" t="s">
        <v>611</v>
      </c>
      <c r="B185" s="83" t="s">
        <v>1684</v>
      </c>
      <c r="C185" s="83" t="s">
        <v>1874</v>
      </c>
      <c r="D185" s="83" t="s">
        <v>1944</v>
      </c>
      <c r="E185" s="2">
        <v>99120.38</v>
      </c>
      <c r="F185" s="2">
        <v>97900</v>
      </c>
      <c r="G185" s="2">
        <v>99900</v>
      </c>
      <c r="H185" s="2">
        <v>99900</v>
      </c>
      <c r="I185" s="2">
        <v>99900</v>
      </c>
      <c r="J185" s="2">
        <v>99900</v>
      </c>
    </row>
    <row r="186" spans="1:10" x14ac:dyDescent="0.25">
      <c r="A186" s="2" t="s">
        <v>612</v>
      </c>
      <c r="B186" s="2">
        <v>30200</v>
      </c>
      <c r="C186" s="2">
        <v>30200</v>
      </c>
      <c r="D186" s="2">
        <v>30200</v>
      </c>
    </row>
    <row r="187" spans="1:10" x14ac:dyDescent="0.25">
      <c r="A187" s="2" t="s">
        <v>1078</v>
      </c>
      <c r="B187" s="2">
        <v>12000</v>
      </c>
      <c r="C187" s="2">
        <v>15000</v>
      </c>
      <c r="D187" s="2">
        <v>15000</v>
      </c>
    </row>
    <row r="188" spans="1:10" x14ac:dyDescent="0.25">
      <c r="A188" s="2" t="s">
        <v>1439</v>
      </c>
      <c r="B188" s="2">
        <v>4000</v>
      </c>
      <c r="C188" s="2">
        <v>4000</v>
      </c>
      <c r="D188" s="2">
        <v>4000</v>
      </c>
    </row>
    <row r="189" spans="1:10" x14ac:dyDescent="0.25">
      <c r="A189" s="2" t="s">
        <v>2061</v>
      </c>
      <c r="B189" s="2">
        <v>7500</v>
      </c>
      <c r="C189" s="2">
        <v>10000</v>
      </c>
      <c r="D189" s="2">
        <v>12000</v>
      </c>
    </row>
    <row r="190" spans="1:10" x14ac:dyDescent="0.25">
      <c r="A190" s="2" t="s">
        <v>933</v>
      </c>
      <c r="B190" s="2">
        <v>3700</v>
      </c>
      <c r="C190" s="2">
        <v>3700</v>
      </c>
      <c r="D190" s="2">
        <v>3700</v>
      </c>
    </row>
    <row r="191" spans="1:10" x14ac:dyDescent="0.25">
      <c r="A191" s="2" t="s">
        <v>752</v>
      </c>
      <c r="B191" s="19">
        <v>35000</v>
      </c>
      <c r="C191" s="19">
        <v>35000</v>
      </c>
      <c r="D191" s="19">
        <v>35000</v>
      </c>
    </row>
    <row r="192" spans="1:10" x14ac:dyDescent="0.25">
      <c r="A192" s="2" t="s">
        <v>1279</v>
      </c>
      <c r="B192" s="2">
        <f>SUM(B186:B191)</f>
        <v>92400</v>
      </c>
      <c r="C192" s="2">
        <f>SUM(C186:C191)</f>
        <v>97900</v>
      </c>
      <c r="D192" s="2">
        <f>SUM(D186:D191)</f>
        <v>99900</v>
      </c>
    </row>
    <row r="194" spans="1:10" ht="13.8" x14ac:dyDescent="0.3">
      <c r="A194" s="55" t="s">
        <v>663</v>
      </c>
      <c r="B194" s="9" t="s">
        <v>417</v>
      </c>
      <c r="C194" s="9" t="s">
        <v>417</v>
      </c>
      <c r="E194" s="2">
        <v>31480</v>
      </c>
      <c r="F194" s="2">
        <v>31480</v>
      </c>
      <c r="G194" s="2">
        <v>32551</v>
      </c>
      <c r="H194" s="2">
        <v>32551</v>
      </c>
      <c r="I194" s="2">
        <v>32551</v>
      </c>
      <c r="J194" s="2">
        <v>32551</v>
      </c>
    </row>
    <row r="195" spans="1:10" x14ac:dyDescent="0.25">
      <c r="A195" s="2" t="s">
        <v>437</v>
      </c>
      <c r="B195" s="2">
        <v>31480</v>
      </c>
      <c r="C195" s="2">
        <v>31480</v>
      </c>
      <c r="D195" s="2">
        <v>32551</v>
      </c>
    </row>
    <row r="197" spans="1:10" ht="13.8" x14ac:dyDescent="0.3">
      <c r="A197" s="55" t="s">
        <v>622</v>
      </c>
      <c r="E197" s="2">
        <v>5248.78</v>
      </c>
      <c r="F197" s="2">
        <v>5160</v>
      </c>
      <c r="G197" s="2">
        <v>5160</v>
      </c>
      <c r="H197" s="2">
        <v>5160</v>
      </c>
      <c r="I197" s="2">
        <v>5160</v>
      </c>
      <c r="J197" s="2">
        <v>5160</v>
      </c>
    </row>
    <row r="198" spans="1:10" ht="15" x14ac:dyDescent="0.4">
      <c r="A198" s="2" t="s">
        <v>844</v>
      </c>
      <c r="B198" s="83" t="s">
        <v>1684</v>
      </c>
      <c r="C198" s="83" t="s">
        <v>1874</v>
      </c>
      <c r="D198" s="83" t="s">
        <v>1944</v>
      </c>
    </row>
    <row r="199" spans="1:10" x14ac:dyDescent="0.25">
      <c r="A199" s="2" t="s">
        <v>845</v>
      </c>
      <c r="B199" s="2">
        <v>278.43</v>
      </c>
      <c r="C199" s="2">
        <v>614</v>
      </c>
      <c r="D199" s="2">
        <v>554</v>
      </c>
    </row>
    <row r="200" spans="1:10" x14ac:dyDescent="0.25">
      <c r="A200" s="2" t="s">
        <v>846</v>
      </c>
      <c r="B200" s="2">
        <v>439.19</v>
      </c>
      <c r="C200" s="2">
        <v>500</v>
      </c>
      <c r="D200" s="2">
        <v>519</v>
      </c>
    </row>
    <row r="201" spans="1:10" x14ac:dyDescent="0.25">
      <c r="A201" s="2" t="s">
        <v>847</v>
      </c>
      <c r="B201" s="2">
        <v>1180.25</v>
      </c>
      <c r="C201" s="2">
        <v>1424</v>
      </c>
      <c r="D201" s="2">
        <v>1118</v>
      </c>
    </row>
    <row r="202" spans="1:10" x14ac:dyDescent="0.25">
      <c r="A202" s="2" t="s">
        <v>848</v>
      </c>
      <c r="C202" s="2">
        <v>1007</v>
      </c>
      <c r="D202" s="2">
        <v>1096</v>
      </c>
    </row>
    <row r="203" spans="1:10" x14ac:dyDescent="0.25">
      <c r="A203" s="2" t="s">
        <v>849</v>
      </c>
      <c r="B203" s="2">
        <v>70.8</v>
      </c>
      <c r="C203" s="2">
        <v>69</v>
      </c>
      <c r="D203" s="2">
        <v>70</v>
      </c>
    </row>
    <row r="204" spans="1:10" x14ac:dyDescent="0.25">
      <c r="A204" s="2" t="s">
        <v>836</v>
      </c>
      <c r="B204" s="2">
        <v>860.27</v>
      </c>
      <c r="C204" s="2">
        <v>900</v>
      </c>
      <c r="D204" s="2">
        <v>625</v>
      </c>
    </row>
    <row r="205" spans="1:10" x14ac:dyDescent="0.25">
      <c r="A205" s="2" t="s">
        <v>753</v>
      </c>
      <c r="B205" s="2">
        <v>187</v>
      </c>
      <c r="C205" s="2">
        <v>190</v>
      </c>
      <c r="D205" s="2">
        <v>307</v>
      </c>
    </row>
    <row r="206" spans="1:10" ht="15" x14ac:dyDescent="0.4">
      <c r="A206" s="2" t="s">
        <v>1327</v>
      </c>
      <c r="B206" s="12">
        <f>75+970+18.17+1818.42+427</f>
        <v>3308.59</v>
      </c>
      <c r="C206" s="12">
        <f>579+2185</f>
        <v>2764</v>
      </c>
      <c r="D206" s="12">
        <f>182+1384</f>
        <v>1566</v>
      </c>
    </row>
    <row r="207" spans="1:10" x14ac:dyDescent="0.25">
      <c r="A207" s="2" t="s">
        <v>1328</v>
      </c>
      <c r="B207" s="2">
        <f>SUM(B199:B206)</f>
        <v>6324.53</v>
      </c>
      <c r="C207" s="2">
        <f>SUM(C199:C206)</f>
        <v>7468</v>
      </c>
      <c r="D207" s="2">
        <f>SUM(D199:D206)</f>
        <v>5855</v>
      </c>
    </row>
    <row r="208" spans="1:10" x14ac:dyDescent="0.25">
      <c r="A208" s="2" t="s">
        <v>1892</v>
      </c>
      <c r="C208" s="2">
        <v>-2548</v>
      </c>
      <c r="D208" s="2">
        <v>-935</v>
      </c>
    </row>
    <row r="209" spans="1:10" x14ac:dyDescent="0.25">
      <c r="A209" s="2" t="s">
        <v>1435</v>
      </c>
      <c r="B209" s="19">
        <v>-1405</v>
      </c>
      <c r="C209" s="19">
        <v>0</v>
      </c>
      <c r="D209" s="19">
        <v>0</v>
      </c>
    </row>
    <row r="210" spans="1:10" x14ac:dyDescent="0.25">
      <c r="A210" s="2" t="s">
        <v>1693</v>
      </c>
      <c r="B210" s="2">
        <f>SUM(B207:B209)</f>
        <v>4919.53</v>
      </c>
      <c r="C210" s="2">
        <f>SUM(C207:C209)</f>
        <v>4920</v>
      </c>
      <c r="D210" s="2">
        <f>SUM(D207:D209)</f>
        <v>4920</v>
      </c>
    </row>
    <row r="211" spans="1:10" x14ac:dyDescent="0.25">
      <c r="A211" s="2" t="s">
        <v>1692</v>
      </c>
      <c r="B211" s="19">
        <v>240</v>
      </c>
      <c r="C211" s="19">
        <v>240</v>
      </c>
      <c r="D211" s="19">
        <v>240</v>
      </c>
    </row>
    <row r="212" spans="1:10" x14ac:dyDescent="0.25">
      <c r="A212" s="2" t="s">
        <v>478</v>
      </c>
      <c r="B212" s="2">
        <f>SUM(B210:B211)</f>
        <v>5159.53</v>
      </c>
      <c r="C212" s="2">
        <f>SUM(C210:C211)</f>
        <v>5160</v>
      </c>
      <c r="D212" s="2">
        <f>SUM(D210:D211)</f>
        <v>5160</v>
      </c>
    </row>
    <row r="214" spans="1:10" ht="13.8" x14ac:dyDescent="0.3">
      <c r="A214" s="55" t="s">
        <v>399</v>
      </c>
      <c r="E214" s="2">
        <v>0</v>
      </c>
      <c r="F214" s="2">
        <v>200</v>
      </c>
      <c r="G214" s="2">
        <v>200</v>
      </c>
      <c r="H214" s="2">
        <v>200</v>
      </c>
      <c r="I214" s="2">
        <v>200</v>
      </c>
      <c r="J214" s="2">
        <v>200</v>
      </c>
    </row>
    <row r="215" spans="1:10" x14ac:dyDescent="0.25">
      <c r="A215" s="8" t="s">
        <v>400</v>
      </c>
      <c r="B215" s="2">
        <v>75</v>
      </c>
      <c r="C215" s="2">
        <v>75</v>
      </c>
      <c r="D215" s="2">
        <v>75</v>
      </c>
    </row>
    <row r="216" spans="1:10" ht="15" x14ac:dyDescent="0.4">
      <c r="A216" s="8" t="s">
        <v>29</v>
      </c>
      <c r="B216" s="12">
        <v>125</v>
      </c>
      <c r="C216" s="12">
        <v>125</v>
      </c>
      <c r="D216" s="12">
        <v>125</v>
      </c>
    </row>
    <row r="217" spans="1:10" x14ac:dyDescent="0.25">
      <c r="B217" s="2">
        <f>SUM(B215:B216)</f>
        <v>200</v>
      </c>
      <c r="C217" s="2">
        <f>SUM(C215:C216)</f>
        <v>200</v>
      </c>
      <c r="D217" s="2">
        <f>SUM(D215:D216)</f>
        <v>200</v>
      </c>
    </row>
    <row r="220" spans="1:10" ht="15" x14ac:dyDescent="0.4">
      <c r="A220" s="55" t="s">
        <v>479</v>
      </c>
      <c r="B220" s="83" t="s">
        <v>1684</v>
      </c>
      <c r="C220" s="83" t="s">
        <v>1874</v>
      </c>
      <c r="D220" s="83" t="s">
        <v>1944</v>
      </c>
      <c r="E220" s="2">
        <v>22687.360000000001</v>
      </c>
      <c r="F220" s="2">
        <v>31222</v>
      </c>
      <c r="G220" s="2">
        <v>19147</v>
      </c>
      <c r="H220" s="2">
        <v>19147</v>
      </c>
      <c r="I220" s="2">
        <v>19147</v>
      </c>
      <c r="J220" s="2">
        <v>19147</v>
      </c>
    </row>
    <row r="221" spans="1:10" x14ac:dyDescent="0.25">
      <c r="A221" s="2" t="s">
        <v>480</v>
      </c>
      <c r="B221" s="2" t="s">
        <v>417</v>
      </c>
      <c r="C221" s="2" t="s">
        <v>417</v>
      </c>
    </row>
    <row r="222" spans="1:10" x14ac:dyDescent="0.25">
      <c r="A222" s="2" t="s">
        <v>1755</v>
      </c>
      <c r="B222" s="2">
        <v>6000</v>
      </c>
      <c r="C222" s="2">
        <v>6000</v>
      </c>
      <c r="D222" s="2">
        <v>6000</v>
      </c>
    </row>
    <row r="223" spans="1:10" x14ac:dyDescent="0.25">
      <c r="A223" s="2" t="s">
        <v>2062</v>
      </c>
      <c r="B223" s="2">
        <v>3000</v>
      </c>
      <c r="C223" s="2">
        <v>4500</v>
      </c>
      <c r="D223" s="2">
        <v>1500</v>
      </c>
    </row>
    <row r="224" spans="1:10" ht="15" x14ac:dyDescent="0.4">
      <c r="A224" s="2" t="s">
        <v>2063</v>
      </c>
      <c r="B224" s="12">
        <v>2175</v>
      </c>
      <c r="C224" s="12">
        <v>3263</v>
      </c>
      <c r="D224" s="12">
        <v>1087.5</v>
      </c>
    </row>
    <row r="225" spans="1:10" x14ac:dyDescent="0.25">
      <c r="A225" s="2" t="s">
        <v>481</v>
      </c>
      <c r="B225" s="2">
        <f>SUM(B222:B224)</f>
        <v>11175</v>
      </c>
      <c r="C225" s="2">
        <f>SUM(C222:C224)</f>
        <v>13763</v>
      </c>
      <c r="D225" s="2">
        <f>SUM(D222:D224)</f>
        <v>8587.5</v>
      </c>
    </row>
    <row r="226" spans="1:10" x14ac:dyDescent="0.25">
      <c r="A226" s="2" t="s">
        <v>482</v>
      </c>
      <c r="B226" s="2">
        <f>ROUND(B222*0.0765,0)</f>
        <v>459</v>
      </c>
      <c r="C226" s="2">
        <f>ROUND(C222*0.0765,0)</f>
        <v>459</v>
      </c>
      <c r="D226" s="2">
        <f>ROUND(D222*0.0765,0)</f>
        <v>459</v>
      </c>
    </row>
    <row r="227" spans="1:10" x14ac:dyDescent="0.25">
      <c r="A227" s="2" t="s">
        <v>1882</v>
      </c>
      <c r="B227" s="2">
        <f>ROUND(B222*0.0016,0)</f>
        <v>10</v>
      </c>
      <c r="C227" s="2">
        <f>ROUND(C222*0.0016,0)</f>
        <v>10</v>
      </c>
      <c r="D227" s="2">
        <f>ROUND(D222*0.0016,0)</f>
        <v>10</v>
      </c>
    </row>
    <row r="228" spans="1:10" x14ac:dyDescent="0.25">
      <c r="A228" s="2" t="s">
        <v>1881</v>
      </c>
      <c r="B228" s="2">
        <f>+B222*0.52%</f>
        <v>31.2</v>
      </c>
      <c r="C228" s="2">
        <f>+C222*0.34%</f>
        <v>20.400000000000002</v>
      </c>
      <c r="D228" s="2">
        <f>+D222*0.34%</f>
        <v>20.400000000000002</v>
      </c>
    </row>
    <row r="229" spans="1:10" x14ac:dyDescent="0.25">
      <c r="A229" s="2" t="s">
        <v>651</v>
      </c>
      <c r="B229" s="2">
        <v>900</v>
      </c>
      <c r="C229" s="2">
        <v>1200</v>
      </c>
      <c r="D229" s="2">
        <v>1200</v>
      </c>
    </row>
    <row r="230" spans="1:10" x14ac:dyDescent="0.25">
      <c r="A230" s="2" t="s">
        <v>503</v>
      </c>
      <c r="B230" s="2">
        <v>6700</v>
      </c>
      <c r="C230" s="2">
        <v>11000</v>
      </c>
      <c r="D230" s="2">
        <v>5000</v>
      </c>
    </row>
    <row r="231" spans="1:10" x14ac:dyDescent="0.25">
      <c r="A231" s="2" t="s">
        <v>236</v>
      </c>
      <c r="B231" s="2">
        <v>500</v>
      </c>
      <c r="C231" s="2">
        <v>750</v>
      </c>
      <c r="D231" s="2">
        <v>750</v>
      </c>
    </row>
    <row r="232" spans="1:10" x14ac:dyDescent="0.25">
      <c r="A232" s="2" t="s">
        <v>382</v>
      </c>
      <c r="B232" s="2">
        <v>0</v>
      </c>
      <c r="C232" s="2">
        <v>0</v>
      </c>
      <c r="D232" s="2">
        <v>700</v>
      </c>
    </row>
    <row r="233" spans="1:10" x14ac:dyDescent="0.25">
      <c r="A233" s="2" t="s">
        <v>18</v>
      </c>
      <c r="B233" s="2">
        <v>1600</v>
      </c>
      <c r="C233" s="2">
        <v>2400</v>
      </c>
      <c r="D233" s="2">
        <v>800</v>
      </c>
    </row>
    <row r="234" spans="1:10" x14ac:dyDescent="0.25">
      <c r="A234" s="2" t="s">
        <v>609</v>
      </c>
      <c r="B234" s="2">
        <v>120</v>
      </c>
      <c r="C234" s="2">
        <v>120</v>
      </c>
      <c r="D234" s="2">
        <v>120</v>
      </c>
    </row>
    <row r="235" spans="1:10" ht="15" x14ac:dyDescent="0.4">
      <c r="A235" s="2" t="s">
        <v>19</v>
      </c>
      <c r="B235" s="12">
        <v>1280</v>
      </c>
      <c r="C235" s="12">
        <v>1500</v>
      </c>
      <c r="D235" s="12">
        <v>1500</v>
      </c>
    </row>
    <row r="236" spans="1:10" x14ac:dyDescent="0.25">
      <c r="A236" s="2" t="s">
        <v>1279</v>
      </c>
      <c r="B236" s="2">
        <f>SUM(B225:B235)</f>
        <v>22775.200000000001</v>
      </c>
      <c r="C236" s="2">
        <f>SUM(C225:C235)</f>
        <v>31222.400000000001</v>
      </c>
      <c r="D236" s="2">
        <f>SUM(D225:D235)</f>
        <v>19146.900000000001</v>
      </c>
    </row>
    <row r="238" spans="1:10" ht="13.8" x14ac:dyDescent="0.3">
      <c r="A238" s="55" t="s">
        <v>20</v>
      </c>
      <c r="E238" s="2">
        <v>21931.48</v>
      </c>
      <c r="F238" s="2">
        <v>14000</v>
      </c>
      <c r="G238" s="2">
        <v>17500</v>
      </c>
      <c r="H238" s="2">
        <v>17500</v>
      </c>
      <c r="I238" s="2">
        <v>17500</v>
      </c>
      <c r="J238" s="2">
        <v>17500</v>
      </c>
    </row>
    <row r="239" spans="1:10" x14ac:dyDescent="0.25">
      <c r="A239" s="2" t="s">
        <v>697</v>
      </c>
      <c r="B239" s="2">
        <v>12000</v>
      </c>
      <c r="C239" s="2">
        <v>14000</v>
      </c>
      <c r="D239" s="2">
        <v>17500</v>
      </c>
    </row>
    <row r="241" spans="1:10" ht="15" x14ac:dyDescent="0.4">
      <c r="A241" s="55" t="s">
        <v>1195</v>
      </c>
      <c r="B241" s="83" t="s">
        <v>1684</v>
      </c>
      <c r="C241" s="83" t="s">
        <v>1874</v>
      </c>
      <c r="D241" s="83" t="s">
        <v>1944</v>
      </c>
      <c r="E241" s="2">
        <v>29348.400000000001</v>
      </c>
      <c r="F241" s="2">
        <v>37300</v>
      </c>
      <c r="G241" s="2">
        <v>15800</v>
      </c>
      <c r="H241" s="2">
        <v>15800</v>
      </c>
      <c r="I241" s="2">
        <v>15800</v>
      </c>
      <c r="J241" s="2">
        <v>15800</v>
      </c>
    </row>
    <row r="242" spans="1:10" x14ac:dyDescent="0.25">
      <c r="A242" s="2" t="s">
        <v>1196</v>
      </c>
      <c r="B242" s="2">
        <v>5000</v>
      </c>
      <c r="C242" s="2">
        <v>5000</v>
      </c>
      <c r="D242" s="2">
        <v>5000</v>
      </c>
    </row>
    <row r="243" spans="1:10" x14ac:dyDescent="0.25">
      <c r="A243" s="2" t="s">
        <v>1949</v>
      </c>
      <c r="C243" s="2">
        <v>5000</v>
      </c>
      <c r="D243" s="2">
        <v>5000</v>
      </c>
    </row>
    <row r="244" spans="1:10" x14ac:dyDescent="0.25">
      <c r="A244" s="2" t="s">
        <v>1756</v>
      </c>
      <c r="B244" s="2">
        <v>21500</v>
      </c>
      <c r="C244" s="2">
        <v>21500</v>
      </c>
      <c r="D244" s="2">
        <v>0</v>
      </c>
    </row>
    <row r="245" spans="1:10" x14ac:dyDescent="0.25">
      <c r="A245" s="2" t="s">
        <v>168</v>
      </c>
      <c r="B245" s="2">
        <v>5500</v>
      </c>
      <c r="C245" s="2">
        <v>5500</v>
      </c>
      <c r="D245" s="2">
        <v>5500</v>
      </c>
    </row>
    <row r="246" spans="1:10" ht="15" x14ac:dyDescent="0.4">
      <c r="A246" s="2" t="s">
        <v>334</v>
      </c>
      <c r="B246" s="12">
        <v>300</v>
      </c>
      <c r="C246" s="12">
        <v>300</v>
      </c>
      <c r="D246" s="12">
        <v>300</v>
      </c>
    </row>
    <row r="247" spans="1:10" x14ac:dyDescent="0.25">
      <c r="A247" s="2" t="s">
        <v>1279</v>
      </c>
      <c r="B247" s="2">
        <f>SUM(B242:B246)</f>
        <v>32300</v>
      </c>
      <c r="C247" s="2">
        <f>SUM(C242:C246)</f>
        <v>37300</v>
      </c>
      <c r="D247" s="2">
        <f>SUM(D242:D246)</f>
        <v>15800</v>
      </c>
    </row>
    <row r="249" spans="1:10" ht="13.8" x14ac:dyDescent="0.3">
      <c r="A249" s="55" t="s">
        <v>1521</v>
      </c>
      <c r="B249" s="9" t="s">
        <v>417</v>
      </c>
      <c r="C249" s="9" t="s">
        <v>417</v>
      </c>
      <c r="E249" s="2">
        <v>0</v>
      </c>
      <c r="F249" s="2">
        <v>1</v>
      </c>
      <c r="G249" s="2">
        <v>1</v>
      </c>
      <c r="H249" s="2">
        <v>1</v>
      </c>
      <c r="I249" s="2">
        <v>1</v>
      </c>
      <c r="J249" s="2">
        <v>1</v>
      </c>
    </row>
    <row r="250" spans="1:10" x14ac:dyDescent="0.25">
      <c r="A250" s="2" t="s">
        <v>683</v>
      </c>
      <c r="B250" s="2">
        <v>1</v>
      </c>
      <c r="C250" s="2">
        <v>1</v>
      </c>
      <c r="D250" s="2">
        <v>1</v>
      </c>
    </row>
    <row r="253" spans="1:10" ht="15" x14ac:dyDescent="0.4">
      <c r="A253" s="55" t="s">
        <v>828</v>
      </c>
      <c r="B253" s="83" t="s">
        <v>1684</v>
      </c>
      <c r="C253" s="83" t="s">
        <v>1874</v>
      </c>
      <c r="D253" s="83" t="s">
        <v>1944</v>
      </c>
      <c r="E253" s="2">
        <v>5058.67</v>
      </c>
      <c r="F253" s="2">
        <v>3500</v>
      </c>
      <c r="G253" s="2">
        <v>3500</v>
      </c>
      <c r="H253" s="2">
        <v>3500</v>
      </c>
      <c r="I253" s="2">
        <v>3500</v>
      </c>
      <c r="J253" s="2">
        <v>3500</v>
      </c>
    </row>
    <row r="254" spans="1:10" x14ac:dyDescent="0.25">
      <c r="A254" s="2" t="s">
        <v>1458</v>
      </c>
      <c r="B254" s="2">
        <v>3500</v>
      </c>
      <c r="C254" s="2">
        <v>3500</v>
      </c>
      <c r="D254" s="2">
        <v>3500</v>
      </c>
    </row>
    <row r="256" spans="1:10" ht="15" x14ac:dyDescent="0.4">
      <c r="A256" s="55" t="s">
        <v>1466</v>
      </c>
      <c r="B256" s="83" t="s">
        <v>1684</v>
      </c>
      <c r="C256" s="83" t="s">
        <v>1874</v>
      </c>
      <c r="D256" s="83" t="s">
        <v>1874</v>
      </c>
      <c r="E256" s="2">
        <v>60300</v>
      </c>
      <c r="F256" s="2">
        <v>55300</v>
      </c>
      <c r="G256" s="2">
        <v>55300</v>
      </c>
      <c r="H256" s="2">
        <v>55300</v>
      </c>
      <c r="I256" s="2">
        <v>55300</v>
      </c>
      <c r="J256" s="2">
        <v>55300</v>
      </c>
    </row>
    <row r="257" spans="1:10" ht="15" x14ac:dyDescent="0.4">
      <c r="A257" s="2" t="s">
        <v>591</v>
      </c>
      <c r="B257" s="20"/>
      <c r="C257" s="20"/>
      <c r="D257" s="20"/>
      <c r="E257" s="12"/>
      <c r="F257" s="12"/>
      <c r="G257" s="12"/>
      <c r="H257" s="12"/>
      <c r="I257" s="12"/>
      <c r="J257" s="12"/>
    </row>
    <row r="258" spans="1:10" x14ac:dyDescent="0.25">
      <c r="A258" s="2" t="s">
        <v>1052</v>
      </c>
      <c r="B258" s="9">
        <v>300</v>
      </c>
      <c r="C258" s="9">
        <v>300</v>
      </c>
      <c r="D258" s="9">
        <v>300</v>
      </c>
      <c r="E258" s="9"/>
      <c r="F258" s="9"/>
      <c r="G258" s="9"/>
      <c r="H258" s="9"/>
      <c r="I258" s="9"/>
      <c r="J258" s="9"/>
    </row>
    <row r="259" spans="1:10" x14ac:dyDescent="0.25">
      <c r="A259" s="2" t="s">
        <v>1223</v>
      </c>
      <c r="B259" s="9">
        <v>0</v>
      </c>
      <c r="C259" s="9">
        <v>0</v>
      </c>
      <c r="D259" s="9">
        <v>0</v>
      </c>
      <c r="E259" s="9"/>
      <c r="F259" s="9"/>
      <c r="G259" s="9"/>
      <c r="H259" s="9"/>
      <c r="I259" s="9"/>
      <c r="J259" s="9"/>
    </row>
    <row r="260" spans="1:10" x14ac:dyDescent="0.25">
      <c r="A260" s="2" t="s">
        <v>625</v>
      </c>
      <c r="B260" s="20">
        <v>0</v>
      </c>
      <c r="C260" s="20">
        <v>0</v>
      </c>
      <c r="D260" s="20">
        <v>0</v>
      </c>
      <c r="E260" s="20"/>
      <c r="F260" s="20"/>
      <c r="G260" s="20"/>
      <c r="H260" s="20"/>
      <c r="I260" s="20"/>
      <c r="J260" s="20"/>
    </row>
    <row r="261" spans="1:10" x14ac:dyDescent="0.25">
      <c r="A261" s="2" t="s">
        <v>273</v>
      </c>
      <c r="B261" s="9">
        <f>SUM(B258:B260)</f>
        <v>300</v>
      </c>
      <c r="C261" s="9">
        <f>SUM(C258:C260)</f>
        <v>300</v>
      </c>
      <c r="D261" s="9">
        <f>SUM(D258:D260)</f>
        <v>300</v>
      </c>
      <c r="E261" s="9"/>
      <c r="F261" s="9"/>
      <c r="G261" s="9"/>
      <c r="H261" s="9"/>
      <c r="I261" s="9"/>
      <c r="J261" s="9"/>
    </row>
    <row r="262" spans="1:10" x14ac:dyDescent="0.25">
      <c r="A262" s="2" t="s">
        <v>343</v>
      </c>
      <c r="B262" s="2">
        <v>35000</v>
      </c>
      <c r="C262" s="2">
        <v>35000</v>
      </c>
      <c r="D262" s="2">
        <v>35000</v>
      </c>
    </row>
    <row r="263" spans="1:10" x14ac:dyDescent="0.25">
      <c r="A263" s="2" t="s">
        <v>2263</v>
      </c>
      <c r="B263" s="2">
        <v>15000</v>
      </c>
      <c r="C263" s="2">
        <v>10000</v>
      </c>
      <c r="D263" s="2">
        <v>10000</v>
      </c>
    </row>
    <row r="264" spans="1:10" ht="15" x14ac:dyDescent="0.4">
      <c r="A264" s="2" t="s">
        <v>344</v>
      </c>
      <c r="B264" s="12">
        <v>10000</v>
      </c>
      <c r="C264" s="12">
        <v>10000</v>
      </c>
      <c r="D264" s="12">
        <v>10000</v>
      </c>
    </row>
    <row r="265" spans="1:10" x14ac:dyDescent="0.25">
      <c r="A265" s="2" t="s">
        <v>1279</v>
      </c>
      <c r="B265" s="2">
        <f>SUM(B261:B264)</f>
        <v>60300</v>
      </c>
      <c r="C265" s="2">
        <f>SUM(C261:C264)</f>
        <v>55300</v>
      </c>
      <c r="D265" s="2">
        <f>SUM(D261:D264)</f>
        <v>55300</v>
      </c>
    </row>
    <row r="267" spans="1:10" ht="15" x14ac:dyDescent="0.4">
      <c r="A267" s="55" t="s">
        <v>1564</v>
      </c>
      <c r="B267" s="83" t="s">
        <v>1684</v>
      </c>
      <c r="C267" s="83" t="s">
        <v>1874</v>
      </c>
      <c r="D267" s="83" t="s">
        <v>1944</v>
      </c>
      <c r="E267" s="12">
        <v>21283.37</v>
      </c>
      <c r="F267" s="12">
        <v>30000</v>
      </c>
      <c r="G267" s="12">
        <v>45000</v>
      </c>
      <c r="H267" s="12">
        <v>45000</v>
      </c>
      <c r="I267" s="12">
        <v>45000</v>
      </c>
      <c r="J267" s="12">
        <v>45000</v>
      </c>
    </row>
    <row r="268" spans="1:10" x14ac:dyDescent="0.25">
      <c r="A268" s="2" t="s">
        <v>1660</v>
      </c>
      <c r="B268" s="2">
        <v>50000</v>
      </c>
      <c r="C268" s="2">
        <v>30000</v>
      </c>
      <c r="D268" s="2">
        <v>35000</v>
      </c>
    </row>
    <row r="269" spans="1:10" ht="15" x14ac:dyDescent="0.4">
      <c r="A269" s="43" t="s">
        <v>2228</v>
      </c>
      <c r="B269" s="12">
        <v>0</v>
      </c>
      <c r="C269" s="12">
        <v>0</v>
      </c>
      <c r="D269" s="12">
        <v>10000</v>
      </c>
    </row>
    <row r="270" spans="1:10" x14ac:dyDescent="0.25">
      <c r="B270" s="2">
        <f>SUM(B268:B269)</f>
        <v>50000</v>
      </c>
      <c r="C270" s="2">
        <f>SUM(C268:C269)</f>
        <v>30000</v>
      </c>
      <c r="D270" s="2">
        <f>SUM(D268:D269)</f>
        <v>45000</v>
      </c>
    </row>
    <row r="271" spans="1:10" x14ac:dyDescent="0.25">
      <c r="A271" s="17" t="s">
        <v>417</v>
      </c>
    </row>
    <row r="272" spans="1:10" x14ac:dyDescent="0.25">
      <c r="A272" s="2" t="s">
        <v>1366</v>
      </c>
      <c r="E272" s="2">
        <f t="shared" ref="E272:I272" si="2">SUM(E6:E267)</f>
        <v>1669667.58</v>
      </c>
      <c r="F272" s="2">
        <f t="shared" si="2"/>
        <v>1784075</v>
      </c>
      <c r="G272" s="2">
        <f t="shared" si="2"/>
        <v>1858807</v>
      </c>
      <c r="H272" s="2">
        <f t="shared" si="2"/>
        <v>1858132</v>
      </c>
      <c r="I272" s="2">
        <f t="shared" si="2"/>
        <v>1926351</v>
      </c>
      <c r="J272" s="2">
        <f t="shared" ref="J272" si="3">SUM(J6:J267)</f>
        <v>1881659</v>
      </c>
    </row>
    <row r="274" spans="1:10" x14ac:dyDescent="0.25">
      <c r="A274" s="2" t="s">
        <v>1001</v>
      </c>
      <c r="E274" s="2">
        <f t="shared" ref="E274:I274" si="4">SUM(E6:E96)</f>
        <v>1093627.76</v>
      </c>
      <c r="F274" s="2">
        <f t="shared" si="4"/>
        <v>1163116</v>
      </c>
      <c r="G274" s="2">
        <f t="shared" si="4"/>
        <v>1301596</v>
      </c>
      <c r="H274" s="2">
        <f t="shared" si="4"/>
        <v>1301596</v>
      </c>
      <c r="I274" s="2">
        <f t="shared" si="4"/>
        <v>1369815</v>
      </c>
      <c r="J274" s="2">
        <f t="shared" ref="J274" si="5">SUM(J6:J96)</f>
        <v>1325123</v>
      </c>
    </row>
    <row r="275" spans="1:10" x14ac:dyDescent="0.25">
      <c r="A275" s="2" t="s">
        <v>975</v>
      </c>
      <c r="E275" s="2">
        <f t="shared" ref="E275:H275" si="6">SUM(E100:E241)</f>
        <v>489397.78</v>
      </c>
      <c r="F275" s="2">
        <f t="shared" si="6"/>
        <v>532158</v>
      </c>
      <c r="G275" s="2">
        <f t="shared" si="6"/>
        <v>453410</v>
      </c>
      <c r="H275" s="2">
        <f t="shared" si="6"/>
        <v>452735</v>
      </c>
      <c r="I275" s="2">
        <f>SUM(I100:I241)</f>
        <v>452735</v>
      </c>
      <c r="J275" s="2">
        <f>SUM(J100:J241)</f>
        <v>452735</v>
      </c>
    </row>
    <row r="276" spans="1:10" ht="15" x14ac:dyDescent="0.4">
      <c r="A276" s="2" t="s">
        <v>976</v>
      </c>
      <c r="E276" s="12">
        <f t="shared" ref="E276:H276" si="7">SUM(E249:E267)</f>
        <v>86642.04</v>
      </c>
      <c r="F276" s="12">
        <f t="shared" si="7"/>
        <v>88801</v>
      </c>
      <c r="G276" s="12">
        <f t="shared" si="7"/>
        <v>103801</v>
      </c>
      <c r="H276" s="12">
        <f t="shared" si="7"/>
        <v>103801</v>
      </c>
      <c r="I276" s="12">
        <f>SUM(I249:I267)</f>
        <v>103801</v>
      </c>
      <c r="J276" s="12">
        <f>SUM(J249:J267)</f>
        <v>103801</v>
      </c>
    </row>
    <row r="277" spans="1:10" x14ac:dyDescent="0.25">
      <c r="A277" s="2" t="s">
        <v>1279</v>
      </c>
      <c r="E277" s="2">
        <f t="shared" ref="E277:H277" si="8">SUM(E274:E276)</f>
        <v>1669667.58</v>
      </c>
      <c r="F277" s="2">
        <f t="shared" si="8"/>
        <v>1784075</v>
      </c>
      <c r="G277" s="2">
        <f t="shared" si="8"/>
        <v>1858807</v>
      </c>
      <c r="H277" s="2">
        <f t="shared" si="8"/>
        <v>1858132</v>
      </c>
      <c r="I277" s="2">
        <f>SUM(I274:I276)</f>
        <v>1926351</v>
      </c>
      <c r="J277" s="2">
        <f>SUM(J274:J276)</f>
        <v>1881659</v>
      </c>
    </row>
    <row r="279" spans="1:10" x14ac:dyDescent="0.25">
      <c r="I279" s="2">
        <f>+I277-H277</f>
        <v>68219</v>
      </c>
      <c r="J279" s="2">
        <f>+J277-I277</f>
        <v>-44692</v>
      </c>
    </row>
  </sheetData>
  <mergeCells count="1">
    <mergeCell ref="A1:J1"/>
  </mergeCells>
  <phoneticPr fontId="0" type="noConversion"/>
  <printOptions gridLines="1"/>
  <pageMargins left="0.75" right="0.16" top="0.51" bottom="0.22" header="0.5" footer="0.24"/>
  <pageSetup scale="86" fitToHeight="12" orientation="landscape" r:id="rId1"/>
  <headerFooter alignWithMargins="0"/>
  <rowBreaks count="6" manualBreakCount="6">
    <brk id="58" max="9" man="1"/>
    <brk id="110" max="9" man="1"/>
    <brk id="149" max="9" man="1"/>
    <brk id="184" max="9" man="1"/>
    <brk id="219" max="9" man="1"/>
    <brk id="255"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154"/>
  <sheetViews>
    <sheetView view="pageBreakPreview" zoomScaleNormal="100" zoomScaleSheetLayoutView="100" workbookViewId="0">
      <selection activeCell="A84" sqref="A84"/>
    </sheetView>
  </sheetViews>
  <sheetFormatPr defaultRowHeight="13.2" x14ac:dyDescent="0.25"/>
  <cols>
    <col min="1" max="1" width="41.5546875" style="8" bestFit="1" customWidth="1"/>
    <col min="2" max="2" width="9.88671875" style="8" customWidth="1"/>
    <col min="3" max="3" width="10.33203125" style="8" customWidth="1"/>
    <col min="4" max="4" width="10.5546875" style="8" customWidth="1"/>
    <col min="5" max="6" width="10.88671875" style="8" customWidth="1"/>
    <col min="7" max="7" width="10.88671875" style="2" customWidth="1"/>
    <col min="8" max="8" width="14" style="8" bestFit="1" customWidth="1"/>
    <col min="9" max="10" width="10.88671875" style="8" customWidth="1"/>
    <col min="11" max="16384" width="8.88671875" style="8"/>
  </cols>
  <sheetData>
    <row r="1" spans="1:10" x14ac:dyDescent="0.25">
      <c r="A1" s="217" t="s">
        <v>1972</v>
      </c>
      <c r="B1" s="218"/>
      <c r="C1" s="218"/>
      <c r="D1" s="218"/>
      <c r="E1" s="218"/>
      <c r="F1" s="218"/>
      <c r="G1" s="218"/>
      <c r="H1" s="218"/>
      <c r="I1" s="218"/>
      <c r="J1" s="218"/>
    </row>
    <row r="2" spans="1:10" ht="17.399999999999999" x14ac:dyDescent="0.3">
      <c r="A2" s="202" t="s">
        <v>2257</v>
      </c>
      <c r="B2" s="202"/>
      <c r="C2" s="202"/>
      <c r="D2" s="202"/>
      <c r="E2" s="202"/>
      <c r="F2" s="202"/>
      <c r="G2" s="202"/>
      <c r="H2" s="202"/>
      <c r="I2" s="202"/>
      <c r="J2" s="202"/>
    </row>
    <row r="3" spans="1:10" x14ac:dyDescent="0.25">
      <c r="B3" s="2"/>
      <c r="C3" s="2"/>
      <c r="D3" s="2"/>
      <c r="E3" s="2"/>
      <c r="F3" s="2"/>
    </row>
    <row r="4" spans="1:10" x14ac:dyDescent="0.25">
      <c r="B4" s="2"/>
      <c r="C4" s="2"/>
      <c r="D4" s="2"/>
      <c r="E4" s="9" t="s">
        <v>251</v>
      </c>
      <c r="F4" s="9" t="s">
        <v>252</v>
      </c>
      <c r="G4" s="9" t="s">
        <v>73</v>
      </c>
      <c r="H4" s="9" t="s">
        <v>430</v>
      </c>
      <c r="I4" s="2" t="s">
        <v>330</v>
      </c>
      <c r="J4" s="2" t="s">
        <v>364</v>
      </c>
    </row>
    <row r="5" spans="1:10" ht="15" x14ac:dyDescent="0.4">
      <c r="B5" s="2"/>
      <c r="C5" s="2"/>
      <c r="D5" s="2"/>
      <c r="E5" s="10" t="s">
        <v>1684</v>
      </c>
      <c r="F5" s="10" t="s">
        <v>1874</v>
      </c>
      <c r="G5" s="10" t="s">
        <v>1944</v>
      </c>
      <c r="H5" s="10" t="s">
        <v>1944</v>
      </c>
      <c r="I5" s="10" t="s">
        <v>1944</v>
      </c>
      <c r="J5" s="10" t="s">
        <v>1944</v>
      </c>
    </row>
    <row r="6" spans="1:10" ht="13.8" x14ac:dyDescent="0.3">
      <c r="A6" s="11" t="s">
        <v>783</v>
      </c>
      <c r="B6" s="2"/>
      <c r="C6" s="2"/>
      <c r="D6" s="2"/>
      <c r="E6" s="2">
        <v>60029</v>
      </c>
      <c r="F6" s="2">
        <v>65390</v>
      </c>
      <c r="G6" s="2">
        <v>64986</v>
      </c>
      <c r="H6" s="2">
        <v>64986</v>
      </c>
      <c r="I6" s="2">
        <v>63774</v>
      </c>
      <c r="J6" s="2">
        <v>65118</v>
      </c>
    </row>
    <row r="7" spans="1:10" x14ac:dyDescent="0.25">
      <c r="A7" s="8" t="s">
        <v>781</v>
      </c>
      <c r="B7" s="2">
        <v>52</v>
      </c>
      <c r="C7" s="2">
        <v>1236</v>
      </c>
      <c r="D7" s="2">
        <f>ROUND(B7*C7,0)</f>
        <v>64272</v>
      </c>
      <c r="E7" s="2"/>
      <c r="F7" s="2"/>
      <c r="H7" s="2"/>
      <c r="I7" s="2"/>
      <c r="J7" s="2"/>
    </row>
    <row r="8" spans="1:10" x14ac:dyDescent="0.25">
      <c r="A8" s="8" t="s">
        <v>995</v>
      </c>
      <c r="B8" s="2"/>
      <c r="C8" s="2"/>
      <c r="D8" s="19">
        <v>846</v>
      </c>
      <c r="E8" s="2"/>
      <c r="F8" s="2"/>
      <c r="H8" s="2"/>
      <c r="I8" s="2"/>
      <c r="J8" s="2"/>
    </row>
    <row r="9" spans="1:10" x14ac:dyDescent="0.25">
      <c r="B9" s="2"/>
      <c r="C9" s="2"/>
      <c r="D9" s="2">
        <f>+D8+D7</f>
        <v>65118</v>
      </c>
      <c r="E9" s="2"/>
      <c r="F9" s="2"/>
      <c r="H9" s="2"/>
      <c r="I9" s="2"/>
      <c r="J9" s="2"/>
    </row>
    <row r="10" spans="1:10" x14ac:dyDescent="0.25">
      <c r="B10" s="2"/>
      <c r="C10" s="2"/>
      <c r="D10" s="2"/>
      <c r="E10" s="2"/>
      <c r="F10" s="2"/>
      <c r="H10" s="2"/>
      <c r="I10" s="2"/>
      <c r="J10" s="2"/>
    </row>
    <row r="11" spans="1:10" ht="13.8" x14ac:dyDescent="0.3">
      <c r="A11" s="11" t="s">
        <v>835</v>
      </c>
      <c r="E11" s="8">
        <v>38459</v>
      </c>
      <c r="F11" s="2">
        <v>41181</v>
      </c>
      <c r="G11" s="2">
        <v>41181</v>
      </c>
      <c r="H11" s="2">
        <v>41181</v>
      </c>
      <c r="I11" s="2">
        <v>40404</v>
      </c>
      <c r="J11" s="2">
        <v>41132</v>
      </c>
    </row>
    <row r="12" spans="1:10" x14ac:dyDescent="0.25">
      <c r="A12" s="8" t="s">
        <v>782</v>
      </c>
      <c r="B12" s="2">
        <v>52</v>
      </c>
      <c r="C12" s="2">
        <v>791</v>
      </c>
      <c r="D12" s="2">
        <f>ROUND(B12*C12,0)</f>
        <v>41132</v>
      </c>
      <c r="F12" s="2"/>
      <c r="H12" s="2"/>
      <c r="I12" s="2"/>
      <c r="J12" s="2"/>
    </row>
    <row r="13" spans="1:10" x14ac:dyDescent="0.25">
      <c r="D13" s="2"/>
      <c r="E13" s="2"/>
      <c r="F13" s="2"/>
      <c r="H13" s="2"/>
      <c r="I13" s="2"/>
      <c r="J13" s="2"/>
    </row>
    <row r="14" spans="1:10" ht="13.8" x14ac:dyDescent="0.3">
      <c r="A14" s="11" t="s">
        <v>784</v>
      </c>
      <c r="D14" s="2"/>
      <c r="E14" s="2">
        <v>15776</v>
      </c>
      <c r="F14" s="2">
        <v>24312</v>
      </c>
      <c r="G14" s="2">
        <v>24312</v>
      </c>
      <c r="H14" s="2">
        <v>24312</v>
      </c>
      <c r="I14" s="2">
        <v>24312</v>
      </c>
      <c r="J14" s="2">
        <v>24763</v>
      </c>
    </row>
    <row r="15" spans="1:10" x14ac:dyDescent="0.25">
      <c r="A15" s="8" t="s">
        <v>205</v>
      </c>
      <c r="B15" s="2">
        <v>1325</v>
      </c>
      <c r="C15" s="13">
        <v>17.5</v>
      </c>
      <c r="D15" s="2">
        <f>ROUND(B15*C15,0)</f>
        <v>23188</v>
      </c>
      <c r="E15" s="2"/>
      <c r="F15" s="2"/>
      <c r="H15" s="2"/>
      <c r="I15" s="2"/>
      <c r="J15" s="2"/>
    </row>
    <row r="16" spans="1:10" x14ac:dyDescent="0.25">
      <c r="A16" s="8" t="s">
        <v>204</v>
      </c>
      <c r="B16" s="2">
        <v>0</v>
      </c>
      <c r="C16" s="13">
        <v>0</v>
      </c>
      <c r="D16" s="19">
        <v>1575</v>
      </c>
      <c r="E16" s="2"/>
      <c r="F16" s="2"/>
      <c r="H16" s="2"/>
      <c r="I16" s="2"/>
      <c r="J16" s="2"/>
    </row>
    <row r="17" spans="1:10" x14ac:dyDescent="0.25">
      <c r="B17" s="2"/>
      <c r="C17" s="13"/>
      <c r="D17" s="2">
        <f>SUM(D15:D16)</f>
        <v>24763</v>
      </c>
      <c r="E17" s="2"/>
      <c r="F17" s="2"/>
      <c r="H17" s="2"/>
      <c r="I17" s="2"/>
      <c r="J17" s="2"/>
    </row>
    <row r="18" spans="1:10" x14ac:dyDescent="0.25">
      <c r="D18" s="2"/>
      <c r="E18" s="2"/>
      <c r="F18" s="2"/>
      <c r="H18" s="2"/>
      <c r="I18" s="2"/>
      <c r="J18" s="2"/>
    </row>
    <row r="19" spans="1:10" ht="13.8" x14ac:dyDescent="0.3">
      <c r="A19" s="11" t="s">
        <v>1376</v>
      </c>
      <c r="D19" s="2"/>
      <c r="E19" s="2">
        <v>153</v>
      </c>
      <c r="F19" s="2"/>
      <c r="G19" s="2">
        <v>0</v>
      </c>
      <c r="H19" s="2">
        <v>0</v>
      </c>
      <c r="I19" s="2"/>
      <c r="J19" s="2"/>
    </row>
    <row r="20" spans="1:10" x14ac:dyDescent="0.25">
      <c r="D20" s="2"/>
      <c r="E20" s="2"/>
      <c r="F20" s="2"/>
      <c r="H20" s="2"/>
      <c r="I20" s="2"/>
      <c r="J20" s="2"/>
    </row>
    <row r="21" spans="1:10" ht="13.8" x14ac:dyDescent="0.3">
      <c r="A21" s="11" t="s">
        <v>785</v>
      </c>
      <c r="D21" s="2"/>
      <c r="E21" s="2">
        <v>8613</v>
      </c>
      <c r="F21" s="2">
        <v>10012</v>
      </c>
      <c r="G21" s="2">
        <v>9981</v>
      </c>
      <c r="H21" s="2">
        <v>9981</v>
      </c>
      <c r="I21" s="2">
        <v>9830</v>
      </c>
      <c r="J21" s="2">
        <v>10023</v>
      </c>
    </row>
    <row r="22" spans="1:10" hidden="1" x14ac:dyDescent="0.25">
      <c r="A22" s="14" t="s">
        <v>1511</v>
      </c>
      <c r="B22" s="2">
        <f>+D9</f>
        <v>65118</v>
      </c>
      <c r="C22" s="15">
        <v>7.6499999999999999E-2</v>
      </c>
      <c r="D22" s="2">
        <f>ROUND(B22*C22,0)</f>
        <v>4982</v>
      </c>
      <c r="E22" s="2"/>
      <c r="F22" s="2"/>
      <c r="H22" s="2"/>
      <c r="I22" s="2"/>
      <c r="J22" s="2"/>
    </row>
    <row r="23" spans="1:10" hidden="1" x14ac:dyDescent="0.25">
      <c r="A23" s="14" t="s">
        <v>831</v>
      </c>
      <c r="B23" s="2">
        <f>+D12</f>
        <v>41132</v>
      </c>
      <c r="C23" s="15">
        <v>7.6499999999999999E-2</v>
      </c>
      <c r="D23" s="2">
        <f>ROUND(B23*C23,0)</f>
        <v>3147</v>
      </c>
      <c r="E23" s="2"/>
      <c r="F23" s="2"/>
      <c r="H23" s="2"/>
      <c r="I23" s="2"/>
      <c r="J23" s="2"/>
    </row>
    <row r="24" spans="1:10" ht="15" hidden="1" x14ac:dyDescent="0.4">
      <c r="A24" s="14" t="s">
        <v>201</v>
      </c>
      <c r="B24" s="2">
        <f>+D17</f>
        <v>24763</v>
      </c>
      <c r="C24" s="15">
        <v>7.6499999999999999E-2</v>
      </c>
      <c r="D24" s="12">
        <f>ROUND(B24*C24,0)</f>
        <v>1894</v>
      </c>
      <c r="E24" s="2"/>
      <c r="F24" s="2"/>
      <c r="H24" s="2"/>
      <c r="I24" s="2"/>
      <c r="J24" s="2"/>
    </row>
    <row r="25" spans="1:10" hidden="1" x14ac:dyDescent="0.25">
      <c r="A25" s="8" t="s">
        <v>438</v>
      </c>
      <c r="B25" s="2" t="s">
        <v>417</v>
      </c>
      <c r="D25" s="2">
        <f>SUM(D22:D24)</f>
        <v>10023</v>
      </c>
      <c r="E25" s="2"/>
      <c r="F25" s="2"/>
      <c r="H25" s="2"/>
      <c r="I25" s="2"/>
      <c r="J25" s="2"/>
    </row>
    <row r="26" spans="1:10" x14ac:dyDescent="0.25">
      <c r="D26" s="2"/>
      <c r="E26" s="2"/>
      <c r="F26" s="2"/>
      <c r="H26" s="2"/>
      <c r="I26" s="2"/>
      <c r="J26" s="2"/>
    </row>
    <row r="27" spans="1:10" ht="13.8" x14ac:dyDescent="0.3">
      <c r="A27" s="16" t="s">
        <v>1537</v>
      </c>
      <c r="D27" s="2"/>
      <c r="E27" s="2">
        <v>11026</v>
      </c>
      <c r="F27" s="2">
        <v>11904</v>
      </c>
      <c r="G27" s="2">
        <v>12948</v>
      </c>
      <c r="H27" s="2">
        <v>12948</v>
      </c>
      <c r="I27" s="2">
        <v>12658</v>
      </c>
      <c r="J27" s="2">
        <v>12909</v>
      </c>
    </row>
    <row r="28" spans="1:10" hidden="1" x14ac:dyDescent="0.25">
      <c r="A28" s="8" t="s">
        <v>438</v>
      </c>
      <c r="B28" s="2">
        <f>+D9+D12</f>
        <v>106250</v>
      </c>
      <c r="C28" s="15">
        <v>0.1215</v>
      </c>
      <c r="D28" s="2">
        <f>ROUND(B28*C28,0)</f>
        <v>12909</v>
      </c>
      <c r="E28" s="2"/>
      <c r="F28" s="2"/>
      <c r="H28" s="2"/>
      <c r="I28" s="2"/>
      <c r="J28" s="2"/>
    </row>
    <row r="29" spans="1:10" x14ac:dyDescent="0.25">
      <c r="D29" s="2"/>
      <c r="E29" s="2"/>
      <c r="F29" s="2"/>
      <c r="H29" s="2"/>
      <c r="I29" s="2"/>
      <c r="J29" s="2"/>
    </row>
    <row r="30" spans="1:10" ht="13.8" x14ac:dyDescent="0.3">
      <c r="A30" s="11" t="s">
        <v>1538</v>
      </c>
      <c r="D30" s="2"/>
      <c r="E30" s="2">
        <v>35502</v>
      </c>
      <c r="F30" s="2">
        <v>34000</v>
      </c>
      <c r="G30" s="2">
        <v>34500</v>
      </c>
      <c r="H30" s="2">
        <v>34500</v>
      </c>
      <c r="I30" s="2">
        <v>34500</v>
      </c>
      <c r="J30" s="2">
        <v>34500</v>
      </c>
    </row>
    <row r="31" spans="1:10" x14ac:dyDescent="0.25">
      <c r="A31" s="8" t="s">
        <v>438</v>
      </c>
      <c r="B31" s="2">
        <v>2</v>
      </c>
      <c r="C31" s="2">
        <v>17250</v>
      </c>
      <c r="D31" s="2">
        <f>ROUND(B31*C31,0)</f>
        <v>34500</v>
      </c>
      <c r="E31" s="2"/>
      <c r="F31" s="2"/>
      <c r="H31" s="2"/>
      <c r="I31" s="2"/>
      <c r="J31" s="2"/>
    </row>
    <row r="32" spans="1:10" x14ac:dyDescent="0.25">
      <c r="D32" s="2"/>
      <c r="E32" s="2"/>
      <c r="F32" s="2"/>
      <c r="H32" s="2"/>
      <c r="I32" s="2"/>
      <c r="J32" s="2"/>
    </row>
    <row r="33" spans="1:10" ht="13.8" x14ac:dyDescent="0.3">
      <c r="A33" s="11" t="s">
        <v>1539</v>
      </c>
      <c r="D33" s="2"/>
      <c r="E33" s="2">
        <v>2375</v>
      </c>
      <c r="F33" s="2">
        <v>2340</v>
      </c>
      <c r="G33" s="2">
        <v>2340</v>
      </c>
      <c r="H33" s="2">
        <v>2340</v>
      </c>
      <c r="I33" s="2">
        <v>2340</v>
      </c>
      <c r="J33" s="2">
        <v>2340</v>
      </c>
    </row>
    <row r="34" spans="1:10" x14ac:dyDescent="0.25">
      <c r="A34" s="8" t="s">
        <v>438</v>
      </c>
      <c r="B34" s="2">
        <v>2</v>
      </c>
      <c r="C34" s="2">
        <v>1300</v>
      </c>
      <c r="D34" s="2">
        <f>ROUND(B34*C34,0)</f>
        <v>2600</v>
      </c>
      <c r="E34" s="2"/>
      <c r="F34" s="2"/>
      <c r="H34" s="2"/>
      <c r="I34" s="2"/>
      <c r="J34" s="2"/>
    </row>
    <row r="35" spans="1:10" ht="15" x14ac:dyDescent="0.4">
      <c r="A35" s="8" t="s">
        <v>245</v>
      </c>
      <c r="B35" s="2"/>
      <c r="C35" s="2"/>
      <c r="D35" s="12">
        <f>+C34*0.1*-B34</f>
        <v>-260</v>
      </c>
      <c r="E35" s="2"/>
      <c r="F35" s="2"/>
      <c r="H35" s="2"/>
      <c r="I35" s="2"/>
      <c r="J35" s="2"/>
    </row>
    <row r="36" spans="1:10" x14ac:dyDescent="0.25">
      <c r="A36" s="8" t="s">
        <v>825</v>
      </c>
      <c r="B36" s="2"/>
      <c r="C36" s="2"/>
      <c r="D36" s="2">
        <f>SUM(D34:D35)</f>
        <v>2340</v>
      </c>
      <c r="E36" s="2"/>
      <c r="F36" s="2"/>
      <c r="H36" s="2"/>
      <c r="I36" s="2"/>
      <c r="J36" s="2"/>
    </row>
    <row r="37" spans="1:10" x14ac:dyDescent="0.25">
      <c r="D37" s="2"/>
      <c r="E37" s="2"/>
      <c r="F37" s="2"/>
      <c r="H37" s="2"/>
      <c r="I37" s="2"/>
      <c r="J37" s="2"/>
    </row>
    <row r="38" spans="1:10" ht="13.8" x14ac:dyDescent="0.3">
      <c r="A38" s="11" t="s">
        <v>1540</v>
      </c>
      <c r="D38" s="2"/>
      <c r="E38" s="2">
        <v>216</v>
      </c>
      <c r="F38" s="2">
        <v>270</v>
      </c>
      <c r="G38" s="2">
        <v>270</v>
      </c>
      <c r="H38" s="2">
        <v>270</v>
      </c>
      <c r="I38" s="2">
        <v>270</v>
      </c>
      <c r="J38" s="2">
        <v>270</v>
      </c>
    </row>
    <row r="39" spans="1:10" x14ac:dyDescent="0.25">
      <c r="A39" s="8" t="s">
        <v>438</v>
      </c>
      <c r="B39" s="2">
        <v>2</v>
      </c>
      <c r="C39" s="2">
        <v>135</v>
      </c>
      <c r="D39" s="2">
        <f>ROUND(B39*C39,0)</f>
        <v>270</v>
      </c>
      <c r="E39" s="2"/>
      <c r="F39" s="2"/>
      <c r="H39" s="2"/>
      <c r="I39" s="2"/>
      <c r="J39" s="2"/>
    </row>
    <row r="40" spans="1:10" x14ac:dyDescent="0.25">
      <c r="D40" s="2"/>
      <c r="E40" s="2"/>
      <c r="F40" s="2"/>
      <c r="H40" s="2"/>
      <c r="I40" s="2"/>
      <c r="J40" s="2"/>
    </row>
    <row r="41" spans="1:10" ht="13.8" x14ac:dyDescent="0.3">
      <c r="A41" s="11" t="s">
        <v>1459</v>
      </c>
      <c r="D41" s="2"/>
      <c r="E41" s="2">
        <v>816</v>
      </c>
      <c r="F41" s="2">
        <v>820</v>
      </c>
      <c r="G41" s="2">
        <v>820</v>
      </c>
      <c r="H41" s="2">
        <v>820</v>
      </c>
      <c r="I41" s="2">
        <v>820</v>
      </c>
      <c r="J41" s="2">
        <v>820</v>
      </c>
    </row>
    <row r="42" spans="1:10" x14ac:dyDescent="0.25">
      <c r="A42" s="8" t="s">
        <v>438</v>
      </c>
      <c r="B42" s="2">
        <v>2</v>
      </c>
      <c r="C42" s="2">
        <v>410</v>
      </c>
      <c r="D42" s="2">
        <f>ROUND(B42*C42,0)</f>
        <v>820</v>
      </c>
      <c r="E42" s="2"/>
      <c r="F42" s="2"/>
      <c r="H42" s="2"/>
      <c r="I42" s="2"/>
      <c r="J42" s="2"/>
    </row>
    <row r="43" spans="1:10" x14ac:dyDescent="0.25">
      <c r="D43" s="2"/>
      <c r="E43" s="2"/>
      <c r="F43" s="2"/>
      <c r="H43" s="2"/>
      <c r="I43" s="2"/>
      <c r="J43" s="2"/>
    </row>
    <row r="44" spans="1:10" ht="13.8" x14ac:dyDescent="0.3">
      <c r="A44" s="11" t="s">
        <v>171</v>
      </c>
      <c r="D44" s="2"/>
      <c r="E44" s="2">
        <v>1140</v>
      </c>
      <c r="F44" s="2">
        <v>1256</v>
      </c>
      <c r="G44" s="2">
        <v>978</v>
      </c>
      <c r="H44" s="2">
        <v>978</v>
      </c>
      <c r="I44" s="2">
        <v>963</v>
      </c>
      <c r="J44" s="2">
        <v>982</v>
      </c>
    </row>
    <row r="45" spans="1:10" hidden="1" x14ac:dyDescent="0.25">
      <c r="A45" s="14" t="s">
        <v>1511</v>
      </c>
      <c r="B45" s="2">
        <f>+D9</f>
        <v>65118</v>
      </c>
      <c r="C45" s="15">
        <v>7.4999999999999997E-3</v>
      </c>
      <c r="D45" s="2">
        <f>ROUND(B45*C45,0)</f>
        <v>488</v>
      </c>
      <c r="E45" s="2"/>
      <c r="F45" s="2"/>
      <c r="H45" s="2"/>
      <c r="I45" s="2"/>
      <c r="J45" s="2"/>
    </row>
    <row r="46" spans="1:10" hidden="1" x14ac:dyDescent="0.25">
      <c r="A46" s="14" t="s">
        <v>831</v>
      </c>
      <c r="B46" s="2">
        <f>+D12</f>
        <v>41132</v>
      </c>
      <c r="C46" s="15">
        <v>7.4999999999999997E-3</v>
      </c>
      <c r="D46" s="2">
        <f>ROUND(B46*C46,0)</f>
        <v>308</v>
      </c>
      <c r="E46" s="2"/>
      <c r="F46" s="2"/>
      <c r="H46" s="2"/>
      <c r="I46" s="2"/>
      <c r="J46" s="2"/>
    </row>
    <row r="47" spans="1:10" ht="15" hidden="1" x14ac:dyDescent="0.4">
      <c r="A47" s="14" t="s">
        <v>201</v>
      </c>
      <c r="B47" s="2">
        <f>+B24</f>
        <v>24763</v>
      </c>
      <c r="C47" s="15">
        <v>7.4999999999999997E-3</v>
      </c>
      <c r="D47" s="12">
        <f>ROUND(B47*C47,0)</f>
        <v>186</v>
      </c>
      <c r="E47" s="2"/>
      <c r="F47" s="2"/>
      <c r="H47" s="2"/>
      <c r="I47" s="2"/>
      <c r="J47" s="2"/>
    </row>
    <row r="48" spans="1:10" hidden="1" x14ac:dyDescent="0.25">
      <c r="A48" s="8" t="s">
        <v>1279</v>
      </c>
      <c r="D48" s="2">
        <f>SUM(D45:D47)</f>
        <v>982</v>
      </c>
      <c r="E48" s="2"/>
      <c r="F48" s="2"/>
      <c r="H48" s="2"/>
      <c r="I48" s="2"/>
      <c r="J48" s="2"/>
    </row>
    <row r="49" spans="1:10" x14ac:dyDescent="0.25">
      <c r="D49" s="2"/>
      <c r="E49" s="2"/>
      <c r="F49" s="2"/>
      <c r="H49" s="2"/>
      <c r="I49" s="2"/>
      <c r="J49" s="2"/>
    </row>
    <row r="50" spans="1:10" ht="13.8" x14ac:dyDescent="0.3">
      <c r="A50" s="11" t="s">
        <v>172</v>
      </c>
      <c r="D50" s="2"/>
      <c r="E50" s="2">
        <v>124</v>
      </c>
      <c r="F50" s="2">
        <v>149</v>
      </c>
      <c r="G50" s="2">
        <v>109</v>
      </c>
      <c r="H50" s="2">
        <v>109</v>
      </c>
      <c r="I50" s="2">
        <v>109</v>
      </c>
      <c r="J50" s="2">
        <v>109</v>
      </c>
    </row>
    <row r="51" spans="1:10" hidden="1" x14ac:dyDescent="0.25">
      <c r="A51" s="14" t="s">
        <v>1511</v>
      </c>
      <c r="B51" s="2">
        <v>1</v>
      </c>
      <c r="C51" s="2">
        <v>35</v>
      </c>
      <c r="D51" s="2">
        <f>ROUND(B51*C51,0)</f>
        <v>35</v>
      </c>
      <c r="E51" s="2"/>
      <c r="F51" s="2"/>
      <c r="H51" s="2"/>
      <c r="I51" s="2"/>
      <c r="J51" s="2"/>
    </row>
    <row r="52" spans="1:10" hidden="1" x14ac:dyDescent="0.25">
      <c r="A52" s="14" t="s">
        <v>831</v>
      </c>
      <c r="B52" s="2">
        <v>1</v>
      </c>
      <c r="C52" s="2">
        <v>35</v>
      </c>
      <c r="D52" s="2">
        <f>ROUND(B52*C52,0)</f>
        <v>35</v>
      </c>
      <c r="E52" s="2"/>
      <c r="F52" s="2"/>
      <c r="H52" s="2"/>
      <c r="I52" s="2"/>
      <c r="J52" s="2"/>
    </row>
    <row r="53" spans="1:10" hidden="1" x14ac:dyDescent="0.25">
      <c r="A53" s="8" t="s">
        <v>1506</v>
      </c>
      <c r="B53" s="2">
        <f>+D16</f>
        <v>1575</v>
      </c>
      <c r="C53" s="15">
        <v>2.5000000000000001E-3</v>
      </c>
      <c r="D53" s="2">
        <f>ROUND(B53*C53,0)</f>
        <v>4</v>
      </c>
      <c r="E53" s="2"/>
      <c r="F53" s="2"/>
      <c r="H53" s="2"/>
      <c r="I53" s="2"/>
      <c r="J53" s="2"/>
    </row>
    <row r="54" spans="1:10" hidden="1" x14ac:dyDescent="0.25">
      <c r="A54" s="14" t="s">
        <v>201</v>
      </c>
      <c r="B54" s="2">
        <v>1</v>
      </c>
      <c r="C54" s="2">
        <v>35</v>
      </c>
      <c r="D54" s="19">
        <f>ROUND(B54*C54,0)</f>
        <v>35</v>
      </c>
      <c r="E54" s="2"/>
      <c r="F54" s="2"/>
      <c r="H54" s="2"/>
      <c r="I54" s="2"/>
      <c r="J54" s="2"/>
    </row>
    <row r="55" spans="1:10" hidden="1" x14ac:dyDescent="0.25">
      <c r="A55" s="8" t="s">
        <v>1279</v>
      </c>
      <c r="D55" s="2">
        <f>SUM(D51:D54)</f>
        <v>109</v>
      </c>
      <c r="E55" s="2"/>
      <c r="F55" s="2"/>
      <c r="H55" s="2"/>
      <c r="I55" s="2"/>
      <c r="J55" s="2"/>
    </row>
    <row r="56" spans="1:10" s="209" customFormat="1" x14ac:dyDescent="0.25">
      <c r="D56" s="2"/>
      <c r="E56" s="2"/>
      <c r="F56" s="2"/>
      <c r="G56" s="2"/>
      <c r="H56" s="2"/>
      <c r="I56" s="2"/>
      <c r="J56" s="2"/>
    </row>
    <row r="57" spans="1:10" s="209" customFormat="1" ht="13.8" x14ac:dyDescent="0.3">
      <c r="A57" s="55" t="s">
        <v>2271</v>
      </c>
      <c r="D57" s="2">
        <v>0</v>
      </c>
      <c r="E57" s="2">
        <v>0</v>
      </c>
      <c r="F57" s="49">
        <v>0</v>
      </c>
      <c r="G57" s="49">
        <v>0</v>
      </c>
      <c r="H57" s="2">
        <v>0</v>
      </c>
      <c r="I57" s="2">
        <v>2986</v>
      </c>
      <c r="J57" s="2">
        <v>0</v>
      </c>
    </row>
    <row r="58" spans="1:10" s="209" customFormat="1" ht="13.8" x14ac:dyDescent="0.3">
      <c r="A58" s="55"/>
      <c r="D58" s="2"/>
      <c r="E58" s="2"/>
      <c r="F58" s="49"/>
      <c r="G58" s="49"/>
      <c r="H58" s="2"/>
      <c r="I58" s="2"/>
      <c r="J58" s="2"/>
    </row>
    <row r="59" spans="1:10" x14ac:dyDescent="0.25">
      <c r="A59" s="84" t="s">
        <v>173</v>
      </c>
      <c r="B59" s="63"/>
      <c r="C59" s="63"/>
      <c r="D59" s="3"/>
      <c r="E59" s="3">
        <v>0</v>
      </c>
      <c r="F59" s="3">
        <v>2500</v>
      </c>
      <c r="G59" s="3">
        <v>2500</v>
      </c>
      <c r="H59" s="3">
        <v>2500</v>
      </c>
      <c r="I59" s="3">
        <v>2500</v>
      </c>
      <c r="J59" s="3">
        <v>2500</v>
      </c>
    </row>
    <row r="60" spans="1:10" x14ac:dyDescent="0.25">
      <c r="A60" s="63"/>
      <c r="B60" s="63"/>
      <c r="C60" s="3"/>
      <c r="D60" s="3"/>
      <c r="E60" s="3"/>
      <c r="F60" s="3"/>
      <c r="G60" s="3"/>
      <c r="H60" s="3"/>
      <c r="I60" s="3"/>
      <c r="J60" s="3"/>
    </row>
    <row r="61" spans="1:10" x14ac:dyDescent="0.25">
      <c r="A61" s="84" t="s">
        <v>1260</v>
      </c>
      <c r="B61" s="63"/>
      <c r="C61" s="3"/>
      <c r="D61" s="3">
        <v>0</v>
      </c>
      <c r="E61" s="3">
        <v>0</v>
      </c>
      <c r="F61" s="3">
        <v>0</v>
      </c>
      <c r="G61" s="3">
        <v>0</v>
      </c>
      <c r="H61" s="3">
        <v>0</v>
      </c>
      <c r="I61" s="3">
        <v>0</v>
      </c>
      <c r="J61" s="3">
        <v>0</v>
      </c>
    </row>
    <row r="62" spans="1:10" x14ac:dyDescent="0.25">
      <c r="A62" s="63"/>
      <c r="B62" s="63"/>
      <c r="C62" s="3"/>
      <c r="D62" s="3"/>
      <c r="E62" s="3"/>
      <c r="F62" s="3"/>
      <c r="G62" s="3"/>
      <c r="H62" s="3"/>
      <c r="I62" s="3"/>
      <c r="J62" s="3"/>
    </row>
    <row r="63" spans="1:10" x14ac:dyDescent="0.25">
      <c r="A63" s="84" t="s">
        <v>1261</v>
      </c>
      <c r="B63" s="3"/>
      <c r="C63" s="75" t="s">
        <v>417</v>
      </c>
      <c r="D63" s="75">
        <v>3200</v>
      </c>
      <c r="E63" s="3">
        <v>3149</v>
      </c>
      <c r="F63" s="3">
        <v>2128</v>
      </c>
      <c r="G63" s="3">
        <v>3200</v>
      </c>
      <c r="H63" s="3">
        <v>3200</v>
      </c>
      <c r="I63" s="3">
        <v>3200</v>
      </c>
      <c r="J63" s="3">
        <v>3200</v>
      </c>
    </row>
    <row r="64" spans="1:10" x14ac:dyDescent="0.25">
      <c r="A64" s="63"/>
      <c r="B64" s="63"/>
      <c r="C64" s="3"/>
      <c r="D64" s="3"/>
      <c r="E64" s="3"/>
      <c r="F64" s="3"/>
      <c r="G64" s="3"/>
      <c r="H64" s="3"/>
      <c r="I64" s="3"/>
      <c r="J64" s="3"/>
    </row>
    <row r="65" spans="1:10" x14ac:dyDescent="0.25">
      <c r="A65" s="84" t="s">
        <v>1262</v>
      </c>
      <c r="B65" s="63"/>
      <c r="C65" s="3"/>
      <c r="D65" s="3"/>
      <c r="E65" s="3">
        <v>0</v>
      </c>
      <c r="F65" s="3">
        <v>1000</v>
      </c>
      <c r="G65" s="3">
        <v>3500</v>
      </c>
      <c r="H65" s="3">
        <v>3500</v>
      </c>
      <c r="I65" s="3">
        <v>3500</v>
      </c>
      <c r="J65" s="3">
        <v>3500</v>
      </c>
    </row>
    <row r="66" spans="1:10" x14ac:dyDescent="0.25">
      <c r="A66" s="63"/>
      <c r="B66" s="63"/>
      <c r="C66" s="3"/>
      <c r="D66" s="3"/>
      <c r="E66" s="3"/>
      <c r="F66" s="3"/>
      <c r="G66" s="3"/>
      <c r="H66" s="3"/>
      <c r="I66" s="3"/>
      <c r="J66" s="3"/>
    </row>
    <row r="67" spans="1:10" x14ac:dyDescent="0.25">
      <c r="A67" s="84" t="s">
        <v>1374</v>
      </c>
      <c r="B67" s="63"/>
      <c r="C67" s="3"/>
      <c r="D67" s="3"/>
      <c r="E67" s="3">
        <v>406.35</v>
      </c>
      <c r="F67" s="3">
        <v>0</v>
      </c>
      <c r="G67" s="3">
        <v>0</v>
      </c>
      <c r="H67" s="3">
        <v>0</v>
      </c>
      <c r="I67" s="3">
        <v>0</v>
      </c>
      <c r="J67" s="3">
        <v>0</v>
      </c>
    </row>
    <row r="68" spans="1:10" x14ac:dyDescent="0.25">
      <c r="A68" s="63"/>
      <c r="B68" s="63"/>
      <c r="C68" s="3"/>
      <c r="D68" s="3"/>
      <c r="E68" s="3"/>
      <c r="F68" s="3"/>
      <c r="G68" s="3"/>
      <c r="H68" s="3"/>
      <c r="I68" s="3"/>
      <c r="J68" s="3"/>
    </row>
    <row r="69" spans="1:10" x14ac:dyDescent="0.25">
      <c r="A69" s="85" t="s">
        <v>1263</v>
      </c>
      <c r="B69" s="63"/>
      <c r="C69" s="3"/>
      <c r="D69" s="3"/>
      <c r="E69" s="3">
        <v>1930</v>
      </c>
      <c r="F69" s="3">
        <v>2211</v>
      </c>
      <c r="G69" s="3">
        <v>2272</v>
      </c>
      <c r="H69" s="3">
        <v>2135</v>
      </c>
      <c r="I69" s="3">
        <v>2135</v>
      </c>
      <c r="J69" s="3">
        <v>2135</v>
      </c>
    </row>
    <row r="70" spans="1:10" hidden="1" x14ac:dyDescent="0.25">
      <c r="A70" s="63" t="s">
        <v>1351</v>
      </c>
      <c r="B70" s="63"/>
      <c r="C70" s="3"/>
      <c r="D70" s="63">
        <v>2211</v>
      </c>
      <c r="E70" s="3"/>
      <c r="F70" s="3"/>
      <c r="G70" s="3"/>
      <c r="H70" s="3"/>
      <c r="I70" s="3"/>
      <c r="J70" s="3"/>
    </row>
    <row r="71" spans="1:10" x14ac:dyDescent="0.25">
      <c r="A71" s="63"/>
      <c r="B71" s="63"/>
      <c r="C71" s="3"/>
      <c r="D71" s="3"/>
      <c r="E71" s="3"/>
      <c r="F71" s="3"/>
      <c r="G71" s="3"/>
      <c r="H71" s="3"/>
      <c r="I71" s="3"/>
      <c r="J71" s="3"/>
    </row>
    <row r="72" spans="1:10" x14ac:dyDescent="0.25">
      <c r="A72" s="84" t="s">
        <v>1264</v>
      </c>
      <c r="B72" s="63"/>
      <c r="C72" s="75" t="s">
        <v>417</v>
      </c>
      <c r="D72" s="75" t="s">
        <v>417</v>
      </c>
      <c r="E72" s="3">
        <v>0</v>
      </c>
      <c r="F72" s="3">
        <v>1500</v>
      </c>
      <c r="G72" s="3">
        <v>1500</v>
      </c>
      <c r="H72" s="3">
        <v>1500</v>
      </c>
      <c r="I72" s="3">
        <v>1500</v>
      </c>
      <c r="J72" s="3">
        <v>1500</v>
      </c>
    </row>
    <row r="73" spans="1:10" x14ac:dyDescent="0.25">
      <c r="A73" s="63"/>
      <c r="B73" s="63"/>
      <c r="C73" s="3"/>
      <c r="D73" s="3"/>
      <c r="E73" s="3"/>
      <c r="F73" s="3"/>
      <c r="G73" s="3"/>
      <c r="H73" s="3"/>
      <c r="I73" s="3"/>
      <c r="J73" s="3"/>
    </row>
    <row r="74" spans="1:10" x14ac:dyDescent="0.25">
      <c r="A74" s="84" t="s">
        <v>1265</v>
      </c>
      <c r="B74" s="63"/>
      <c r="C74" s="3"/>
      <c r="D74" s="3"/>
      <c r="E74" s="3">
        <v>0</v>
      </c>
      <c r="F74" s="3">
        <v>2000</v>
      </c>
      <c r="G74" s="3">
        <v>2000</v>
      </c>
      <c r="H74" s="3">
        <v>2000</v>
      </c>
      <c r="I74" s="3">
        <v>2000</v>
      </c>
      <c r="J74" s="3">
        <v>2000</v>
      </c>
    </row>
    <row r="75" spans="1:10" x14ac:dyDescent="0.25">
      <c r="A75" s="63"/>
      <c r="B75" s="63"/>
      <c r="C75" s="3"/>
      <c r="D75" s="3"/>
      <c r="E75" s="3"/>
      <c r="F75" s="3"/>
      <c r="G75" s="3"/>
      <c r="H75" s="3"/>
      <c r="I75" s="3"/>
      <c r="J75" s="3"/>
    </row>
    <row r="76" spans="1:10" x14ac:dyDescent="0.25">
      <c r="A76" s="84" t="s">
        <v>718</v>
      </c>
      <c r="B76" s="63"/>
      <c r="C76" s="3"/>
      <c r="D76" s="3"/>
      <c r="E76" s="3">
        <v>3800</v>
      </c>
      <c r="F76" s="3">
        <v>5000</v>
      </c>
      <c r="G76" s="3">
        <v>5000</v>
      </c>
      <c r="H76" s="3">
        <v>5000</v>
      </c>
      <c r="I76" s="3">
        <v>5000</v>
      </c>
      <c r="J76" s="3">
        <v>5000</v>
      </c>
    </row>
    <row r="77" spans="1:10" x14ac:dyDescent="0.25">
      <c r="A77" s="63"/>
      <c r="B77" s="63"/>
      <c r="C77" s="3"/>
      <c r="D77" s="3"/>
      <c r="E77" s="3"/>
      <c r="F77" s="3"/>
      <c r="G77" s="3"/>
      <c r="H77" s="3"/>
      <c r="I77" s="3"/>
      <c r="J77" s="3"/>
    </row>
    <row r="78" spans="1:10" x14ac:dyDescent="0.25">
      <c r="A78" s="84" t="s">
        <v>1266</v>
      </c>
      <c r="B78" s="63"/>
      <c r="C78" s="3"/>
      <c r="D78" s="3"/>
      <c r="E78" s="3">
        <v>0</v>
      </c>
      <c r="F78" s="3">
        <v>3000</v>
      </c>
      <c r="G78" s="3">
        <v>3000</v>
      </c>
      <c r="H78" s="3">
        <v>3000</v>
      </c>
      <c r="I78" s="3">
        <v>3000</v>
      </c>
      <c r="J78" s="3">
        <v>3000</v>
      </c>
    </row>
    <row r="79" spans="1:10" x14ac:dyDescent="0.25">
      <c r="A79" s="63"/>
      <c r="B79" s="63"/>
      <c r="C79" s="3"/>
      <c r="D79" s="3"/>
      <c r="E79" s="3"/>
      <c r="F79" s="3"/>
      <c r="G79" s="3"/>
      <c r="H79" s="3"/>
      <c r="I79" s="3"/>
      <c r="J79" s="3"/>
    </row>
    <row r="80" spans="1:10" x14ac:dyDescent="0.25">
      <c r="A80" s="84" t="s">
        <v>177</v>
      </c>
      <c r="B80" s="63"/>
      <c r="C80" s="3"/>
      <c r="D80" s="3"/>
      <c r="E80" s="3">
        <v>16987</v>
      </c>
      <c r="F80" s="2">
        <v>19369</v>
      </c>
      <c r="G80" s="2">
        <v>19369</v>
      </c>
      <c r="H80" s="2">
        <v>19369</v>
      </c>
      <c r="I80" s="2">
        <v>19369</v>
      </c>
      <c r="J80" s="2">
        <v>19369</v>
      </c>
    </row>
    <row r="81" spans="1:13" x14ac:dyDescent="0.25">
      <c r="A81" s="43" t="s">
        <v>1373</v>
      </c>
      <c r="B81" s="63"/>
      <c r="C81" s="3"/>
      <c r="D81" s="3">
        <v>17369</v>
      </c>
      <c r="E81" s="3"/>
      <c r="F81" s="3"/>
      <c r="G81" s="3"/>
      <c r="H81" s="3"/>
      <c r="I81" s="3"/>
      <c r="J81" s="3"/>
    </row>
    <row r="82" spans="1:13" ht="15" x14ac:dyDescent="0.4">
      <c r="A82" s="43" t="s">
        <v>1377</v>
      </c>
      <c r="B82" s="63"/>
      <c r="C82" s="3"/>
      <c r="D82" s="33">
        <v>2000</v>
      </c>
      <c r="E82" s="3"/>
      <c r="F82" s="3"/>
      <c r="G82" s="3"/>
      <c r="H82" s="3"/>
      <c r="I82" s="3"/>
      <c r="J82" s="3"/>
    </row>
    <row r="83" spans="1:13" x14ac:dyDescent="0.25">
      <c r="A83" s="43"/>
      <c r="B83" s="63"/>
      <c r="C83" s="3"/>
      <c r="D83" s="3">
        <f>SUM(D81:D82)</f>
        <v>19369</v>
      </c>
      <c r="E83" s="3"/>
      <c r="F83" s="3"/>
      <c r="G83" s="3"/>
      <c r="H83" s="3"/>
      <c r="I83" s="3"/>
      <c r="J83" s="3"/>
    </row>
    <row r="84" spans="1:13" x14ac:dyDescent="0.25">
      <c r="A84" s="63"/>
      <c r="B84" s="63"/>
      <c r="C84" s="3"/>
      <c r="D84" s="3"/>
      <c r="E84" s="3"/>
      <c r="F84" s="3"/>
      <c r="G84" s="3"/>
      <c r="H84" s="3"/>
      <c r="I84" s="3"/>
      <c r="J84" s="3"/>
    </row>
    <row r="85" spans="1:13" x14ac:dyDescent="0.25">
      <c r="A85" s="84" t="s">
        <v>178</v>
      </c>
      <c r="B85" s="63"/>
      <c r="C85" s="3"/>
      <c r="D85" s="3"/>
      <c r="E85" s="3">
        <v>0</v>
      </c>
      <c r="F85" s="3">
        <v>250</v>
      </c>
      <c r="G85" s="3">
        <v>250</v>
      </c>
      <c r="H85" s="3">
        <v>250</v>
      </c>
      <c r="I85" s="3">
        <v>250</v>
      </c>
      <c r="J85" s="3">
        <v>250</v>
      </c>
    </row>
    <row r="86" spans="1:13" x14ac:dyDescent="0.25">
      <c r="A86" s="63"/>
      <c r="B86" s="63"/>
      <c r="C86" s="3"/>
      <c r="D86" s="3"/>
      <c r="E86" s="3"/>
      <c r="F86" s="3"/>
      <c r="G86" s="3"/>
      <c r="H86" s="3"/>
      <c r="I86" s="3"/>
      <c r="J86" s="3"/>
    </row>
    <row r="87" spans="1:13" x14ac:dyDescent="0.25">
      <c r="A87" s="84" t="s">
        <v>1375</v>
      </c>
      <c r="B87" s="63"/>
      <c r="C87" s="3"/>
      <c r="D87" s="3"/>
      <c r="E87" s="3">
        <v>0</v>
      </c>
      <c r="F87" s="3">
        <v>100</v>
      </c>
      <c r="G87" s="3">
        <v>100</v>
      </c>
      <c r="H87" s="3">
        <v>100</v>
      </c>
      <c r="I87" s="3">
        <v>100</v>
      </c>
      <c r="J87" s="3">
        <v>100</v>
      </c>
    </row>
    <row r="88" spans="1:13" x14ac:dyDescent="0.25">
      <c r="A88" s="63"/>
      <c r="B88" s="63"/>
      <c r="C88" s="3"/>
      <c r="D88" s="3"/>
      <c r="E88" s="3"/>
      <c r="F88" s="3"/>
      <c r="G88" s="3"/>
      <c r="H88" s="3"/>
      <c r="I88" s="3"/>
      <c r="J88" s="3"/>
    </row>
    <row r="89" spans="1:13" ht="15" x14ac:dyDescent="0.4">
      <c r="A89" s="84" t="s">
        <v>179</v>
      </c>
      <c r="B89" s="83" t="s">
        <v>1684</v>
      </c>
      <c r="C89" s="83" t="s">
        <v>1874</v>
      </c>
      <c r="D89" s="83" t="s">
        <v>1944</v>
      </c>
      <c r="E89" s="33">
        <v>26639</v>
      </c>
      <c r="F89" s="33">
        <v>50000</v>
      </c>
      <c r="G89" s="33">
        <v>50000</v>
      </c>
      <c r="H89" s="33">
        <v>50000</v>
      </c>
      <c r="I89" s="33">
        <v>50000</v>
      </c>
      <c r="J89" s="33">
        <v>50000</v>
      </c>
    </row>
    <row r="90" spans="1:13" x14ac:dyDescent="0.25">
      <c r="A90" s="86" t="s">
        <v>1155</v>
      </c>
      <c r="B90" s="132">
        <v>10000</v>
      </c>
      <c r="C90" s="132">
        <v>10000</v>
      </c>
      <c r="D90" s="132">
        <v>10000</v>
      </c>
      <c r="F90" s="2"/>
      <c r="H90" s="2"/>
      <c r="I90" s="2"/>
      <c r="J90" s="2"/>
      <c r="M90" s="208"/>
    </row>
    <row r="91" spans="1:13" x14ac:dyDescent="0.25">
      <c r="A91" s="86" t="s">
        <v>1752</v>
      </c>
      <c r="B91" s="132">
        <v>20000</v>
      </c>
      <c r="C91" s="132">
        <v>0</v>
      </c>
      <c r="D91" s="132">
        <v>0</v>
      </c>
      <c r="F91" s="2"/>
      <c r="H91" s="2"/>
      <c r="I91" s="2"/>
      <c r="J91" s="2"/>
      <c r="M91" s="208"/>
    </row>
    <row r="92" spans="1:13" x14ac:dyDescent="0.25">
      <c r="A92" s="86" t="s">
        <v>1753</v>
      </c>
      <c r="B92" s="132">
        <v>10000</v>
      </c>
      <c r="C92" s="132">
        <v>10000</v>
      </c>
      <c r="D92" s="132">
        <v>0</v>
      </c>
      <c r="G92" s="8"/>
      <c r="I92" s="209"/>
      <c r="J92" s="213"/>
      <c r="M92" s="208"/>
    </row>
    <row r="93" spans="1:13" x14ac:dyDescent="0.25">
      <c r="A93" s="86" t="s">
        <v>1945</v>
      </c>
      <c r="B93" s="132">
        <v>0</v>
      </c>
      <c r="C93" s="132">
        <v>20000</v>
      </c>
      <c r="D93" s="132">
        <v>0</v>
      </c>
      <c r="G93" s="8"/>
      <c r="I93" s="209"/>
      <c r="J93" s="213"/>
      <c r="M93" s="208"/>
    </row>
    <row r="94" spans="1:13" x14ac:dyDescent="0.25">
      <c r="A94" s="86" t="s">
        <v>1946</v>
      </c>
      <c r="B94" s="132">
        <v>0</v>
      </c>
      <c r="C94" s="132">
        <v>10000</v>
      </c>
      <c r="D94" s="132">
        <v>0</v>
      </c>
      <c r="G94" s="8"/>
      <c r="I94" s="209"/>
      <c r="J94" s="213"/>
      <c r="M94" s="208"/>
    </row>
    <row r="95" spans="1:13" x14ac:dyDescent="0.25">
      <c r="A95" s="86" t="s">
        <v>1987</v>
      </c>
      <c r="B95" s="132">
        <v>0</v>
      </c>
      <c r="C95" s="132">
        <v>0</v>
      </c>
      <c r="D95" s="132">
        <v>20000</v>
      </c>
      <c r="G95" s="8"/>
      <c r="I95" s="209"/>
      <c r="J95" s="213"/>
      <c r="M95" s="208"/>
    </row>
    <row r="96" spans="1:13" x14ac:dyDescent="0.25">
      <c r="A96" s="86" t="s">
        <v>1988</v>
      </c>
      <c r="B96" s="132">
        <v>0</v>
      </c>
      <c r="C96" s="132">
        <v>0</v>
      </c>
      <c r="D96" s="132">
        <v>20000</v>
      </c>
      <c r="G96" s="8"/>
      <c r="I96" s="209"/>
      <c r="J96" s="213"/>
      <c r="M96" s="208"/>
    </row>
    <row r="97" spans="1:13" x14ac:dyDescent="0.25">
      <c r="A97" s="86" t="s">
        <v>1754</v>
      </c>
      <c r="B97" s="133">
        <v>5000</v>
      </c>
      <c r="C97" s="133">
        <v>0</v>
      </c>
      <c r="D97" s="133">
        <v>0</v>
      </c>
      <c r="F97" s="2"/>
      <c r="H97" s="2"/>
      <c r="I97" s="2"/>
      <c r="J97" s="2"/>
      <c r="M97" s="208"/>
    </row>
    <row r="98" spans="1:13" x14ac:dyDescent="0.25">
      <c r="B98" s="49">
        <f>SUM(B90:B97)</f>
        <v>45000</v>
      </c>
      <c r="C98" s="49">
        <f>SUM(C90:C97)</f>
        <v>50000</v>
      </c>
      <c r="D98" s="49">
        <f>SUM(D90:D97)</f>
        <v>50000</v>
      </c>
      <c r="F98" s="2"/>
      <c r="H98" s="2"/>
      <c r="I98" s="2"/>
      <c r="J98" s="2"/>
      <c r="M98" s="208"/>
    </row>
    <row r="99" spans="1:13" x14ac:dyDescent="0.25">
      <c r="F99" s="2"/>
      <c r="H99" s="2"/>
      <c r="I99" s="2"/>
      <c r="J99" s="2"/>
      <c r="M99" s="208"/>
    </row>
    <row r="100" spans="1:13" x14ac:dyDescent="0.25">
      <c r="A100" s="21" t="s">
        <v>1366</v>
      </c>
      <c r="D100" s="2"/>
      <c r="E100" s="2">
        <f t="shared" ref="E100:H100" si="0">SUM(E6:E89)</f>
        <v>227140.35</v>
      </c>
      <c r="F100" s="2">
        <f t="shared" si="0"/>
        <v>280692</v>
      </c>
      <c r="G100" s="2">
        <f t="shared" si="0"/>
        <v>285116</v>
      </c>
      <c r="H100" s="2">
        <f t="shared" si="0"/>
        <v>284979</v>
      </c>
      <c r="I100" s="2">
        <f>SUM(I6:I89)</f>
        <v>285520</v>
      </c>
      <c r="J100" s="2">
        <f>SUM(J6:J89)</f>
        <v>285520</v>
      </c>
    </row>
    <row r="101" spans="1:13" x14ac:dyDescent="0.25">
      <c r="G101" s="8"/>
      <c r="I101" s="209"/>
      <c r="J101" s="213"/>
    </row>
    <row r="102" spans="1:13" x14ac:dyDescent="0.25">
      <c r="A102" s="8" t="s">
        <v>1001</v>
      </c>
      <c r="E102" s="2">
        <f t="shared" ref="E102:I102" si="1">SUM(E6:E57)</f>
        <v>174229</v>
      </c>
      <c r="F102" s="2">
        <f t="shared" si="1"/>
        <v>191634</v>
      </c>
      <c r="G102" s="2">
        <f t="shared" si="1"/>
        <v>192425</v>
      </c>
      <c r="H102" s="2">
        <f t="shared" si="1"/>
        <v>192425</v>
      </c>
      <c r="I102" s="2">
        <f t="shared" si="1"/>
        <v>192966</v>
      </c>
      <c r="J102" s="2">
        <f t="shared" ref="J102" si="2">SUM(J6:J57)</f>
        <v>192966</v>
      </c>
    </row>
    <row r="103" spans="1:13" x14ac:dyDescent="0.25">
      <c r="A103" s="8" t="s">
        <v>975</v>
      </c>
      <c r="E103" s="2">
        <f t="shared" ref="E103:H103" si="3">SUM(E59:E87)</f>
        <v>26272.35</v>
      </c>
      <c r="F103" s="2">
        <f t="shared" si="3"/>
        <v>39058</v>
      </c>
      <c r="G103" s="2">
        <f t="shared" si="3"/>
        <v>42691</v>
      </c>
      <c r="H103" s="2">
        <f t="shared" si="3"/>
        <v>42554</v>
      </c>
      <c r="I103" s="2">
        <f>SUM(I59:I87)</f>
        <v>42554</v>
      </c>
      <c r="J103" s="2">
        <f>SUM(J59:J87)</f>
        <v>42554</v>
      </c>
    </row>
    <row r="104" spans="1:13" ht="15" x14ac:dyDescent="0.4">
      <c r="A104" s="8" t="s">
        <v>976</v>
      </c>
      <c r="E104" s="12">
        <f t="shared" ref="E104:H104" si="4">SUM(E89:E98)</f>
        <v>26639</v>
      </c>
      <c r="F104" s="12">
        <f t="shared" si="4"/>
        <v>50000</v>
      </c>
      <c r="G104" s="12">
        <f t="shared" si="4"/>
        <v>50000</v>
      </c>
      <c r="H104" s="12">
        <f t="shared" si="4"/>
        <v>50000</v>
      </c>
      <c r="I104" s="12">
        <f>SUM(I89:I98)</f>
        <v>50000</v>
      </c>
      <c r="J104" s="12">
        <f>SUM(J89:J98)</f>
        <v>50000</v>
      </c>
    </row>
    <row r="105" spans="1:13" x14ac:dyDescent="0.25">
      <c r="A105" s="8" t="s">
        <v>1279</v>
      </c>
      <c r="E105" s="2">
        <f t="shared" ref="E105:H105" si="5">SUM(E102:E104)</f>
        <v>227140.35</v>
      </c>
      <c r="F105" s="2">
        <f t="shared" si="5"/>
        <v>280692</v>
      </c>
      <c r="G105" s="2">
        <f t="shared" si="5"/>
        <v>285116</v>
      </c>
      <c r="H105" s="2">
        <f t="shared" si="5"/>
        <v>284979</v>
      </c>
      <c r="I105" s="2">
        <f>SUM(I102:I104)</f>
        <v>285520</v>
      </c>
      <c r="J105" s="2">
        <f>SUM(J102:J104)</f>
        <v>285520</v>
      </c>
    </row>
    <row r="106" spans="1:13" x14ac:dyDescent="0.25">
      <c r="A106" s="63"/>
      <c r="E106" s="2"/>
      <c r="F106" s="2"/>
      <c r="H106" s="2"/>
      <c r="I106" s="2"/>
      <c r="J106" s="2"/>
    </row>
    <row r="107" spans="1:13" x14ac:dyDescent="0.25">
      <c r="A107" s="63"/>
      <c r="F107" s="2"/>
      <c r="H107" s="2">
        <v>2986</v>
      </c>
      <c r="I107" s="2"/>
      <c r="J107" s="2"/>
    </row>
    <row r="108" spans="1:13" x14ac:dyDescent="0.25">
      <c r="A108" s="63"/>
      <c r="F108" s="2"/>
      <c r="H108" s="2">
        <f>+H105+H107+H110</f>
        <v>285520</v>
      </c>
      <c r="I108" s="2">
        <f>+I105+I107</f>
        <v>285520</v>
      </c>
      <c r="J108" s="2">
        <f>+J105+J107</f>
        <v>285520</v>
      </c>
    </row>
    <row r="109" spans="1:13" x14ac:dyDescent="0.25">
      <c r="A109" s="63"/>
      <c r="F109" s="2"/>
      <c r="H109" s="2"/>
      <c r="I109" s="2"/>
      <c r="J109" s="2"/>
    </row>
    <row r="110" spans="1:13" x14ac:dyDescent="0.25">
      <c r="A110" s="63"/>
      <c r="F110" s="2"/>
      <c r="H110" s="212">
        <v>-2445</v>
      </c>
      <c r="I110" s="2">
        <f>+I105-H108</f>
        <v>0</v>
      </c>
      <c r="J110" s="2">
        <f>+J105-I108</f>
        <v>0</v>
      </c>
    </row>
    <row r="111" spans="1:13" x14ac:dyDescent="0.25">
      <c r="A111" s="63"/>
      <c r="F111" s="2"/>
      <c r="H111" s="2"/>
      <c r="I111" s="2"/>
      <c r="J111" s="2"/>
    </row>
    <row r="112" spans="1:13" x14ac:dyDescent="0.25">
      <c r="A112" s="63"/>
      <c r="F112" s="2"/>
      <c r="H112" s="2"/>
      <c r="I112" s="2"/>
      <c r="J112" s="2"/>
    </row>
    <row r="113" spans="1:10" x14ac:dyDescent="0.25">
      <c r="A113" s="63"/>
      <c r="F113" s="2"/>
      <c r="H113" s="2"/>
      <c r="I113" s="2"/>
      <c r="J113" s="2"/>
    </row>
    <row r="114" spans="1:10" x14ac:dyDescent="0.25">
      <c r="A114" s="63"/>
      <c r="F114" s="2"/>
      <c r="H114" s="2"/>
      <c r="I114" s="2"/>
      <c r="J114" s="2"/>
    </row>
    <row r="115" spans="1:10" x14ac:dyDescent="0.25">
      <c r="A115" s="63"/>
      <c r="F115" s="2"/>
      <c r="H115" s="2"/>
      <c r="I115" s="2"/>
      <c r="J115" s="2"/>
    </row>
    <row r="116" spans="1:10" x14ac:dyDescent="0.25">
      <c r="F116" s="2"/>
      <c r="H116" s="2"/>
      <c r="I116" s="2"/>
      <c r="J116" s="2"/>
    </row>
    <row r="117" spans="1:10" x14ac:dyDescent="0.25">
      <c r="F117" s="2"/>
      <c r="H117" s="2"/>
      <c r="I117" s="2"/>
      <c r="J117" s="2">
        <v>285520</v>
      </c>
    </row>
    <row r="118" spans="1:10" x14ac:dyDescent="0.25">
      <c r="F118" s="2"/>
      <c r="H118" s="2"/>
      <c r="I118" s="2"/>
      <c r="J118" s="2"/>
    </row>
    <row r="119" spans="1:10" x14ac:dyDescent="0.25">
      <c r="F119" s="2"/>
      <c r="H119" s="2"/>
      <c r="I119" s="2"/>
      <c r="J119" s="2"/>
    </row>
    <row r="120" spans="1:10" x14ac:dyDescent="0.25">
      <c r="F120" s="2"/>
      <c r="H120" s="2"/>
      <c r="I120" s="2"/>
      <c r="J120" s="2">
        <f>+J108-J117</f>
        <v>0</v>
      </c>
    </row>
    <row r="121" spans="1:10" x14ac:dyDescent="0.25">
      <c r="F121" s="2"/>
      <c r="H121" s="2"/>
      <c r="I121" s="2"/>
      <c r="J121" s="2"/>
    </row>
    <row r="122" spans="1:10" x14ac:dyDescent="0.25">
      <c r="F122" s="2"/>
      <c r="H122" s="2"/>
      <c r="I122" s="2"/>
      <c r="J122" s="2"/>
    </row>
    <row r="123" spans="1:10" x14ac:dyDescent="0.25">
      <c r="F123" s="2"/>
      <c r="H123" s="2"/>
      <c r="I123" s="2"/>
      <c r="J123" s="2"/>
    </row>
    <row r="124" spans="1:10" x14ac:dyDescent="0.25">
      <c r="F124" s="2"/>
      <c r="H124" s="2"/>
      <c r="I124" s="2"/>
      <c r="J124" s="2"/>
    </row>
    <row r="125" spans="1:10" x14ac:dyDescent="0.25">
      <c r="F125" s="2"/>
      <c r="H125" s="2"/>
      <c r="I125" s="2"/>
      <c r="J125" s="2"/>
    </row>
    <row r="126" spans="1:10" x14ac:dyDescent="0.25">
      <c r="F126" s="2"/>
      <c r="H126" s="2"/>
      <c r="I126" s="2"/>
      <c r="J126" s="2"/>
    </row>
    <row r="127" spans="1:10" x14ac:dyDescent="0.25">
      <c r="F127" s="2"/>
      <c r="H127" s="2"/>
      <c r="I127" s="2"/>
      <c r="J127" s="2"/>
    </row>
    <row r="128" spans="1:10" x14ac:dyDescent="0.25">
      <c r="F128" s="2"/>
      <c r="H128" s="2"/>
      <c r="I128" s="2"/>
      <c r="J128" s="2"/>
    </row>
    <row r="129" spans="6:10" x14ac:dyDescent="0.25">
      <c r="F129" s="2"/>
      <c r="H129" s="2"/>
      <c r="I129" s="2"/>
      <c r="J129" s="2"/>
    </row>
    <row r="130" spans="6:10" x14ac:dyDescent="0.25">
      <c r="F130" s="2"/>
      <c r="H130" s="2"/>
      <c r="I130" s="2"/>
      <c r="J130" s="2"/>
    </row>
    <row r="131" spans="6:10" x14ac:dyDescent="0.25">
      <c r="F131" s="2"/>
      <c r="H131" s="2"/>
      <c r="I131" s="2"/>
      <c r="J131" s="2"/>
    </row>
    <row r="132" spans="6:10" x14ac:dyDescent="0.25">
      <c r="F132" s="2"/>
      <c r="H132" s="2"/>
      <c r="I132" s="2"/>
      <c r="J132" s="2"/>
    </row>
    <row r="133" spans="6:10" x14ac:dyDescent="0.25">
      <c r="F133" s="2"/>
      <c r="H133" s="2"/>
      <c r="I133" s="2"/>
      <c r="J133" s="2"/>
    </row>
    <row r="134" spans="6:10" x14ac:dyDescent="0.25">
      <c r="F134" s="2"/>
      <c r="H134" s="2"/>
      <c r="I134" s="2"/>
      <c r="J134" s="2"/>
    </row>
    <row r="135" spans="6:10" x14ac:dyDescent="0.25">
      <c r="F135" s="2"/>
      <c r="H135" s="2"/>
      <c r="I135" s="2"/>
      <c r="J135" s="2"/>
    </row>
    <row r="136" spans="6:10" x14ac:dyDescent="0.25">
      <c r="F136" s="2"/>
      <c r="H136" s="2"/>
      <c r="I136" s="2"/>
      <c r="J136" s="2"/>
    </row>
    <row r="137" spans="6:10" x14ac:dyDescent="0.25">
      <c r="F137" s="2"/>
      <c r="H137" s="2"/>
      <c r="I137" s="2"/>
      <c r="J137" s="2"/>
    </row>
    <row r="138" spans="6:10" x14ac:dyDescent="0.25">
      <c r="F138" s="2"/>
      <c r="H138" s="2"/>
      <c r="I138" s="2"/>
      <c r="J138" s="2"/>
    </row>
    <row r="139" spans="6:10" x14ac:dyDescent="0.25">
      <c r="F139" s="2"/>
      <c r="H139" s="2"/>
      <c r="I139" s="2"/>
      <c r="J139" s="2"/>
    </row>
    <row r="140" spans="6:10" x14ac:dyDescent="0.25">
      <c r="F140" s="2"/>
      <c r="H140" s="2"/>
      <c r="I140" s="2"/>
      <c r="J140" s="2"/>
    </row>
    <row r="141" spans="6:10" x14ac:dyDescent="0.25">
      <c r="F141" s="2"/>
      <c r="H141" s="2"/>
      <c r="I141" s="2"/>
      <c r="J141" s="2"/>
    </row>
    <row r="142" spans="6:10" x14ac:dyDescent="0.25">
      <c r="H142" s="2"/>
      <c r="J142" s="213"/>
    </row>
    <row r="143" spans="6:10" x14ac:dyDescent="0.25">
      <c r="H143" s="2"/>
      <c r="J143" s="213"/>
    </row>
    <row r="144" spans="6:10" x14ac:dyDescent="0.25">
      <c r="H144" s="2"/>
      <c r="J144" s="213"/>
    </row>
    <row r="145" spans="8:10" x14ac:dyDescent="0.25">
      <c r="H145" s="2"/>
      <c r="J145" s="213"/>
    </row>
    <row r="146" spans="8:10" x14ac:dyDescent="0.25">
      <c r="H146" s="2"/>
      <c r="J146" s="213"/>
    </row>
    <row r="147" spans="8:10" x14ac:dyDescent="0.25">
      <c r="H147" s="2"/>
    </row>
    <row r="148" spans="8:10" x14ac:dyDescent="0.25">
      <c r="H148" s="2"/>
    </row>
    <row r="149" spans="8:10" x14ac:dyDescent="0.25">
      <c r="H149" s="2"/>
    </row>
    <row r="150" spans="8:10" x14ac:dyDescent="0.25">
      <c r="H150" s="2"/>
    </row>
    <row r="151" spans="8:10" x14ac:dyDescent="0.25">
      <c r="H151" s="2"/>
    </row>
    <row r="152" spans="8:10" x14ac:dyDescent="0.25">
      <c r="H152" s="2"/>
    </row>
    <row r="153" spans="8:10" x14ac:dyDescent="0.25">
      <c r="H153" s="2"/>
    </row>
    <row r="154" spans="8:10" x14ac:dyDescent="0.25">
      <c r="H154" s="2"/>
    </row>
  </sheetData>
  <mergeCells count="1">
    <mergeCell ref="A1:J1"/>
  </mergeCells>
  <phoneticPr fontId="0" type="noConversion"/>
  <printOptions gridLines="1"/>
  <pageMargins left="0.75" right="0.16" top="0.51" bottom="0.22" header="0.5" footer="0"/>
  <pageSetup scale="83" fitToHeight="16" orientation="landscape" r:id="rId1"/>
  <headerFooter alignWithMargins="0"/>
  <rowBreaks count="1" manualBreakCount="1">
    <brk id="62" max="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J23"/>
  <sheetViews>
    <sheetView view="pageBreakPreview" zoomScaleNormal="100" zoomScaleSheetLayoutView="100" workbookViewId="0">
      <selection activeCell="J6" sqref="J6:J18"/>
    </sheetView>
  </sheetViews>
  <sheetFormatPr defaultRowHeight="13.2" x14ac:dyDescent="0.25"/>
  <cols>
    <col min="1" max="1" width="44.44140625" style="8" customWidth="1"/>
    <col min="2" max="3" width="9" style="8" bestFit="1" customWidth="1"/>
    <col min="4" max="4" width="11.6640625" style="8" bestFit="1" customWidth="1"/>
    <col min="5" max="7" width="10.88671875" style="8" customWidth="1"/>
    <col min="8" max="8" width="14.33203125" style="8" customWidth="1"/>
    <col min="9" max="10" width="10.88671875" style="8" customWidth="1"/>
    <col min="11" max="12" width="14.33203125" style="8" customWidth="1"/>
    <col min="13" max="16384" width="8.88671875" style="8"/>
  </cols>
  <sheetData>
    <row r="1" spans="1:10" x14ac:dyDescent="0.25">
      <c r="A1" s="217" t="s">
        <v>1972</v>
      </c>
      <c r="B1" s="218"/>
      <c r="C1" s="218"/>
      <c r="D1" s="218"/>
      <c r="E1" s="218"/>
      <c r="F1" s="218"/>
      <c r="G1" s="218"/>
      <c r="H1" s="218"/>
      <c r="I1" s="218"/>
      <c r="J1" s="218"/>
    </row>
    <row r="2" spans="1:10" ht="17.399999999999999" x14ac:dyDescent="0.3">
      <c r="A2" s="202" t="s">
        <v>2258</v>
      </c>
      <c r="B2" s="202"/>
      <c r="C2" s="202"/>
      <c r="D2" s="202"/>
      <c r="E2" s="202"/>
      <c r="F2" s="202"/>
    </row>
    <row r="3" spans="1:10" x14ac:dyDescent="0.25">
      <c r="B3" s="9"/>
      <c r="C3" s="9"/>
      <c r="D3" s="9"/>
      <c r="E3" s="9" t="s">
        <v>251</v>
      </c>
      <c r="F3" s="9" t="s">
        <v>252</v>
      </c>
      <c r="G3" s="9" t="s">
        <v>73</v>
      </c>
      <c r="H3" s="9" t="s">
        <v>430</v>
      </c>
      <c r="I3" s="2" t="s">
        <v>330</v>
      </c>
      <c r="J3" s="2" t="s">
        <v>364</v>
      </c>
    </row>
    <row r="4" spans="1:10" ht="15" x14ac:dyDescent="0.4">
      <c r="B4" s="10"/>
      <c r="C4" s="10"/>
      <c r="D4" s="10"/>
      <c r="E4" s="10" t="s">
        <v>1684</v>
      </c>
      <c r="F4" s="10" t="s">
        <v>1874</v>
      </c>
      <c r="G4" s="10" t="s">
        <v>1944</v>
      </c>
      <c r="H4" s="10" t="s">
        <v>1944</v>
      </c>
      <c r="I4" s="10" t="s">
        <v>1944</v>
      </c>
      <c r="J4" s="10" t="s">
        <v>1944</v>
      </c>
    </row>
    <row r="6" spans="1:10" ht="15" x14ac:dyDescent="0.4">
      <c r="A6" s="11" t="s">
        <v>1866</v>
      </c>
      <c r="B6" s="10" t="s">
        <v>1684</v>
      </c>
      <c r="C6" s="10" t="s">
        <v>1874</v>
      </c>
      <c r="D6" s="10" t="s">
        <v>1944</v>
      </c>
      <c r="E6" s="2">
        <v>83534</v>
      </c>
      <c r="F6" s="2">
        <v>86063</v>
      </c>
      <c r="G6" s="2">
        <v>99811</v>
      </c>
      <c r="H6" s="2">
        <v>99811</v>
      </c>
      <c r="I6" s="2">
        <v>99811</v>
      </c>
      <c r="J6" s="2">
        <v>99811</v>
      </c>
    </row>
    <row r="7" spans="1:10" x14ac:dyDescent="0.25">
      <c r="A7" s="8" t="s">
        <v>800</v>
      </c>
      <c r="B7" s="2" t="s">
        <v>417</v>
      </c>
      <c r="C7" s="2" t="s">
        <v>417</v>
      </c>
      <c r="D7" s="2" t="s">
        <v>417</v>
      </c>
      <c r="J7" s="213"/>
    </row>
    <row r="8" spans="1:10" x14ac:dyDescent="0.25">
      <c r="A8" s="8" t="s">
        <v>658</v>
      </c>
      <c r="B8" s="2">
        <v>86063</v>
      </c>
      <c r="C8" s="2">
        <v>86063</v>
      </c>
      <c r="D8" s="2">
        <v>99811</v>
      </c>
      <c r="J8" s="213"/>
    </row>
    <row r="9" spans="1:10" x14ac:dyDescent="0.25">
      <c r="J9" s="213"/>
    </row>
    <row r="10" spans="1:10" ht="15" x14ac:dyDescent="0.4">
      <c r="E10" s="12">
        <v>0</v>
      </c>
      <c r="F10" s="12">
        <v>0</v>
      </c>
      <c r="G10" s="12">
        <v>0</v>
      </c>
      <c r="H10" s="12">
        <v>0</v>
      </c>
      <c r="I10" s="12">
        <v>0</v>
      </c>
      <c r="J10" s="12">
        <v>0</v>
      </c>
    </row>
    <row r="11" spans="1:10" x14ac:dyDescent="0.25">
      <c r="E11" s="2"/>
      <c r="J11" s="213"/>
    </row>
    <row r="12" spans="1:10" x14ac:dyDescent="0.25">
      <c r="A12" s="21" t="s">
        <v>1366</v>
      </c>
      <c r="D12" s="2"/>
      <c r="E12" s="2">
        <f t="shared" ref="E12:I12" si="0">SUM(E6:E11)</f>
        <v>83534</v>
      </c>
      <c r="F12" s="2">
        <f t="shared" si="0"/>
        <v>86063</v>
      </c>
      <c r="G12" s="2">
        <f t="shared" si="0"/>
        <v>99811</v>
      </c>
      <c r="H12" s="2">
        <f t="shared" si="0"/>
        <v>99811</v>
      </c>
      <c r="I12" s="2">
        <f t="shared" si="0"/>
        <v>99811</v>
      </c>
      <c r="J12" s="2">
        <f t="shared" ref="J12" si="1">SUM(J6:J11)</f>
        <v>99811</v>
      </c>
    </row>
    <row r="13" spans="1:10" x14ac:dyDescent="0.25">
      <c r="J13" s="213"/>
    </row>
    <row r="14" spans="1:10" x14ac:dyDescent="0.25">
      <c r="J14" s="213"/>
    </row>
    <row r="15" spans="1:10" x14ac:dyDescent="0.25">
      <c r="A15" s="8" t="s">
        <v>1001</v>
      </c>
      <c r="E15" s="2">
        <v>0</v>
      </c>
      <c r="F15" s="2">
        <v>0</v>
      </c>
      <c r="G15" s="2">
        <v>0</v>
      </c>
      <c r="H15" s="2">
        <v>0</v>
      </c>
      <c r="I15" s="2">
        <v>0</v>
      </c>
      <c r="J15" s="2">
        <v>0</v>
      </c>
    </row>
    <row r="16" spans="1:10" x14ac:dyDescent="0.25">
      <c r="A16" s="8" t="s">
        <v>975</v>
      </c>
      <c r="E16" s="2">
        <f t="shared" ref="E16:I16" si="2">+E6</f>
        <v>83534</v>
      </c>
      <c r="F16" s="2">
        <f t="shared" si="2"/>
        <v>86063</v>
      </c>
      <c r="G16" s="2">
        <f t="shared" si="2"/>
        <v>99811</v>
      </c>
      <c r="H16" s="2">
        <f t="shared" si="2"/>
        <v>99811</v>
      </c>
      <c r="I16" s="2">
        <f t="shared" si="2"/>
        <v>99811</v>
      </c>
      <c r="J16" s="2">
        <f t="shared" ref="J16" si="3">+J6</f>
        <v>99811</v>
      </c>
    </row>
    <row r="17" spans="1:10" ht="15" x14ac:dyDescent="0.4">
      <c r="A17" s="8" t="s">
        <v>976</v>
      </c>
      <c r="E17" s="12">
        <v>0</v>
      </c>
      <c r="F17" s="12">
        <v>0</v>
      </c>
      <c r="G17" s="12">
        <v>0</v>
      </c>
      <c r="H17" s="12">
        <v>0</v>
      </c>
      <c r="I17" s="12">
        <v>0</v>
      </c>
      <c r="J17" s="12">
        <v>0</v>
      </c>
    </row>
    <row r="18" spans="1:10" x14ac:dyDescent="0.25">
      <c r="A18" s="8" t="s">
        <v>1279</v>
      </c>
      <c r="E18" s="2">
        <f t="shared" ref="E18:I18" si="4">SUM(E15:E17)</f>
        <v>83534</v>
      </c>
      <c r="F18" s="2">
        <f t="shared" si="4"/>
        <v>86063</v>
      </c>
      <c r="G18" s="2">
        <f t="shared" si="4"/>
        <v>99811</v>
      </c>
      <c r="H18" s="2">
        <f t="shared" si="4"/>
        <v>99811</v>
      </c>
      <c r="I18" s="2">
        <f t="shared" si="4"/>
        <v>99811</v>
      </c>
      <c r="J18" s="2">
        <f t="shared" ref="J18" si="5">SUM(J15:J17)</f>
        <v>99811</v>
      </c>
    </row>
    <row r="22" spans="1:10" x14ac:dyDescent="0.25">
      <c r="H22" s="2"/>
    </row>
    <row r="23" spans="1:10" x14ac:dyDescent="0.25">
      <c r="H23" s="13"/>
    </row>
  </sheetData>
  <mergeCells count="1">
    <mergeCell ref="A1:J1"/>
  </mergeCells>
  <phoneticPr fontId="5" type="noConversion"/>
  <printOptions gridLines="1"/>
  <pageMargins left="0.75" right="0.16" top="0.51" bottom="0.16" header="0.5" footer="0"/>
  <pageSetup scale="91"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view="pageBreakPreview" zoomScaleNormal="100" zoomScaleSheetLayoutView="100" workbookViewId="0">
      <selection activeCell="J18" sqref="J18"/>
    </sheetView>
  </sheetViews>
  <sheetFormatPr defaultRowHeight="13.2" x14ac:dyDescent="0.25"/>
  <cols>
    <col min="1" max="1" width="44.44140625" style="213" customWidth="1"/>
    <col min="2" max="3" width="9" style="213" bestFit="1" customWidth="1"/>
    <col min="4" max="4" width="11.6640625" style="213" bestFit="1" customWidth="1"/>
    <col min="5" max="7" width="10.88671875" style="213" customWidth="1"/>
    <col min="8" max="8" width="14.33203125" style="213" customWidth="1"/>
    <col min="9" max="9" width="10.88671875" style="213" customWidth="1"/>
    <col min="10" max="10" width="11.21875" style="213" bestFit="1" customWidth="1"/>
    <col min="11" max="12" width="14.33203125" style="213" customWidth="1"/>
    <col min="13" max="16384" width="8.88671875" style="213"/>
  </cols>
  <sheetData>
    <row r="1" spans="1:10" x14ac:dyDescent="0.25">
      <c r="A1" s="217" t="s">
        <v>1972</v>
      </c>
      <c r="B1" s="218"/>
      <c r="C1" s="218"/>
      <c r="D1" s="218"/>
      <c r="E1" s="218"/>
      <c r="F1" s="218"/>
      <c r="G1" s="218"/>
      <c r="H1" s="218"/>
      <c r="I1" s="218"/>
      <c r="J1" s="218"/>
    </row>
    <row r="2" spans="1:10" ht="17.399999999999999" x14ac:dyDescent="0.3">
      <c r="A2" s="202" t="s">
        <v>2275</v>
      </c>
      <c r="B2" s="202"/>
      <c r="C2" s="202"/>
      <c r="D2" s="202"/>
      <c r="E2" s="202"/>
      <c r="F2" s="202"/>
    </row>
    <row r="3" spans="1:10" x14ac:dyDescent="0.25">
      <c r="B3" s="9"/>
      <c r="C3" s="9"/>
      <c r="D3" s="9"/>
      <c r="E3" s="9" t="s">
        <v>251</v>
      </c>
      <c r="F3" s="9" t="s">
        <v>252</v>
      </c>
      <c r="G3" s="9" t="s">
        <v>73</v>
      </c>
      <c r="H3" s="9" t="s">
        <v>430</v>
      </c>
      <c r="I3" s="2" t="s">
        <v>330</v>
      </c>
      <c r="J3" s="2" t="s">
        <v>364</v>
      </c>
    </row>
    <row r="4" spans="1:10" ht="15" x14ac:dyDescent="0.4">
      <c r="B4" s="10"/>
      <c r="C4" s="10"/>
      <c r="D4" s="10"/>
      <c r="E4" s="10" t="s">
        <v>1684</v>
      </c>
      <c r="F4" s="10" t="s">
        <v>1874</v>
      </c>
      <c r="G4" s="10" t="s">
        <v>1944</v>
      </c>
      <c r="H4" s="10" t="s">
        <v>1944</v>
      </c>
      <c r="I4" s="10" t="s">
        <v>1944</v>
      </c>
      <c r="J4" s="10" t="s">
        <v>1944</v>
      </c>
    </row>
    <row r="6" spans="1:10" ht="15" x14ac:dyDescent="0.4">
      <c r="A6" s="215" t="s">
        <v>1866</v>
      </c>
      <c r="B6" s="10" t="s">
        <v>1684</v>
      </c>
      <c r="C6" s="10" t="s">
        <v>1874</v>
      </c>
      <c r="D6" s="10" t="s">
        <v>1944</v>
      </c>
      <c r="E6" s="2"/>
      <c r="F6" s="2"/>
      <c r="G6" s="2"/>
      <c r="H6" s="2"/>
      <c r="I6" s="2"/>
      <c r="J6" s="2">
        <v>3300000</v>
      </c>
    </row>
    <row r="7" spans="1:10" x14ac:dyDescent="0.25">
      <c r="B7" s="2" t="s">
        <v>417</v>
      </c>
      <c r="C7" s="2" t="s">
        <v>417</v>
      </c>
      <c r="D7" s="2" t="s">
        <v>417</v>
      </c>
    </row>
    <row r="8" spans="1:10" x14ac:dyDescent="0.25">
      <c r="A8" s="213" t="s">
        <v>2276</v>
      </c>
      <c r="B8" s="2"/>
      <c r="C8" s="2"/>
      <c r="D8" s="2">
        <v>3300000</v>
      </c>
    </row>
    <row r="10" spans="1:10" ht="15" x14ac:dyDescent="0.4">
      <c r="E10" s="12">
        <v>0</v>
      </c>
      <c r="F10" s="12">
        <v>0</v>
      </c>
      <c r="G10" s="12">
        <v>0</v>
      </c>
      <c r="H10" s="12">
        <v>0</v>
      </c>
      <c r="I10" s="12">
        <v>0</v>
      </c>
      <c r="J10" s="12">
        <v>0</v>
      </c>
    </row>
    <row r="11" spans="1:10" x14ac:dyDescent="0.25">
      <c r="E11" s="2"/>
    </row>
    <row r="12" spans="1:10" x14ac:dyDescent="0.25">
      <c r="A12" s="21" t="s">
        <v>1366</v>
      </c>
      <c r="D12" s="2"/>
      <c r="E12" s="2">
        <f t="shared" ref="E12:J12" si="0">SUM(E6:E11)</f>
        <v>0</v>
      </c>
      <c r="F12" s="2">
        <f t="shared" si="0"/>
        <v>0</v>
      </c>
      <c r="G12" s="2">
        <f t="shared" si="0"/>
        <v>0</v>
      </c>
      <c r="H12" s="2">
        <f t="shared" si="0"/>
        <v>0</v>
      </c>
      <c r="I12" s="2">
        <f t="shared" si="0"/>
        <v>0</v>
      </c>
      <c r="J12" s="2">
        <f t="shared" si="0"/>
        <v>3300000</v>
      </c>
    </row>
    <row r="15" spans="1:10" x14ac:dyDescent="0.25">
      <c r="A15" s="213" t="s">
        <v>1001</v>
      </c>
      <c r="E15" s="2">
        <v>0</v>
      </c>
      <c r="F15" s="2">
        <v>0</v>
      </c>
      <c r="G15" s="2">
        <v>0</v>
      </c>
      <c r="H15" s="2">
        <v>0</v>
      </c>
      <c r="I15" s="2">
        <v>0</v>
      </c>
      <c r="J15" s="2">
        <v>0</v>
      </c>
    </row>
    <row r="16" spans="1:10" x14ac:dyDescent="0.25">
      <c r="A16" s="213" t="s">
        <v>975</v>
      </c>
      <c r="E16" s="2">
        <f t="shared" ref="E16:I16" si="1">+E6</f>
        <v>0</v>
      </c>
      <c r="F16" s="2">
        <f t="shared" si="1"/>
        <v>0</v>
      </c>
      <c r="G16" s="2">
        <f t="shared" si="1"/>
        <v>0</v>
      </c>
      <c r="H16" s="2">
        <f t="shared" si="1"/>
        <v>0</v>
      </c>
      <c r="I16" s="2">
        <f t="shared" si="1"/>
        <v>0</v>
      </c>
      <c r="J16" s="2">
        <v>0</v>
      </c>
    </row>
    <row r="17" spans="1:10" ht="15" x14ac:dyDescent="0.4">
      <c r="A17" s="213" t="s">
        <v>976</v>
      </c>
      <c r="E17" s="12">
        <v>0</v>
      </c>
      <c r="F17" s="12">
        <v>0</v>
      </c>
      <c r="G17" s="12">
        <v>0</v>
      </c>
      <c r="H17" s="12">
        <v>0</v>
      </c>
      <c r="I17" s="12">
        <v>0</v>
      </c>
      <c r="J17" s="12">
        <f>+J12</f>
        <v>3300000</v>
      </c>
    </row>
    <row r="18" spans="1:10" x14ac:dyDescent="0.25">
      <c r="A18" s="213" t="s">
        <v>1279</v>
      </c>
      <c r="E18" s="2">
        <f t="shared" ref="E18:J18" si="2">SUM(E15:E17)</f>
        <v>0</v>
      </c>
      <c r="F18" s="2">
        <f t="shared" si="2"/>
        <v>0</v>
      </c>
      <c r="G18" s="2">
        <f t="shared" si="2"/>
        <v>0</v>
      </c>
      <c r="H18" s="2">
        <f t="shared" si="2"/>
        <v>0</v>
      </c>
      <c r="I18" s="2">
        <f t="shared" si="2"/>
        <v>0</v>
      </c>
      <c r="J18" s="2">
        <f t="shared" si="2"/>
        <v>3300000</v>
      </c>
    </row>
    <row r="22" spans="1:10" x14ac:dyDescent="0.25">
      <c r="H22" s="2"/>
    </row>
    <row r="23" spans="1:10" x14ac:dyDescent="0.25">
      <c r="H23" s="13"/>
    </row>
  </sheetData>
  <mergeCells count="1">
    <mergeCell ref="A1:J1"/>
  </mergeCells>
  <printOptions gridLines="1"/>
  <pageMargins left="0.75" right="0.16" top="0.51" bottom="0.16" header="0.5" footer="0"/>
  <pageSetup scale="91"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20"/>
  <sheetViews>
    <sheetView view="pageBreakPreview" zoomScaleNormal="100" zoomScaleSheetLayoutView="100" workbookViewId="0">
      <selection activeCell="I26" sqref="I26"/>
    </sheetView>
  </sheetViews>
  <sheetFormatPr defaultRowHeight="13.2" x14ac:dyDescent="0.25"/>
  <cols>
    <col min="1" max="1" width="41.44140625" style="8" bestFit="1" customWidth="1"/>
    <col min="2" max="3" width="9" style="8" bestFit="1" customWidth="1"/>
    <col min="4" max="4" width="11.6640625" style="8" bestFit="1" customWidth="1"/>
    <col min="5" max="6" width="11.21875" style="8" bestFit="1" customWidth="1"/>
    <col min="7" max="7" width="11.6640625" style="8" bestFit="1" customWidth="1"/>
    <col min="8" max="8" width="13.5546875" style="8" bestFit="1" customWidth="1"/>
    <col min="9" max="10" width="11.21875" style="8" bestFit="1" customWidth="1"/>
    <col min="11" max="11" width="0" style="8" hidden="1" customWidth="1"/>
    <col min="12" max="16384" width="8.88671875" style="8"/>
  </cols>
  <sheetData>
    <row r="1" spans="1:10" x14ac:dyDescent="0.25">
      <c r="A1" s="217" t="s">
        <v>1972</v>
      </c>
      <c r="B1" s="218"/>
      <c r="C1" s="218"/>
      <c r="D1" s="218"/>
      <c r="E1" s="218"/>
      <c r="F1" s="218"/>
      <c r="G1" s="218"/>
      <c r="H1" s="218"/>
      <c r="I1" s="218"/>
    </row>
    <row r="2" spans="1:10" ht="17.399999999999999" x14ac:dyDescent="0.3">
      <c r="A2" s="202" t="s">
        <v>2259</v>
      </c>
      <c r="B2" s="202"/>
      <c r="C2" s="202"/>
      <c r="D2" s="202"/>
      <c r="E2" s="202"/>
      <c r="F2" s="202"/>
    </row>
    <row r="3" spans="1:10" x14ac:dyDescent="0.25">
      <c r="B3" s="9"/>
      <c r="C3" s="9"/>
      <c r="D3" s="9"/>
      <c r="E3" s="9" t="s">
        <v>251</v>
      </c>
      <c r="F3" s="9" t="s">
        <v>252</v>
      </c>
      <c r="G3" s="9" t="s">
        <v>73</v>
      </c>
      <c r="H3" s="9" t="s">
        <v>430</v>
      </c>
      <c r="I3" s="2" t="s">
        <v>330</v>
      </c>
      <c r="J3" s="2" t="s">
        <v>364</v>
      </c>
    </row>
    <row r="4" spans="1:10" ht="15" x14ac:dyDescent="0.4">
      <c r="B4" s="10"/>
      <c r="C4" s="10"/>
      <c r="D4" s="10"/>
      <c r="E4" s="10" t="s">
        <v>1684</v>
      </c>
      <c r="F4" s="10" t="s">
        <v>1874</v>
      </c>
      <c r="G4" s="10" t="s">
        <v>1944</v>
      </c>
      <c r="H4" s="10" t="s">
        <v>1944</v>
      </c>
      <c r="I4" s="10" t="s">
        <v>1944</v>
      </c>
      <c r="J4" s="10" t="s">
        <v>1944</v>
      </c>
    </row>
    <row r="5" spans="1:10" ht="13.8" x14ac:dyDescent="0.3">
      <c r="A5" s="223"/>
      <c r="B5" s="223"/>
      <c r="C5" s="223"/>
      <c r="D5" s="223"/>
      <c r="E5" s="223"/>
      <c r="F5" s="223"/>
    </row>
    <row r="9" spans="1:10" ht="13.8" x14ac:dyDescent="0.3">
      <c r="A9" s="11" t="s">
        <v>605</v>
      </c>
      <c r="B9" s="5" t="s">
        <v>617</v>
      </c>
      <c r="C9" s="5" t="s">
        <v>618</v>
      </c>
      <c r="D9" s="5" t="s">
        <v>616</v>
      </c>
      <c r="E9" s="2">
        <v>12859</v>
      </c>
      <c r="F9" s="2">
        <v>7095</v>
      </c>
      <c r="G9" s="2">
        <v>18568</v>
      </c>
      <c r="H9" s="2">
        <v>10026</v>
      </c>
      <c r="I9" s="2">
        <v>10026</v>
      </c>
      <c r="J9" s="2">
        <v>10026</v>
      </c>
    </row>
    <row r="10" spans="1:10" x14ac:dyDescent="0.25">
      <c r="A10" s="8" t="s">
        <v>75</v>
      </c>
      <c r="B10" s="8">
        <v>189</v>
      </c>
      <c r="C10" s="15">
        <v>53.05</v>
      </c>
      <c r="D10" s="2">
        <f>+B10*C10</f>
        <v>10026.449999999999</v>
      </c>
      <c r="I10" s="209"/>
      <c r="J10" s="213"/>
    </row>
    <row r="11" spans="1:10" x14ac:dyDescent="0.25">
      <c r="I11" s="209"/>
      <c r="J11" s="213"/>
    </row>
    <row r="12" spans="1:10" ht="15" x14ac:dyDescent="0.4">
      <c r="A12" s="16" t="s">
        <v>606</v>
      </c>
      <c r="B12" s="10"/>
      <c r="C12" s="10"/>
      <c r="D12" s="10"/>
      <c r="E12" s="2">
        <v>386462</v>
      </c>
      <c r="F12" s="2">
        <v>416304</v>
      </c>
      <c r="G12" s="2">
        <v>416516</v>
      </c>
      <c r="H12" s="2">
        <v>416516</v>
      </c>
      <c r="I12" s="2">
        <v>416516</v>
      </c>
      <c r="J12" s="2">
        <v>416516</v>
      </c>
    </row>
    <row r="13" spans="1:10" x14ac:dyDescent="0.25">
      <c r="A13" s="8" t="s">
        <v>75</v>
      </c>
      <c r="B13" s="2">
        <v>5700</v>
      </c>
      <c r="C13" s="13">
        <v>64.180000000000007</v>
      </c>
      <c r="D13" s="2">
        <f>ROUND(B13*C13,0)</f>
        <v>365826</v>
      </c>
      <c r="I13" s="209"/>
      <c r="J13" s="213"/>
    </row>
    <row r="14" spans="1:10" x14ac:dyDescent="0.25">
      <c r="A14" s="8" t="s">
        <v>1012</v>
      </c>
      <c r="B14" s="2"/>
      <c r="C14" s="13"/>
      <c r="D14" s="19">
        <v>50690</v>
      </c>
      <c r="I14" s="209"/>
      <c r="J14" s="213"/>
    </row>
    <row r="15" spans="1:10" x14ac:dyDescent="0.25">
      <c r="A15" s="8" t="s">
        <v>1324</v>
      </c>
      <c r="C15" s="13" t="s">
        <v>417</v>
      </c>
      <c r="D15" s="2">
        <f>SUM(D13:D14)</f>
        <v>416516</v>
      </c>
      <c r="I15" s="209"/>
      <c r="J15" s="213"/>
    </row>
    <row r="16" spans="1:10" x14ac:dyDescent="0.25">
      <c r="C16" s="13"/>
      <c r="I16" s="209"/>
      <c r="J16" s="213"/>
    </row>
    <row r="17" spans="1:10" ht="13.8" x14ac:dyDescent="0.3">
      <c r="A17" s="11" t="s">
        <v>2048</v>
      </c>
      <c r="C17" s="13"/>
      <c r="D17" s="2"/>
      <c r="E17" s="2">
        <v>172421</v>
      </c>
      <c r="F17" s="2">
        <v>221429</v>
      </c>
      <c r="G17" s="2">
        <v>0</v>
      </c>
      <c r="H17" s="2">
        <v>0</v>
      </c>
      <c r="I17" s="2">
        <v>0</v>
      </c>
      <c r="J17" s="2">
        <v>0</v>
      </c>
    </row>
    <row r="18" spans="1:10" x14ac:dyDescent="0.25">
      <c r="A18" s="2"/>
      <c r="B18" s="2"/>
      <c r="C18" s="2"/>
      <c r="D18" s="2"/>
      <c r="E18" s="2"/>
      <c r="F18" s="2"/>
      <c r="G18" s="2"/>
      <c r="H18" s="2"/>
      <c r="I18" s="2"/>
      <c r="J18" s="2"/>
    </row>
    <row r="19" spans="1:10" ht="17.399999999999999" x14ac:dyDescent="0.3">
      <c r="A19" s="207" t="s">
        <v>2262</v>
      </c>
      <c r="B19" s="2"/>
      <c r="C19" s="2"/>
      <c r="D19" s="2"/>
      <c r="E19" s="2">
        <f>+E17+E12+E9+'33-Fire Protection -other'!E12+'32-Media'!E100+'10-wastewater'!E324+'27-debt svc'!B25+'27-debt svc'!B65+'42- capital Projects fund'!E18+3500</f>
        <v>31208442.949999999</v>
      </c>
      <c r="F19" s="2">
        <f>+F17+F12+F9+'33-Fire Protection -other'!F12+'32-Media'!F100+'10-wastewater'!F324+'27-debt svc'!C25+'27-debt svc'!C65+'42- capital Projects fund'!F18+3500</f>
        <v>34366629</v>
      </c>
      <c r="G19" s="2">
        <f>+G17+G12+G9+'33-Fire Protection -other'!G12+'32-Media'!G100+'10-wastewater'!G324+'27-debt svc'!D25+'27-debt svc'!D65+'42- capital Projects fund'!G18+3500</f>
        <v>35593346.565373957</v>
      </c>
      <c r="H19" s="2">
        <f>+H17+H12+H9+'33-Fire Protection -other'!H12+'32-Media'!H100+'10-wastewater'!H324+'27-debt svc'!E25+'27-debt svc'!E65+'42- capital Projects fund'!H18+3500</f>
        <v>34663937.859999999</v>
      </c>
      <c r="I19" s="2">
        <f>+I17+I12+I9+'33-Fire Protection -other'!I12+'32-Media'!I100+'10-wastewater'!I324+'27-debt svc'!F25+'27-debt svc'!F65+'42- capital Projects fund'!I18+3500</f>
        <v>34839897.859999999</v>
      </c>
      <c r="J19" s="2">
        <f>+J17+J12+J9+'33-Fire Protection -other'!J12+'32-Media'!J100+'10-wastewater'!J324+'27-debt svc'!G25+'27-debt svc'!G65+'42- capital Projects fund'!J18+3500</f>
        <v>38198872.859999999</v>
      </c>
    </row>
    <row r="20" spans="1:10" x14ac:dyDescent="0.25">
      <c r="A20" s="1" t="s">
        <v>1366</v>
      </c>
      <c r="B20" s="2"/>
      <c r="C20" s="2"/>
      <c r="D20" s="2"/>
      <c r="E20" s="2">
        <f>SUM(E1:E17)</f>
        <v>571742</v>
      </c>
      <c r="F20" s="2">
        <f>SUM(F1:F18)</f>
        <v>644828</v>
      </c>
      <c r="G20" s="2">
        <f>SUM(G1:G18)</f>
        <v>435084</v>
      </c>
      <c r="H20" s="2">
        <f>SUM(H1:H18)</f>
        <v>426542</v>
      </c>
      <c r="I20" s="2">
        <f>SUM(I1:I18)</f>
        <v>426542</v>
      </c>
      <c r="J20" s="2">
        <f>SUM(J1:J18)</f>
        <v>426542</v>
      </c>
    </row>
  </sheetData>
  <mergeCells count="2">
    <mergeCell ref="A5:F5"/>
    <mergeCell ref="A1:I1"/>
  </mergeCells>
  <phoneticPr fontId="5" type="noConversion"/>
  <printOptions gridLines="1"/>
  <pageMargins left="0.75" right="0.16" top="0.51" bottom="0.22" header="0.5" footer="0"/>
  <pageSetup scale="93" fitToHeight="7" orientation="landscape" r:id="rId1"/>
  <headerFooter alignWithMargins="0"/>
  <rowBreaks count="2" manualBreakCount="2">
    <brk id="11" max="10" man="1"/>
    <brk id="15"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181"/>
  <sheetViews>
    <sheetView view="pageBreakPreview" topLeftCell="A120" zoomScaleNormal="100" zoomScaleSheetLayoutView="100" workbookViewId="0">
      <selection activeCell="K6" sqref="K6:K181"/>
    </sheetView>
  </sheetViews>
  <sheetFormatPr defaultRowHeight="13.2" x14ac:dyDescent="0.25"/>
  <cols>
    <col min="1" max="1" width="61.77734375" style="8" bestFit="1" customWidth="1"/>
    <col min="2" max="2" width="15.21875" style="8" bestFit="1" customWidth="1"/>
    <col min="3" max="3" width="7.88671875" style="8" bestFit="1" customWidth="1"/>
    <col min="4" max="4" width="8.77734375" style="49" bestFit="1" customWidth="1"/>
    <col min="5" max="5" width="7.44140625" style="8" bestFit="1" customWidth="1"/>
    <col min="6" max="7" width="9" style="8" bestFit="1" customWidth="1"/>
    <col min="8" max="8" width="10.88671875" style="8" customWidth="1"/>
    <col min="9" max="9" width="13.5546875" style="8" bestFit="1" customWidth="1"/>
    <col min="10" max="11" width="10.88671875" style="8" customWidth="1"/>
    <col min="12" max="12" width="0" style="8" hidden="1" customWidth="1"/>
    <col min="13" max="16384" width="8.88671875" style="8"/>
  </cols>
  <sheetData>
    <row r="1" spans="1:11" x14ac:dyDescent="0.25">
      <c r="A1" s="217" t="s">
        <v>1972</v>
      </c>
      <c r="B1" s="218"/>
      <c r="C1" s="218"/>
      <c r="D1" s="218"/>
      <c r="E1" s="218"/>
      <c r="F1" s="218"/>
      <c r="G1" s="218"/>
      <c r="H1" s="218"/>
      <c r="I1" s="218"/>
      <c r="J1" s="218"/>
    </row>
    <row r="2" spans="1:11" ht="17.399999999999999" x14ac:dyDescent="0.3">
      <c r="A2" s="202" t="s">
        <v>2261</v>
      </c>
      <c r="B2" s="202"/>
      <c r="C2" s="202"/>
      <c r="D2" s="202"/>
      <c r="E2" s="202"/>
      <c r="F2" s="202"/>
      <c r="G2" s="202"/>
      <c r="H2" s="111"/>
      <c r="I2" s="111"/>
    </row>
    <row r="3" spans="1:11" x14ac:dyDescent="0.25">
      <c r="A3" s="6"/>
      <c r="D3" s="8"/>
    </row>
    <row r="4" spans="1:11" x14ac:dyDescent="0.25">
      <c r="B4" s="9"/>
      <c r="C4" s="9"/>
      <c r="D4" s="173"/>
      <c r="E4" s="9"/>
      <c r="F4" s="9" t="s">
        <v>251</v>
      </c>
      <c r="G4" s="9" t="s">
        <v>252</v>
      </c>
      <c r="H4" s="9" t="s">
        <v>73</v>
      </c>
      <c r="I4" s="9" t="s">
        <v>430</v>
      </c>
      <c r="J4" s="2" t="s">
        <v>330</v>
      </c>
      <c r="K4" s="2" t="s">
        <v>364</v>
      </c>
    </row>
    <row r="5" spans="1:11" ht="15" x14ac:dyDescent="0.4">
      <c r="B5" s="10"/>
      <c r="C5" s="10"/>
      <c r="D5" s="174"/>
      <c r="E5" s="10"/>
      <c r="F5" s="10" t="s">
        <v>1684</v>
      </c>
      <c r="G5" s="10" t="s">
        <v>1874</v>
      </c>
      <c r="H5" s="10" t="s">
        <v>1944</v>
      </c>
      <c r="I5" s="10" t="s">
        <v>1944</v>
      </c>
      <c r="J5" s="10" t="s">
        <v>1944</v>
      </c>
      <c r="K5" s="10" t="s">
        <v>1944</v>
      </c>
    </row>
    <row r="6" spans="1:11" ht="13.8" x14ac:dyDescent="0.3">
      <c r="A6" s="223"/>
      <c r="B6" s="223"/>
      <c r="C6" s="223"/>
      <c r="D6" s="223"/>
      <c r="E6" s="223"/>
      <c r="F6" s="223"/>
      <c r="G6" s="223"/>
      <c r="J6" s="213"/>
      <c r="K6" s="213"/>
    </row>
    <row r="7" spans="1:11" x14ac:dyDescent="0.25">
      <c r="J7" s="213"/>
      <c r="K7" s="213"/>
    </row>
    <row r="8" spans="1:11" x14ac:dyDescent="0.25">
      <c r="J8" s="213"/>
      <c r="K8" s="213"/>
    </row>
    <row r="9" spans="1:11" ht="13.8" x14ac:dyDescent="0.3">
      <c r="A9" s="11" t="s">
        <v>1986</v>
      </c>
      <c r="C9" s="13"/>
      <c r="E9" s="2"/>
      <c r="F9" s="2">
        <v>0</v>
      </c>
      <c r="G9" s="2">
        <v>0</v>
      </c>
      <c r="H9" s="165">
        <v>189721.47</v>
      </c>
      <c r="I9" s="165">
        <v>189721.47</v>
      </c>
      <c r="J9" s="165">
        <v>189721.47</v>
      </c>
      <c r="K9" s="165">
        <v>189721.47</v>
      </c>
    </row>
    <row r="10" spans="1:11" ht="13.8" x14ac:dyDescent="0.3">
      <c r="A10" s="127" t="s">
        <v>2132</v>
      </c>
      <c r="C10" s="13"/>
      <c r="D10" s="2"/>
      <c r="E10" s="2"/>
      <c r="F10" s="2"/>
      <c r="G10" s="2"/>
      <c r="H10" s="2"/>
      <c r="I10" s="2"/>
      <c r="J10" s="2"/>
      <c r="K10" s="2"/>
    </row>
    <row r="11" spans="1:11" x14ac:dyDescent="0.25">
      <c r="A11" s="2" t="s">
        <v>1991</v>
      </c>
      <c r="B11" s="2">
        <v>400</v>
      </c>
      <c r="C11" s="13">
        <v>17.170000000000002</v>
      </c>
      <c r="D11" s="2">
        <f>+B11*C11</f>
        <v>6868.0000000000009</v>
      </c>
      <c r="E11" s="2"/>
      <c r="F11" s="2"/>
      <c r="G11" s="2"/>
      <c r="H11" s="2"/>
      <c r="I11" s="2"/>
      <c r="J11" s="2"/>
      <c r="K11" s="2"/>
    </row>
    <row r="12" spans="1:11" x14ac:dyDescent="0.25">
      <c r="A12" s="2" t="s">
        <v>1992</v>
      </c>
      <c r="B12" s="2">
        <v>360</v>
      </c>
      <c r="C12" s="13">
        <v>11.56</v>
      </c>
      <c r="D12" s="2">
        <f t="shared" ref="D12:D23" si="0">+B12*C12</f>
        <v>4161.6000000000004</v>
      </c>
      <c r="E12" s="2"/>
      <c r="F12" s="2"/>
      <c r="G12" s="2"/>
      <c r="H12" s="2"/>
      <c r="I12" s="2"/>
      <c r="J12" s="2"/>
      <c r="K12" s="2"/>
    </row>
    <row r="13" spans="1:11" x14ac:dyDescent="0.25">
      <c r="A13" s="2" t="s">
        <v>1993</v>
      </c>
      <c r="B13" s="2">
        <v>360</v>
      </c>
      <c r="C13" s="13">
        <v>11.56</v>
      </c>
      <c r="D13" s="2">
        <f t="shared" si="0"/>
        <v>4161.6000000000004</v>
      </c>
      <c r="E13" s="2"/>
      <c r="F13" s="2"/>
      <c r="G13" s="2"/>
      <c r="H13" s="2"/>
      <c r="I13" s="2"/>
      <c r="J13" s="2"/>
      <c r="K13" s="2"/>
    </row>
    <row r="14" spans="1:11" x14ac:dyDescent="0.25">
      <c r="A14" s="2" t="s">
        <v>1994</v>
      </c>
      <c r="B14" s="2">
        <v>360</v>
      </c>
      <c r="C14" s="13">
        <v>15</v>
      </c>
      <c r="D14" s="2">
        <f t="shared" si="0"/>
        <v>5400</v>
      </c>
      <c r="E14" s="2"/>
      <c r="F14" s="2"/>
      <c r="G14" s="2"/>
      <c r="H14" s="2"/>
      <c r="I14" s="2"/>
      <c r="J14" s="2"/>
      <c r="K14" s="2"/>
    </row>
    <row r="15" spans="1:11" x14ac:dyDescent="0.25">
      <c r="A15" s="2" t="s">
        <v>2064</v>
      </c>
      <c r="B15" s="2">
        <v>320</v>
      </c>
      <c r="C15" s="13">
        <v>8.5</v>
      </c>
      <c r="D15" s="2">
        <f t="shared" si="0"/>
        <v>2720</v>
      </c>
      <c r="E15" s="2"/>
      <c r="F15" s="2"/>
      <c r="G15" s="2"/>
      <c r="H15" s="2"/>
      <c r="I15" s="2"/>
      <c r="J15" s="2"/>
      <c r="K15" s="2"/>
    </row>
    <row r="16" spans="1:11" x14ac:dyDescent="0.25">
      <c r="A16" s="2" t="s">
        <v>1995</v>
      </c>
      <c r="B16" s="2">
        <v>320</v>
      </c>
      <c r="C16" s="13">
        <v>13</v>
      </c>
      <c r="D16" s="2">
        <f t="shared" si="0"/>
        <v>4160</v>
      </c>
      <c r="E16" s="2"/>
      <c r="F16" s="2"/>
      <c r="G16" s="2"/>
      <c r="H16" s="2"/>
      <c r="I16" s="2"/>
      <c r="J16" s="2"/>
      <c r="K16" s="2"/>
    </row>
    <row r="17" spans="1:11" x14ac:dyDescent="0.25">
      <c r="A17" s="2" t="s">
        <v>1996</v>
      </c>
      <c r="B17" s="2">
        <v>320</v>
      </c>
      <c r="C17" s="13">
        <v>9</v>
      </c>
      <c r="D17" s="2">
        <f t="shared" si="0"/>
        <v>2880</v>
      </c>
      <c r="E17" s="2"/>
      <c r="F17" s="2"/>
      <c r="G17" s="2"/>
      <c r="H17" s="2"/>
      <c r="I17" s="2"/>
      <c r="J17" s="2"/>
      <c r="K17" s="2"/>
    </row>
    <row r="18" spans="1:11" x14ac:dyDescent="0.25">
      <c r="A18" s="2" t="s">
        <v>1997</v>
      </c>
      <c r="B18" s="2">
        <v>160</v>
      </c>
      <c r="C18" s="13">
        <v>13.98</v>
      </c>
      <c r="D18" s="2">
        <f t="shared" si="0"/>
        <v>2236.8000000000002</v>
      </c>
      <c r="E18" s="2"/>
      <c r="F18" s="2"/>
      <c r="G18" s="2"/>
      <c r="H18" s="2"/>
      <c r="I18" s="2"/>
      <c r="J18" s="2"/>
      <c r="K18" s="2"/>
    </row>
    <row r="19" spans="1:11" x14ac:dyDescent="0.25">
      <c r="A19" s="2" t="s">
        <v>2065</v>
      </c>
      <c r="B19" s="2">
        <v>1280</v>
      </c>
      <c r="C19" s="13">
        <v>10</v>
      </c>
      <c r="D19" s="2">
        <f t="shared" si="0"/>
        <v>12800</v>
      </c>
      <c r="E19" s="2"/>
      <c r="F19" s="2"/>
      <c r="G19" s="2"/>
      <c r="H19" s="2"/>
      <c r="I19" s="2"/>
      <c r="J19" s="2"/>
      <c r="K19" s="2"/>
    </row>
    <row r="20" spans="1:11" x14ac:dyDescent="0.25">
      <c r="A20" s="2" t="s">
        <v>1998</v>
      </c>
      <c r="B20" s="2">
        <v>3840</v>
      </c>
      <c r="C20" s="13">
        <v>8</v>
      </c>
      <c r="D20" s="2">
        <f t="shared" si="0"/>
        <v>30720</v>
      </c>
      <c r="E20" s="2"/>
      <c r="F20" s="2"/>
      <c r="G20" s="2"/>
      <c r="H20" s="2"/>
      <c r="I20" s="2"/>
      <c r="J20" s="2"/>
      <c r="K20" s="2"/>
    </row>
    <row r="21" spans="1:11" x14ac:dyDescent="0.25">
      <c r="A21" s="2" t="s">
        <v>1999</v>
      </c>
      <c r="B21" s="2">
        <v>1600</v>
      </c>
      <c r="C21" s="13">
        <v>7.25</v>
      </c>
      <c r="D21" s="2">
        <f t="shared" si="0"/>
        <v>11600</v>
      </c>
      <c r="E21" s="2"/>
      <c r="F21" s="2"/>
      <c r="G21" s="2"/>
      <c r="H21" s="2"/>
      <c r="I21" s="2"/>
      <c r="J21" s="2"/>
      <c r="K21" s="2"/>
    </row>
    <row r="22" spans="1:11" x14ac:dyDescent="0.25">
      <c r="A22" s="2" t="s">
        <v>2000</v>
      </c>
      <c r="B22" s="2">
        <v>640</v>
      </c>
      <c r="C22" s="13">
        <v>9</v>
      </c>
      <c r="D22" s="2">
        <f t="shared" si="0"/>
        <v>5760</v>
      </c>
      <c r="E22" s="2"/>
      <c r="F22" s="2"/>
      <c r="G22" s="2"/>
      <c r="H22" s="2"/>
      <c r="I22" s="2"/>
      <c r="J22" s="2"/>
      <c r="K22" s="2"/>
    </row>
    <row r="23" spans="1:11" x14ac:dyDescent="0.25">
      <c r="A23" s="2" t="s">
        <v>2001</v>
      </c>
      <c r="B23" s="2">
        <v>1600</v>
      </c>
      <c r="C23" s="13">
        <v>9</v>
      </c>
      <c r="D23" s="2">
        <f t="shared" si="0"/>
        <v>14400</v>
      </c>
      <c r="E23" s="2"/>
      <c r="F23" s="2"/>
      <c r="G23" s="2"/>
      <c r="H23" s="2"/>
      <c r="I23" s="2"/>
      <c r="J23" s="2"/>
      <c r="K23" s="2"/>
    </row>
    <row r="24" spans="1:11" ht="15" x14ac:dyDescent="0.4">
      <c r="A24" s="2" t="s">
        <v>2002</v>
      </c>
      <c r="B24" s="2"/>
      <c r="C24" s="13"/>
      <c r="D24" s="12">
        <v>12897.21</v>
      </c>
      <c r="E24" s="2"/>
      <c r="F24" s="2"/>
      <c r="G24" s="2"/>
      <c r="H24" s="2"/>
      <c r="I24" s="2"/>
      <c r="J24" s="2"/>
      <c r="K24" s="2"/>
    </row>
    <row r="25" spans="1:11" ht="15" x14ac:dyDescent="0.4">
      <c r="A25" s="1" t="s">
        <v>1757</v>
      </c>
      <c r="B25" s="1"/>
      <c r="C25" s="166"/>
      <c r="D25" s="2">
        <f>SUM(D11:D24)</f>
        <v>120765.20999999999</v>
      </c>
      <c r="E25" s="12"/>
      <c r="F25" s="2"/>
      <c r="G25" s="2"/>
      <c r="H25" s="2"/>
      <c r="I25" s="2"/>
      <c r="J25" s="2"/>
      <c r="K25" s="2"/>
    </row>
    <row r="26" spans="1:11" x14ac:dyDescent="0.25">
      <c r="A26" s="2" t="s">
        <v>660</v>
      </c>
      <c r="B26" s="2">
        <f>+D25:D25</f>
        <v>120765.20999999999</v>
      </c>
      <c r="C26" s="15">
        <v>7.6499999999999999E-2</v>
      </c>
      <c r="D26" s="2">
        <f>ROUND(B26*C26,0)</f>
        <v>9239</v>
      </c>
      <c r="E26" s="2"/>
      <c r="F26" s="2"/>
      <c r="G26" s="2"/>
      <c r="H26" s="2"/>
      <c r="I26" s="2"/>
      <c r="J26" s="2"/>
      <c r="K26" s="2"/>
    </row>
    <row r="27" spans="1:11" x14ac:dyDescent="0.25">
      <c r="A27" s="2" t="s">
        <v>661</v>
      </c>
      <c r="B27" s="2">
        <f>+D25</f>
        <v>120765.20999999999</v>
      </c>
      <c r="C27" s="15">
        <v>2.3900000000000001E-2</v>
      </c>
      <c r="D27" s="2">
        <f>ROUND(B27*C27,0)</f>
        <v>2886</v>
      </c>
      <c r="E27" s="2"/>
      <c r="F27" s="2"/>
      <c r="G27" s="2"/>
      <c r="H27" s="2"/>
      <c r="I27" s="2"/>
      <c r="J27" s="2"/>
      <c r="K27" s="2"/>
    </row>
    <row r="28" spans="1:11" x14ac:dyDescent="0.25">
      <c r="A28" s="2" t="s">
        <v>662</v>
      </c>
      <c r="B28" s="2">
        <f>+D25</f>
        <v>120765.20999999999</v>
      </c>
      <c r="C28" s="15">
        <v>3.3999999999999998E-3</v>
      </c>
      <c r="D28" s="2">
        <f>ROUND(B28*C28,0)</f>
        <v>411</v>
      </c>
      <c r="E28" s="2"/>
      <c r="F28" s="2"/>
      <c r="G28" s="2"/>
      <c r="H28" s="2"/>
      <c r="I28" s="2"/>
      <c r="J28" s="2"/>
      <c r="K28" s="2"/>
    </row>
    <row r="29" spans="1:11" x14ac:dyDescent="0.25">
      <c r="A29" s="2" t="s">
        <v>1758</v>
      </c>
      <c r="B29" s="2"/>
      <c r="C29" s="13"/>
      <c r="D29" s="2">
        <v>27665.26</v>
      </c>
      <c r="E29" s="2"/>
      <c r="F29" s="2"/>
      <c r="G29" s="2"/>
      <c r="H29" s="2"/>
      <c r="I29" s="2"/>
      <c r="J29" s="2"/>
      <c r="K29" s="2"/>
    </row>
    <row r="30" spans="1:11" x14ac:dyDescent="0.25">
      <c r="A30" s="2" t="s">
        <v>2003</v>
      </c>
      <c r="B30" s="2"/>
      <c r="C30"/>
      <c r="D30" s="2">
        <v>11500</v>
      </c>
      <c r="E30" s="2"/>
      <c r="F30" s="2"/>
      <c r="G30" s="2"/>
      <c r="H30" s="2"/>
      <c r="I30" s="2"/>
      <c r="J30" s="2"/>
      <c r="K30" s="2"/>
    </row>
    <row r="31" spans="1:11" x14ac:dyDescent="0.25">
      <c r="A31" s="2" t="s">
        <v>2004</v>
      </c>
      <c r="B31" s="2"/>
      <c r="C31" s="2"/>
      <c r="D31" s="2">
        <v>3500</v>
      </c>
      <c r="E31" s="2"/>
      <c r="F31" s="2"/>
      <c r="G31" s="2"/>
      <c r="H31" s="2"/>
      <c r="I31" s="2"/>
      <c r="J31" s="2"/>
      <c r="K31" s="2"/>
    </row>
    <row r="32" spans="1:11" x14ac:dyDescent="0.25">
      <c r="A32" s="2" t="s">
        <v>2005</v>
      </c>
      <c r="B32" s="2"/>
      <c r="C32" s="2"/>
      <c r="D32" s="2">
        <v>500</v>
      </c>
      <c r="E32" s="2"/>
      <c r="F32" s="2"/>
      <c r="G32" s="2"/>
      <c r="H32" s="2"/>
      <c r="I32" s="2"/>
      <c r="J32" s="2"/>
      <c r="K32" s="2"/>
    </row>
    <row r="33" spans="1:11" x14ac:dyDescent="0.25">
      <c r="A33" s="2" t="s">
        <v>2006</v>
      </c>
      <c r="B33" s="2"/>
      <c r="C33" s="2"/>
      <c r="D33" s="2">
        <v>2000</v>
      </c>
      <c r="E33" s="2"/>
      <c r="F33" s="2"/>
      <c r="G33" s="2"/>
      <c r="H33" s="2"/>
      <c r="I33" s="2"/>
      <c r="J33" s="2"/>
      <c r="K33" s="2"/>
    </row>
    <row r="34" spans="1:11" x14ac:dyDescent="0.25">
      <c r="A34" s="2" t="s">
        <v>2133</v>
      </c>
      <c r="B34" s="2"/>
      <c r="C34" s="2"/>
      <c r="D34" s="2">
        <v>1075</v>
      </c>
      <c r="E34" s="2"/>
      <c r="F34" s="2"/>
      <c r="G34" s="2"/>
      <c r="H34" s="2"/>
      <c r="I34" s="2"/>
      <c r="J34" s="2"/>
      <c r="K34" s="2"/>
    </row>
    <row r="35" spans="1:11" x14ac:dyDescent="0.25">
      <c r="A35" s="2" t="s">
        <v>2007</v>
      </c>
      <c r="B35" s="2"/>
      <c r="C35" s="2"/>
      <c r="D35" s="2">
        <v>1000</v>
      </c>
      <c r="E35" s="2"/>
      <c r="F35" s="2"/>
      <c r="G35" s="2"/>
      <c r="H35" s="2"/>
      <c r="I35" s="2"/>
      <c r="J35" s="2"/>
      <c r="K35" s="2"/>
    </row>
    <row r="36" spans="1:11" x14ac:dyDescent="0.25">
      <c r="A36" s="2" t="s">
        <v>860</v>
      </c>
      <c r="B36" s="2"/>
      <c r="C36" s="2"/>
      <c r="D36" s="2">
        <v>1780</v>
      </c>
      <c r="E36" s="2"/>
      <c r="F36" s="2"/>
      <c r="G36" s="2"/>
      <c r="H36" s="2"/>
      <c r="I36" s="2"/>
      <c r="J36" s="2"/>
      <c r="K36" s="2"/>
    </row>
    <row r="37" spans="1:11" ht="15" x14ac:dyDescent="0.4">
      <c r="A37" s="2" t="s">
        <v>76</v>
      </c>
      <c r="B37" s="2"/>
      <c r="C37" s="2"/>
      <c r="D37" s="2">
        <v>1000</v>
      </c>
      <c r="E37" s="12"/>
      <c r="F37" s="2"/>
      <c r="G37" s="2"/>
      <c r="H37" s="2"/>
      <c r="I37" s="2"/>
      <c r="J37" s="2"/>
      <c r="K37" s="2"/>
    </row>
    <row r="38" spans="1:11" x14ac:dyDescent="0.25">
      <c r="A38" s="2" t="s">
        <v>2008</v>
      </c>
      <c r="B38" s="2"/>
      <c r="C38" s="2" t="s">
        <v>2009</v>
      </c>
      <c r="D38" s="2">
        <v>1700</v>
      </c>
      <c r="E38" s="2"/>
      <c r="F38" s="2"/>
      <c r="G38" s="2"/>
      <c r="H38" s="2"/>
      <c r="I38" s="2"/>
      <c r="J38" s="2"/>
      <c r="K38" s="2"/>
    </row>
    <row r="39" spans="1:11" x14ac:dyDescent="0.25">
      <c r="A39" s="2" t="s">
        <v>1888</v>
      </c>
      <c r="B39" s="2"/>
      <c r="C39" s="2"/>
      <c r="D39" s="2">
        <v>4500</v>
      </c>
      <c r="E39" s="2"/>
      <c r="F39" s="2"/>
      <c r="G39" s="2"/>
      <c r="H39" s="2"/>
      <c r="I39" s="2"/>
      <c r="J39" s="2"/>
      <c r="K39" s="2"/>
    </row>
    <row r="40" spans="1:11" ht="15" x14ac:dyDescent="0.4">
      <c r="A40" s="2" t="s">
        <v>646</v>
      </c>
      <c r="B40" s="2"/>
      <c r="C40" s="2"/>
      <c r="D40" s="12">
        <v>200</v>
      </c>
      <c r="E40" s="2"/>
      <c r="F40" s="2"/>
      <c r="G40" s="2"/>
      <c r="H40" s="2"/>
      <c r="I40" s="2"/>
      <c r="J40" s="2"/>
      <c r="K40" s="2"/>
    </row>
    <row r="41" spans="1:11" x14ac:dyDescent="0.25">
      <c r="A41" s="1" t="s">
        <v>1279</v>
      </c>
      <c r="B41" s="1"/>
      <c r="C41" s="1"/>
      <c r="D41" s="2"/>
      <c r="E41" s="49">
        <f>SUM(D25:D40)</f>
        <v>189721.47</v>
      </c>
      <c r="F41" s="2"/>
      <c r="G41" s="2"/>
      <c r="H41" s="2"/>
      <c r="I41" s="2"/>
      <c r="J41" s="2"/>
      <c r="K41" s="2"/>
    </row>
    <row r="42" spans="1:11" x14ac:dyDescent="0.25">
      <c r="A42" s="1"/>
      <c r="B42" s="1"/>
      <c r="C42" s="1"/>
      <c r="E42" s="2"/>
      <c r="F42" s="2"/>
      <c r="G42" s="2"/>
      <c r="H42" s="2"/>
      <c r="I42" s="2"/>
      <c r="J42" s="2"/>
      <c r="K42" s="2"/>
    </row>
    <row r="43" spans="1:11" x14ac:dyDescent="0.25">
      <c r="A43" s="2"/>
      <c r="B43" s="2"/>
      <c r="C43" s="2"/>
      <c r="E43" s="2"/>
      <c r="F43" s="2"/>
      <c r="G43" s="2"/>
      <c r="H43" s="2"/>
      <c r="I43" s="2"/>
      <c r="J43" s="2"/>
      <c r="K43" s="2"/>
    </row>
    <row r="44" spans="1:11" ht="16.8" x14ac:dyDescent="0.55000000000000004">
      <c r="A44" s="82" t="s">
        <v>2010</v>
      </c>
      <c r="B44" s="2"/>
      <c r="C44" s="2"/>
      <c r="E44" s="2"/>
      <c r="F44" s="2"/>
      <c r="G44" s="2"/>
      <c r="H44" s="2">
        <v>10000</v>
      </c>
      <c r="I44" s="2">
        <v>10000</v>
      </c>
      <c r="J44" s="2">
        <v>10000</v>
      </c>
      <c r="K44" s="2">
        <v>10000</v>
      </c>
    </row>
    <row r="45" spans="1:11" x14ac:dyDescent="0.25">
      <c r="A45" s="2" t="s">
        <v>2011</v>
      </c>
      <c r="B45" s="2">
        <v>225</v>
      </c>
      <c r="C45" s="167">
        <v>14.04</v>
      </c>
      <c r="D45" s="49">
        <f>ROUND(B45*C45,0)</f>
        <v>3159</v>
      </c>
      <c r="E45" s="2"/>
      <c r="F45" s="2"/>
      <c r="G45" s="2"/>
      <c r="H45" s="2"/>
      <c r="I45" s="2"/>
      <c r="J45" s="2"/>
      <c r="K45" s="2"/>
    </row>
    <row r="46" spans="1:11" x14ac:dyDescent="0.25">
      <c r="A46" s="2" t="s">
        <v>2012</v>
      </c>
      <c r="B46" s="2">
        <v>160</v>
      </c>
      <c r="C46" s="167">
        <v>8</v>
      </c>
      <c r="D46" s="49">
        <f>ROUND(B46*C46,0)</f>
        <v>1280</v>
      </c>
      <c r="E46" s="2"/>
      <c r="F46" s="2"/>
      <c r="G46" s="2"/>
      <c r="H46" s="2"/>
      <c r="I46" s="2"/>
      <c r="J46" s="2"/>
      <c r="K46" s="2"/>
    </row>
    <row r="47" spans="1:11" x14ac:dyDescent="0.25">
      <c r="A47" s="2" t="s">
        <v>2013</v>
      </c>
      <c r="B47" s="168">
        <v>160</v>
      </c>
      <c r="C47" s="168">
        <v>7.25</v>
      </c>
      <c r="D47" s="49">
        <f>ROUND(B47*C47,0)</f>
        <v>1160</v>
      </c>
      <c r="E47" s="2"/>
      <c r="F47" s="2"/>
      <c r="G47" s="19"/>
      <c r="H47" s="19"/>
      <c r="I47" s="19"/>
      <c r="J47" s="19"/>
      <c r="K47" s="19"/>
    </row>
    <row r="48" spans="1:11" ht="13.8" x14ac:dyDescent="0.3">
      <c r="A48" s="2" t="s">
        <v>2014</v>
      </c>
      <c r="B48" s="2"/>
      <c r="C48" s="2"/>
      <c r="D48" s="175">
        <v>656</v>
      </c>
      <c r="E48" s="2"/>
      <c r="F48" s="2"/>
      <c r="G48" s="2"/>
      <c r="H48" s="2"/>
      <c r="I48" s="2"/>
      <c r="J48" s="2"/>
      <c r="K48" s="2"/>
    </row>
    <row r="49" spans="1:11" ht="13.8" x14ac:dyDescent="0.3">
      <c r="A49" s="1" t="s">
        <v>1757</v>
      </c>
      <c r="B49" s="2"/>
      <c r="C49" s="2"/>
      <c r="D49" s="176">
        <f>SUM(D45:D48)</f>
        <v>6255</v>
      </c>
      <c r="E49" s="2"/>
      <c r="F49" s="2"/>
      <c r="G49" s="2"/>
      <c r="H49" s="2"/>
      <c r="I49" s="2"/>
      <c r="J49" s="2"/>
      <c r="K49" s="2"/>
    </row>
    <row r="50" spans="1:11" x14ac:dyDescent="0.25">
      <c r="A50" s="2" t="s">
        <v>660</v>
      </c>
      <c r="B50" s="2">
        <f>+D49:D49</f>
        <v>6255</v>
      </c>
      <c r="C50" s="15">
        <v>7.6499999999999999E-2</v>
      </c>
      <c r="D50" s="49">
        <f>ROUND(B50*C50,0)</f>
        <v>479</v>
      </c>
      <c r="E50" s="2"/>
      <c r="F50" s="2"/>
      <c r="G50" s="2"/>
      <c r="H50" s="2"/>
      <c r="I50" s="2"/>
      <c r="J50" s="2"/>
      <c r="K50" s="2"/>
    </row>
    <row r="51" spans="1:11" x14ac:dyDescent="0.25">
      <c r="A51" s="2" t="s">
        <v>661</v>
      </c>
      <c r="B51" s="2">
        <f>+D49</f>
        <v>6255</v>
      </c>
      <c r="C51" s="15">
        <v>2.3900000000000001E-2</v>
      </c>
      <c r="D51" s="49">
        <f>ROUND(B51*C51,0)</f>
        <v>149</v>
      </c>
      <c r="E51" s="2"/>
      <c r="F51" s="2"/>
      <c r="G51" s="2"/>
      <c r="H51" s="2"/>
      <c r="I51" s="2"/>
      <c r="J51" s="2"/>
      <c r="K51" s="2"/>
    </row>
    <row r="52" spans="1:11" x14ac:dyDescent="0.25">
      <c r="A52" s="2" t="s">
        <v>662</v>
      </c>
      <c r="B52" s="2">
        <f>+D49</f>
        <v>6255</v>
      </c>
      <c r="C52" s="15">
        <v>3.3999999999999998E-3</v>
      </c>
      <c r="D52" s="49">
        <f>ROUND(B52*C52,0)</f>
        <v>21</v>
      </c>
      <c r="E52" s="2"/>
      <c r="F52" s="2"/>
      <c r="G52" s="2"/>
      <c r="H52" s="2"/>
      <c r="I52" s="2"/>
      <c r="J52" s="2"/>
      <c r="K52" s="2"/>
    </row>
    <row r="53" spans="1:11" ht="13.8" x14ac:dyDescent="0.3">
      <c r="A53" s="2" t="s">
        <v>1758</v>
      </c>
      <c r="B53" s="2"/>
      <c r="C53" s="2"/>
      <c r="D53" s="176">
        <v>1408</v>
      </c>
      <c r="E53" s="2"/>
      <c r="F53" s="2"/>
      <c r="G53" s="2"/>
      <c r="H53" s="2"/>
      <c r="I53" s="2"/>
      <c r="J53" s="2"/>
      <c r="K53" s="2"/>
    </row>
    <row r="54" spans="1:11" ht="13.8" x14ac:dyDescent="0.3">
      <c r="A54" s="2" t="s">
        <v>2015</v>
      </c>
      <c r="B54" s="2" t="s">
        <v>2016</v>
      </c>
      <c r="C54" s="2"/>
      <c r="D54" s="176">
        <v>800</v>
      </c>
      <c r="E54" s="163"/>
      <c r="F54" s="2"/>
      <c r="G54" s="2"/>
      <c r="H54" s="2"/>
      <c r="I54" s="2"/>
      <c r="J54" s="2"/>
      <c r="K54" s="2"/>
    </row>
    <row r="55" spans="1:11" ht="13.8" x14ac:dyDescent="0.3">
      <c r="A55" s="2" t="s">
        <v>2005</v>
      </c>
      <c r="B55" s="2"/>
      <c r="C55" s="2"/>
      <c r="D55" s="176">
        <v>25</v>
      </c>
      <c r="E55" s="163"/>
      <c r="F55" s="2"/>
      <c r="G55" s="2"/>
      <c r="H55" s="2"/>
      <c r="I55" s="2"/>
      <c r="J55" s="2"/>
      <c r="K55" s="2"/>
    </row>
    <row r="56" spans="1:11" ht="13.8" x14ac:dyDescent="0.3">
      <c r="A56" s="2" t="s">
        <v>2017</v>
      </c>
      <c r="B56"/>
      <c r="C56"/>
      <c r="D56" s="176">
        <v>450</v>
      </c>
      <c r="E56" s="163"/>
      <c r="F56" s="2"/>
      <c r="G56" s="2"/>
      <c r="H56" s="2"/>
      <c r="I56" s="2"/>
      <c r="J56" s="2"/>
      <c r="K56" s="2"/>
    </row>
    <row r="57" spans="1:11" ht="13.8" x14ac:dyDescent="0.3">
      <c r="A57" s="2" t="s">
        <v>2018</v>
      </c>
      <c r="B57" s="2"/>
      <c r="C57" s="2"/>
      <c r="D57" s="176">
        <v>75</v>
      </c>
      <c r="E57" s="163"/>
      <c r="F57" s="2"/>
      <c r="G57" s="2"/>
      <c r="H57" s="2"/>
      <c r="I57" s="2"/>
      <c r="J57" s="2"/>
      <c r="K57" s="2"/>
    </row>
    <row r="58" spans="1:11" ht="13.8" x14ac:dyDescent="0.3">
      <c r="A58" s="2" t="s">
        <v>2007</v>
      </c>
      <c r="B58" s="2"/>
      <c r="C58" s="2"/>
      <c r="D58" s="176">
        <v>50</v>
      </c>
      <c r="E58" s="163"/>
      <c r="F58" s="2"/>
      <c r="G58" s="2"/>
      <c r="H58" s="2"/>
      <c r="I58" s="2"/>
      <c r="J58" s="2"/>
      <c r="K58" s="2"/>
    </row>
    <row r="59" spans="1:11" ht="13.8" x14ac:dyDescent="0.3">
      <c r="A59" s="2" t="s">
        <v>1888</v>
      </c>
      <c r="B59" s="2"/>
      <c r="C59" s="2"/>
      <c r="D59" s="175">
        <v>288</v>
      </c>
      <c r="E59" s="163"/>
      <c r="F59" s="2"/>
      <c r="G59" s="2"/>
      <c r="H59" s="2"/>
      <c r="I59" s="2"/>
      <c r="J59" s="2"/>
      <c r="K59" s="2"/>
    </row>
    <row r="60" spans="1:11" ht="14.4" x14ac:dyDescent="0.3">
      <c r="A60" s="169" t="s">
        <v>1279</v>
      </c>
      <c r="B60"/>
      <c r="C60"/>
      <c r="E60" s="198">
        <f>SUM(D49:D59)</f>
        <v>10000</v>
      </c>
      <c r="F60" s="2"/>
      <c r="G60" s="2"/>
      <c r="H60" s="2"/>
      <c r="I60" s="2"/>
      <c r="J60" s="2"/>
      <c r="K60" s="2"/>
    </row>
    <row r="61" spans="1:11" ht="14.4" x14ac:dyDescent="0.3">
      <c r="A61" s="169"/>
      <c r="B61"/>
      <c r="C61"/>
      <c r="D61" s="198"/>
      <c r="E61" s="163"/>
      <c r="F61" s="2"/>
      <c r="G61" s="2"/>
      <c r="H61" s="2"/>
      <c r="I61" s="2"/>
      <c r="J61" s="2"/>
      <c r="K61" s="2"/>
    </row>
    <row r="62" spans="1:11" ht="16.8" x14ac:dyDescent="0.55000000000000004">
      <c r="A62" s="82" t="s">
        <v>2019</v>
      </c>
      <c r="B62" s="2"/>
      <c r="C62" s="13"/>
      <c r="D62" s="69"/>
      <c r="E62" s="163"/>
      <c r="F62" s="2"/>
      <c r="G62" s="2"/>
      <c r="H62" s="2">
        <v>41090</v>
      </c>
      <c r="I62" s="2">
        <v>41090</v>
      </c>
      <c r="J62" s="2">
        <v>41090</v>
      </c>
      <c r="K62" s="2">
        <v>41090</v>
      </c>
    </row>
    <row r="63" spans="1:11" x14ac:dyDescent="0.25">
      <c r="A63" s="2" t="s">
        <v>2020</v>
      </c>
      <c r="B63" s="2">
        <v>360</v>
      </c>
      <c r="C63" s="167">
        <v>10</v>
      </c>
      <c r="D63" s="49">
        <f>ROUND(B63*C63,0)</f>
        <v>3600</v>
      </c>
      <c r="E63" s="163"/>
      <c r="F63" s="2"/>
      <c r="G63" s="2"/>
      <c r="H63" s="2"/>
      <c r="I63" s="2"/>
      <c r="J63" s="2"/>
      <c r="K63" s="2"/>
    </row>
    <row r="64" spans="1:11" x14ac:dyDescent="0.25">
      <c r="A64" s="2" t="s">
        <v>2021</v>
      </c>
      <c r="B64" s="2">
        <v>640</v>
      </c>
      <c r="C64" s="167">
        <v>8</v>
      </c>
      <c r="D64" s="49">
        <f>ROUND(B64*C64,0)</f>
        <v>5120</v>
      </c>
      <c r="E64" s="163"/>
      <c r="F64" s="2"/>
      <c r="G64" s="2"/>
      <c r="H64" s="2"/>
      <c r="I64" s="2"/>
      <c r="J64" s="2"/>
      <c r="K64" s="2"/>
    </row>
    <row r="65" spans="1:11" ht="13.8" x14ac:dyDescent="0.3">
      <c r="A65" s="2" t="s">
        <v>2014</v>
      </c>
      <c r="B65" s="2"/>
      <c r="C65" s="2"/>
      <c r="D65" s="175">
        <v>2732</v>
      </c>
      <c r="E65" s="163"/>
      <c r="F65" s="2"/>
      <c r="G65" s="2"/>
      <c r="H65" s="2"/>
      <c r="I65" s="2"/>
      <c r="J65" s="2"/>
      <c r="K65" s="2"/>
    </row>
    <row r="66" spans="1:11" ht="13.8" x14ac:dyDescent="0.3">
      <c r="A66" s="1" t="s">
        <v>1757</v>
      </c>
      <c r="B66" s="2"/>
      <c r="C66" s="2"/>
      <c r="D66" s="176">
        <f>SUM(D63:D65)</f>
        <v>11452</v>
      </c>
      <c r="E66" s="163"/>
      <c r="F66" s="2"/>
      <c r="G66" s="2"/>
      <c r="H66" s="2"/>
      <c r="I66" s="2"/>
      <c r="J66" s="2"/>
      <c r="K66" s="2"/>
    </row>
    <row r="67" spans="1:11" x14ac:dyDescent="0.25">
      <c r="A67" s="2" t="s">
        <v>660</v>
      </c>
      <c r="B67" s="2">
        <f>+D66:D66</f>
        <v>11452</v>
      </c>
      <c r="C67" s="15">
        <v>7.6499999999999999E-2</v>
      </c>
      <c r="D67" s="49">
        <f>ROUND(B67*C67,0)</f>
        <v>876</v>
      </c>
      <c r="E67" s="163"/>
      <c r="F67" s="2"/>
      <c r="G67" s="2"/>
      <c r="H67" s="2"/>
      <c r="I67" s="2"/>
      <c r="J67" s="2"/>
      <c r="K67" s="2"/>
    </row>
    <row r="68" spans="1:11" x14ac:dyDescent="0.25">
      <c r="A68" s="2" t="s">
        <v>661</v>
      </c>
      <c r="B68" s="2">
        <f>+D66</f>
        <v>11452</v>
      </c>
      <c r="C68" s="15">
        <v>2.3900000000000001E-2</v>
      </c>
      <c r="D68" s="49">
        <f>ROUND(B68*C68,0)</f>
        <v>274</v>
      </c>
      <c r="E68" s="163"/>
      <c r="F68" s="2"/>
      <c r="G68" s="2"/>
      <c r="H68" s="2"/>
      <c r="I68" s="2"/>
      <c r="J68" s="2"/>
      <c r="K68" s="2"/>
    </row>
    <row r="69" spans="1:11" x14ac:dyDescent="0.25">
      <c r="A69" s="2" t="s">
        <v>662</v>
      </c>
      <c r="B69" s="2">
        <f>+D66</f>
        <v>11452</v>
      </c>
      <c r="C69" s="15">
        <v>3.3999999999999998E-3</v>
      </c>
      <c r="D69" s="49">
        <f>ROUND(B69*C69,0)</f>
        <v>39</v>
      </c>
      <c r="E69" s="163"/>
      <c r="F69" s="2"/>
      <c r="G69" s="2"/>
      <c r="H69" s="2"/>
      <c r="I69" s="2"/>
      <c r="J69" s="2"/>
      <c r="K69" s="2"/>
    </row>
    <row r="70" spans="1:11" ht="13.8" x14ac:dyDescent="0.3">
      <c r="A70" s="2" t="s">
        <v>1758</v>
      </c>
      <c r="B70" s="2"/>
      <c r="C70" s="2"/>
      <c r="D70" s="176">
        <v>5860</v>
      </c>
      <c r="E70" s="163"/>
      <c r="F70" s="2"/>
      <c r="G70" s="2"/>
      <c r="H70" s="2"/>
      <c r="I70" s="2"/>
      <c r="J70" s="2"/>
      <c r="K70" s="2"/>
    </row>
    <row r="71" spans="1:11" ht="13.8" x14ac:dyDescent="0.3">
      <c r="A71" s="2" t="s">
        <v>2022</v>
      </c>
      <c r="B71" s="2"/>
      <c r="C71" s="2"/>
      <c r="D71" s="176">
        <v>12000</v>
      </c>
      <c r="E71" s="163"/>
      <c r="F71" s="2"/>
      <c r="G71" s="2"/>
      <c r="H71" s="2"/>
      <c r="I71" s="2"/>
      <c r="J71" s="2"/>
      <c r="K71" s="2"/>
    </row>
    <row r="72" spans="1:11" ht="13.8" x14ac:dyDescent="0.3">
      <c r="A72" s="2" t="s">
        <v>2023</v>
      </c>
      <c r="B72" s="170"/>
      <c r="C72" s="170"/>
      <c r="D72" s="176">
        <v>8000</v>
      </c>
      <c r="E72" s="163"/>
      <c r="F72" s="2"/>
      <c r="G72" s="2"/>
      <c r="H72" s="2"/>
      <c r="I72" s="2"/>
      <c r="J72" s="2"/>
      <c r="K72" s="2"/>
    </row>
    <row r="73" spans="1:11" ht="13.8" x14ac:dyDescent="0.3">
      <c r="A73" s="2" t="s">
        <v>2024</v>
      </c>
      <c r="B73" s="168" t="s">
        <v>2025</v>
      </c>
      <c r="C73"/>
      <c r="D73" s="176">
        <v>763</v>
      </c>
      <c r="E73" s="163"/>
      <c r="F73" s="2"/>
      <c r="G73" s="2"/>
      <c r="H73" s="2"/>
      <c r="I73" s="2"/>
      <c r="J73" s="2"/>
      <c r="K73" s="2"/>
    </row>
    <row r="74" spans="1:11" ht="13.8" x14ac:dyDescent="0.3">
      <c r="A74" s="2" t="s">
        <v>2005</v>
      </c>
      <c r="B74" s="2"/>
      <c r="C74" s="2"/>
      <c r="D74" s="176">
        <v>25</v>
      </c>
      <c r="E74" s="163"/>
      <c r="F74" s="2"/>
      <c r="G74" s="2"/>
      <c r="H74" s="2"/>
      <c r="I74" s="2"/>
      <c r="J74" s="2"/>
      <c r="K74" s="2"/>
    </row>
    <row r="75" spans="1:11" ht="13.8" x14ac:dyDescent="0.3">
      <c r="A75" s="2" t="s">
        <v>2018</v>
      </c>
      <c r="B75" s="2"/>
      <c r="C75" s="2"/>
      <c r="D75" s="176">
        <v>75</v>
      </c>
      <c r="E75" s="163"/>
      <c r="F75" s="2"/>
      <c r="G75" s="2"/>
      <c r="H75" s="2"/>
      <c r="I75" s="2"/>
      <c r="J75" s="2"/>
      <c r="K75" s="2"/>
    </row>
    <row r="76" spans="1:11" ht="13.8" x14ac:dyDescent="0.3">
      <c r="A76" s="2" t="s">
        <v>2017</v>
      </c>
      <c r="B76" s="170"/>
      <c r="C76" s="170"/>
      <c r="D76" s="176">
        <v>450</v>
      </c>
      <c r="E76" s="163"/>
      <c r="F76" s="2"/>
      <c r="G76" s="2"/>
      <c r="H76" s="2"/>
      <c r="I76" s="2"/>
      <c r="J76" s="2"/>
      <c r="K76" s="2"/>
    </row>
    <row r="77" spans="1:11" ht="13.8" x14ac:dyDescent="0.3">
      <c r="A77" s="2" t="s">
        <v>2007</v>
      </c>
      <c r="B77" s="2"/>
      <c r="C77" s="2"/>
      <c r="D77" s="176">
        <v>100</v>
      </c>
      <c r="E77" s="163"/>
      <c r="F77" s="2"/>
      <c r="G77" s="2"/>
      <c r="H77" s="2"/>
      <c r="I77" s="2"/>
      <c r="J77" s="2"/>
      <c r="K77" s="2"/>
    </row>
    <row r="78" spans="1:11" ht="13.8" x14ac:dyDescent="0.3">
      <c r="A78" s="2" t="s">
        <v>1888</v>
      </c>
      <c r="B78" s="2"/>
      <c r="C78" s="2"/>
      <c r="D78" s="175">
        <v>1176</v>
      </c>
      <c r="E78" s="163"/>
      <c r="F78" s="2"/>
      <c r="G78" s="2"/>
      <c r="H78" s="2"/>
      <c r="I78" s="2"/>
      <c r="J78" s="2"/>
      <c r="K78" s="2"/>
    </row>
    <row r="79" spans="1:11" ht="13.8" x14ac:dyDescent="0.3">
      <c r="A79" s="171" t="s">
        <v>1594</v>
      </c>
      <c r="B79" s="170"/>
      <c r="C79" s="170"/>
      <c r="E79" s="176">
        <f>SUM(D66:D78)</f>
        <v>41090</v>
      </c>
      <c r="F79" s="2"/>
      <c r="G79" s="2"/>
      <c r="H79" s="2"/>
      <c r="I79" s="2"/>
      <c r="J79" s="2"/>
      <c r="K79" s="2"/>
    </row>
    <row r="80" spans="1:11" x14ac:dyDescent="0.25">
      <c r="A80" s="2"/>
      <c r="B80" s="2"/>
      <c r="C80" s="13"/>
      <c r="D80" s="69"/>
      <c r="E80" s="163"/>
      <c r="F80" s="2"/>
      <c r="G80" s="2"/>
      <c r="H80" s="2"/>
      <c r="I80" s="2"/>
      <c r="J80" s="2"/>
      <c r="K80" s="2"/>
    </row>
    <row r="81" spans="1:11" ht="16.8" x14ac:dyDescent="0.55000000000000004">
      <c r="A81" s="82" t="s">
        <v>2026</v>
      </c>
      <c r="B81" s="2"/>
      <c r="C81" s="13"/>
      <c r="D81" s="69"/>
      <c r="E81" s="163"/>
      <c r="F81" s="2"/>
      <c r="G81" s="2"/>
      <c r="H81" s="2">
        <v>6652.35</v>
      </c>
      <c r="I81" s="2">
        <v>6652.35</v>
      </c>
      <c r="J81" s="2">
        <v>6652.35</v>
      </c>
      <c r="K81" s="2">
        <v>6652.35</v>
      </c>
    </row>
    <row r="82" spans="1:11" x14ac:dyDescent="0.25">
      <c r="A82" s="2" t="s">
        <v>2027</v>
      </c>
      <c r="B82" s="2">
        <v>90</v>
      </c>
      <c r="C82" s="167">
        <v>17.170000000000002</v>
      </c>
      <c r="D82" s="49">
        <f>ROUND(B82*C82,0)</f>
        <v>1545</v>
      </c>
      <c r="E82" s="163"/>
      <c r="F82" s="2"/>
      <c r="G82" s="2"/>
      <c r="H82" s="2"/>
      <c r="I82" s="2"/>
      <c r="J82" s="2"/>
      <c r="K82" s="2"/>
    </row>
    <row r="83" spans="1:11" x14ac:dyDescent="0.25">
      <c r="A83" s="2" t="s">
        <v>2028</v>
      </c>
      <c r="B83" s="2">
        <v>170</v>
      </c>
      <c r="C83" s="167">
        <v>9</v>
      </c>
      <c r="D83" s="49">
        <f>ROUND(B83*C83,0)</f>
        <v>1530</v>
      </c>
      <c r="E83" s="163"/>
      <c r="F83" s="2"/>
      <c r="G83" s="2"/>
      <c r="H83" s="2"/>
      <c r="I83" s="2"/>
      <c r="J83" s="2"/>
      <c r="K83" s="2"/>
    </row>
    <row r="84" spans="1:11" ht="13.8" x14ac:dyDescent="0.3">
      <c r="A84" s="2" t="s">
        <v>2029</v>
      </c>
      <c r="B84" s="2"/>
      <c r="C84" s="2"/>
      <c r="D84" s="175">
        <v>443</v>
      </c>
      <c r="E84" s="163"/>
      <c r="F84" s="2"/>
      <c r="G84" s="2"/>
      <c r="H84" s="2"/>
      <c r="I84" s="2"/>
      <c r="J84" s="2"/>
      <c r="K84" s="2"/>
    </row>
    <row r="85" spans="1:11" ht="13.8" x14ac:dyDescent="0.3">
      <c r="A85" s="1" t="s">
        <v>1757</v>
      </c>
      <c r="B85" s="2"/>
      <c r="C85" s="2"/>
      <c r="D85" s="176">
        <f>SUM(D82:D84)</f>
        <v>3518</v>
      </c>
      <c r="E85" s="163"/>
      <c r="F85" s="2"/>
      <c r="G85" s="2"/>
      <c r="H85" s="2"/>
      <c r="I85" s="2"/>
      <c r="J85" s="2"/>
      <c r="K85" s="2"/>
    </row>
    <row r="86" spans="1:11" x14ac:dyDescent="0.25">
      <c r="A86" s="2" t="s">
        <v>660</v>
      </c>
      <c r="B86" s="2">
        <f>+D85:D85</f>
        <v>3518</v>
      </c>
      <c r="C86" s="15">
        <v>7.6499999999999999E-2</v>
      </c>
      <c r="D86" s="49">
        <f>ROUND(B86*C86,0)</f>
        <v>269</v>
      </c>
      <c r="E86" s="163"/>
      <c r="F86" s="2"/>
      <c r="G86" s="2"/>
      <c r="H86" s="2"/>
      <c r="I86" s="2"/>
      <c r="J86" s="2"/>
      <c r="K86" s="2"/>
    </row>
    <row r="87" spans="1:11" x14ac:dyDescent="0.25">
      <c r="A87" s="2" t="s">
        <v>661</v>
      </c>
      <c r="B87" s="2">
        <f>+D85</f>
        <v>3518</v>
      </c>
      <c r="C87" s="15">
        <v>2.3900000000000001E-2</v>
      </c>
      <c r="D87" s="49">
        <f>ROUND(B87*C87,0)</f>
        <v>84</v>
      </c>
      <c r="E87" s="163"/>
      <c r="F87" s="2"/>
      <c r="G87" s="2"/>
      <c r="H87" s="2"/>
      <c r="I87" s="2"/>
      <c r="J87" s="2"/>
      <c r="K87" s="2"/>
    </row>
    <row r="88" spans="1:11" x14ac:dyDescent="0.25">
      <c r="A88" s="2" t="s">
        <v>662</v>
      </c>
      <c r="B88" s="2">
        <f>+D85</f>
        <v>3518</v>
      </c>
      <c r="C88" s="15">
        <v>3.3999999999999998E-3</v>
      </c>
      <c r="D88" s="49">
        <f>ROUND(B88*C88,0)</f>
        <v>12</v>
      </c>
      <c r="E88" s="163"/>
      <c r="F88" s="2"/>
      <c r="G88" s="2"/>
      <c r="H88" s="2"/>
      <c r="I88" s="2"/>
      <c r="J88" s="2"/>
      <c r="K88" s="2"/>
    </row>
    <row r="89" spans="1:11" ht="13.8" x14ac:dyDescent="0.3">
      <c r="A89" s="2" t="s">
        <v>1758</v>
      </c>
      <c r="B89" s="2"/>
      <c r="C89" s="2"/>
      <c r="D89" s="176">
        <v>951.35</v>
      </c>
      <c r="E89" s="163"/>
      <c r="F89" s="2"/>
      <c r="G89" s="2"/>
      <c r="H89" s="2"/>
      <c r="I89" s="2"/>
      <c r="J89" s="2"/>
      <c r="K89" s="2"/>
    </row>
    <row r="90" spans="1:11" ht="13.8" x14ac:dyDescent="0.3">
      <c r="A90" s="2" t="s">
        <v>2015</v>
      </c>
      <c r="B90" s="2" t="s">
        <v>2030</v>
      </c>
      <c r="C90" s="2"/>
      <c r="D90" s="176">
        <v>1000</v>
      </c>
      <c r="E90" s="163"/>
      <c r="F90" s="2"/>
      <c r="G90" s="2"/>
      <c r="H90" s="2"/>
      <c r="I90" s="2"/>
      <c r="J90" s="2"/>
      <c r="K90" s="2"/>
    </row>
    <row r="91" spans="1:11" x14ac:dyDescent="0.25">
      <c r="A91" s="2" t="s">
        <v>2031</v>
      </c>
      <c r="B91" t="s">
        <v>2032</v>
      </c>
      <c r="C91"/>
      <c r="D91" s="199">
        <v>504</v>
      </c>
      <c r="E91" s="2"/>
      <c r="F91" s="2"/>
      <c r="G91" s="2"/>
      <c r="H91" s="2"/>
      <c r="I91" s="2"/>
      <c r="J91" s="2"/>
      <c r="K91" s="2"/>
    </row>
    <row r="92" spans="1:11" ht="13.8" x14ac:dyDescent="0.3">
      <c r="A92" s="2" t="s">
        <v>2018</v>
      </c>
      <c r="B92" s="2"/>
      <c r="C92" s="2"/>
      <c r="D92" s="176">
        <v>75</v>
      </c>
      <c r="E92" s="2"/>
      <c r="F92" s="2"/>
      <c r="G92" s="2"/>
      <c r="H92" s="2"/>
      <c r="I92" s="2"/>
      <c r="J92" s="2"/>
      <c r="K92" s="2"/>
    </row>
    <row r="93" spans="1:11" ht="13.8" x14ac:dyDescent="0.3">
      <c r="A93" s="2" t="s">
        <v>2007</v>
      </c>
      <c r="B93" s="2"/>
      <c r="C93" s="2"/>
      <c r="D93" s="176">
        <v>50</v>
      </c>
      <c r="E93" s="2"/>
      <c r="F93" s="2"/>
      <c r="G93" s="2"/>
      <c r="H93" s="2"/>
      <c r="I93" s="2"/>
      <c r="J93" s="2"/>
      <c r="K93" s="2"/>
    </row>
    <row r="94" spans="1:11" ht="13.8" x14ac:dyDescent="0.3">
      <c r="A94" s="2" t="s">
        <v>1888</v>
      </c>
      <c r="B94" s="2"/>
      <c r="C94" s="2"/>
      <c r="D94" s="175">
        <v>189</v>
      </c>
      <c r="E94" s="2"/>
      <c r="F94" s="2"/>
      <c r="G94" s="2"/>
      <c r="H94" s="2"/>
      <c r="I94" s="2"/>
      <c r="J94" s="2"/>
      <c r="K94" s="2"/>
    </row>
    <row r="95" spans="1:11" ht="14.4" x14ac:dyDescent="0.3">
      <c r="A95" s="169" t="s">
        <v>1594</v>
      </c>
      <c r="B95"/>
      <c r="C95"/>
      <c r="E95" s="198">
        <f>SUM(D85:D94)</f>
        <v>6652.35</v>
      </c>
      <c r="F95" s="2"/>
      <c r="G95" s="2"/>
      <c r="H95" s="2"/>
      <c r="I95" s="2"/>
      <c r="J95" s="2"/>
      <c r="K95" s="2"/>
    </row>
    <row r="96" spans="1:11" ht="14.4" x14ac:dyDescent="0.3">
      <c r="A96" s="169"/>
      <c r="B96"/>
      <c r="C96"/>
      <c r="D96" s="198"/>
      <c r="E96" s="2"/>
      <c r="F96" s="2"/>
      <c r="G96" s="2"/>
      <c r="H96" s="2"/>
      <c r="I96" s="2"/>
      <c r="J96" s="2"/>
      <c r="K96" s="2"/>
    </row>
    <row r="97" spans="1:11" ht="13.8" x14ac:dyDescent="0.3">
      <c r="A97" s="11" t="s">
        <v>2033</v>
      </c>
      <c r="B97" s="2"/>
      <c r="C97" s="15"/>
      <c r="E97" s="2"/>
      <c r="F97" s="2"/>
      <c r="G97" s="2"/>
      <c r="H97" s="2"/>
      <c r="I97" s="2"/>
      <c r="J97" s="2"/>
      <c r="K97" s="2"/>
    </row>
    <row r="98" spans="1:11" ht="16.8" x14ac:dyDescent="0.55000000000000004">
      <c r="A98" s="82" t="s">
        <v>2034</v>
      </c>
      <c r="B98" s="2"/>
      <c r="C98" s="2"/>
      <c r="D98" s="176"/>
      <c r="E98" s="2"/>
      <c r="F98" s="2"/>
      <c r="G98" s="2"/>
      <c r="H98" s="2">
        <v>3404.7</v>
      </c>
      <c r="I98" s="2">
        <v>3404.7</v>
      </c>
      <c r="J98" s="2">
        <v>3404.7</v>
      </c>
      <c r="K98" s="2">
        <v>3404.7</v>
      </c>
    </row>
    <row r="99" spans="1:11" x14ac:dyDescent="0.25">
      <c r="A99" s="2" t="s">
        <v>2035</v>
      </c>
      <c r="B99" s="2">
        <v>192</v>
      </c>
      <c r="C99" s="167">
        <v>10</v>
      </c>
      <c r="D99" s="49">
        <f>ROUND(B99*C99,0)</f>
        <v>1920</v>
      </c>
      <c r="E99" s="2"/>
      <c r="F99" s="2"/>
      <c r="G99" s="2"/>
      <c r="H99" s="2"/>
      <c r="I99" s="2"/>
      <c r="J99" s="2"/>
      <c r="K99" s="2"/>
    </row>
    <row r="100" spans="1:11" ht="13.8" x14ac:dyDescent="0.3">
      <c r="A100" s="2" t="s">
        <v>2029</v>
      </c>
      <c r="B100" s="2"/>
      <c r="C100" s="2"/>
      <c r="D100" s="175">
        <v>231</v>
      </c>
      <c r="E100" s="2"/>
      <c r="F100" s="2"/>
      <c r="G100" s="2"/>
      <c r="H100" s="2"/>
      <c r="I100" s="2"/>
      <c r="J100" s="2"/>
      <c r="K100" s="2"/>
    </row>
    <row r="101" spans="1:11" ht="13.8" x14ac:dyDescent="0.3">
      <c r="A101" s="1" t="s">
        <v>1757</v>
      </c>
      <c r="B101" s="2"/>
      <c r="C101" s="2"/>
      <c r="D101" s="176">
        <f>SUM(D99:D100)</f>
        <v>2151</v>
      </c>
      <c r="E101" s="163"/>
      <c r="F101" s="2"/>
      <c r="G101" s="2"/>
      <c r="H101" s="2"/>
      <c r="I101" s="2"/>
      <c r="J101" s="2"/>
      <c r="K101" s="2"/>
    </row>
    <row r="102" spans="1:11" x14ac:dyDescent="0.25">
      <c r="A102" s="2" t="s">
        <v>660</v>
      </c>
      <c r="B102" s="2">
        <f>+D101:D101</f>
        <v>2151</v>
      </c>
      <c r="C102" s="15">
        <v>7.6499999999999999E-2</v>
      </c>
      <c r="D102" s="49">
        <f>ROUND(B102*C102,0)</f>
        <v>165</v>
      </c>
      <c r="E102" s="2"/>
      <c r="F102" s="2"/>
      <c r="G102" s="2"/>
      <c r="H102" s="2"/>
      <c r="I102" s="2"/>
      <c r="J102" s="2"/>
      <c r="K102" s="2"/>
    </row>
    <row r="103" spans="1:11" x14ac:dyDescent="0.25">
      <c r="A103" s="2" t="s">
        <v>661</v>
      </c>
      <c r="B103" s="2">
        <f>+D101</f>
        <v>2151</v>
      </c>
      <c r="C103" s="15">
        <v>2.3900000000000001E-2</v>
      </c>
      <c r="D103" s="49">
        <f>ROUND(B103*C103,0)</f>
        <v>51</v>
      </c>
      <c r="E103" s="2"/>
      <c r="F103" s="2"/>
      <c r="G103" s="2"/>
      <c r="H103" s="2"/>
      <c r="I103" s="2"/>
      <c r="J103" s="2"/>
      <c r="K103" s="2"/>
    </row>
    <row r="104" spans="1:11" x14ac:dyDescent="0.25">
      <c r="A104" s="2" t="s">
        <v>662</v>
      </c>
      <c r="B104" s="2">
        <f>+D101</f>
        <v>2151</v>
      </c>
      <c r="C104" s="15">
        <v>3.3999999999999998E-3</v>
      </c>
      <c r="D104" s="49">
        <f>ROUND(B104*C104,0)</f>
        <v>7</v>
      </c>
      <c r="E104" s="2"/>
      <c r="F104" s="2"/>
      <c r="G104" s="2"/>
      <c r="H104" s="2"/>
      <c r="I104" s="2"/>
      <c r="J104" s="2"/>
      <c r="K104" s="2"/>
    </row>
    <row r="105" spans="1:11" ht="13.8" x14ac:dyDescent="0.3">
      <c r="A105" s="2" t="s">
        <v>1758</v>
      </c>
      <c r="B105" s="2"/>
      <c r="C105" s="2"/>
      <c r="D105" s="176">
        <v>494.7</v>
      </c>
      <c r="E105" s="2"/>
      <c r="F105" s="2"/>
      <c r="G105" s="2"/>
      <c r="H105" s="2"/>
      <c r="I105" s="2"/>
      <c r="J105" s="2"/>
      <c r="K105" s="2"/>
    </row>
    <row r="106" spans="1:11" ht="13.8" x14ac:dyDescent="0.3">
      <c r="A106" s="2" t="s">
        <v>2036</v>
      </c>
      <c r="B106" s="2"/>
      <c r="C106" s="2"/>
      <c r="D106" s="176">
        <v>300</v>
      </c>
      <c r="E106" s="2"/>
      <c r="F106" s="2"/>
      <c r="G106" s="2"/>
      <c r="H106" s="2"/>
      <c r="I106" s="2"/>
      <c r="J106" s="2"/>
      <c r="K106" s="2"/>
    </row>
    <row r="107" spans="1:11" x14ac:dyDescent="0.25">
      <c r="A107" s="2" t="s">
        <v>2037</v>
      </c>
      <c r="B107"/>
      <c r="C107"/>
      <c r="D107" s="199">
        <v>50</v>
      </c>
      <c r="E107" s="2"/>
      <c r="F107" s="2"/>
      <c r="G107" s="2"/>
      <c r="H107" s="2"/>
      <c r="I107" s="2"/>
      <c r="J107" s="2"/>
      <c r="K107" s="2"/>
    </row>
    <row r="108" spans="1:11" ht="13.8" x14ac:dyDescent="0.3">
      <c r="A108" s="2" t="s">
        <v>2038</v>
      </c>
      <c r="B108" s="2"/>
      <c r="C108" s="2"/>
      <c r="D108" s="176">
        <v>50</v>
      </c>
      <c r="E108" s="2"/>
      <c r="F108" s="2"/>
      <c r="G108" s="2"/>
      <c r="H108" s="2"/>
      <c r="I108" s="2"/>
      <c r="J108" s="2"/>
      <c r="K108" s="2"/>
    </row>
    <row r="109" spans="1:11" ht="13.8" x14ac:dyDescent="0.3">
      <c r="A109" s="2" t="s">
        <v>2007</v>
      </c>
      <c r="B109" s="2"/>
      <c r="C109" s="2"/>
      <c r="D109" s="176">
        <v>40</v>
      </c>
      <c r="E109" s="2"/>
      <c r="F109" s="2"/>
      <c r="G109" s="2"/>
      <c r="H109" s="2"/>
      <c r="I109" s="2"/>
      <c r="J109" s="2"/>
      <c r="K109" s="2"/>
    </row>
    <row r="110" spans="1:11" ht="13.8" x14ac:dyDescent="0.3">
      <c r="A110" s="2" t="s">
        <v>1888</v>
      </c>
      <c r="B110" s="2"/>
      <c r="C110" s="2"/>
      <c r="D110" s="175">
        <v>96</v>
      </c>
      <c r="E110" s="2"/>
      <c r="F110" s="2"/>
      <c r="G110" s="2"/>
      <c r="H110" s="2"/>
      <c r="I110" s="2"/>
      <c r="J110" s="2"/>
      <c r="K110" s="2"/>
    </row>
    <row r="111" spans="1:11" ht="14.4" x14ac:dyDescent="0.3">
      <c r="A111" s="169" t="s">
        <v>1594</v>
      </c>
      <c r="B111"/>
      <c r="C111"/>
      <c r="E111" s="198">
        <f>SUM(D101:D110)</f>
        <v>3404.7</v>
      </c>
      <c r="F111" s="2"/>
      <c r="G111" s="2"/>
      <c r="H111" s="2"/>
      <c r="I111" s="2"/>
      <c r="J111" s="2"/>
      <c r="K111" s="2"/>
    </row>
    <row r="112" spans="1:11" x14ac:dyDescent="0.25">
      <c r="A112" s="2"/>
      <c r="B112" s="2"/>
      <c r="C112" s="13"/>
      <c r="E112" s="163"/>
      <c r="F112" s="2"/>
      <c r="G112" s="2"/>
      <c r="H112" s="2"/>
      <c r="I112" s="2"/>
      <c r="J112" s="2"/>
      <c r="K112" s="2"/>
    </row>
    <row r="113" spans="1:11" x14ac:dyDescent="0.25">
      <c r="A113" s="1"/>
      <c r="B113" s="2"/>
      <c r="C113" s="2"/>
      <c r="E113" s="2"/>
      <c r="F113" s="2"/>
      <c r="G113" s="2"/>
      <c r="H113" s="2"/>
      <c r="I113" s="2"/>
      <c r="J113" s="2"/>
      <c r="K113" s="2"/>
    </row>
    <row r="114" spans="1:11" ht="16.8" x14ac:dyDescent="0.55000000000000004">
      <c r="A114" s="82" t="s">
        <v>2039</v>
      </c>
      <c r="B114" s="2"/>
      <c r="C114" s="2"/>
      <c r="D114" s="176"/>
      <c r="E114" s="2"/>
      <c r="F114" s="2"/>
      <c r="G114" s="2"/>
      <c r="H114" s="2">
        <v>2469.4899999999998</v>
      </c>
      <c r="I114" s="2">
        <v>2469.4899999999998</v>
      </c>
      <c r="J114" s="2">
        <v>2469.4899999999998</v>
      </c>
      <c r="K114" s="2">
        <v>2469.4899999999998</v>
      </c>
    </row>
    <row r="115" spans="1:11" x14ac:dyDescent="0.25">
      <c r="A115" s="2" t="s">
        <v>2040</v>
      </c>
      <c r="B115" s="2">
        <v>160</v>
      </c>
      <c r="C115" s="167">
        <v>9.5</v>
      </c>
      <c r="D115" s="49">
        <f>ROUND(B115*C115,0)</f>
        <v>1520</v>
      </c>
      <c r="E115" s="2"/>
      <c r="F115" s="2"/>
      <c r="G115" s="2"/>
      <c r="H115" s="2"/>
      <c r="I115" s="2"/>
      <c r="J115" s="2"/>
      <c r="K115" s="2"/>
    </row>
    <row r="116" spans="1:11" ht="13.8" x14ac:dyDescent="0.3">
      <c r="A116" s="2" t="s">
        <v>2029</v>
      </c>
      <c r="B116" s="2"/>
      <c r="C116" s="2"/>
      <c r="D116" s="175">
        <v>160</v>
      </c>
      <c r="E116" s="2"/>
      <c r="F116" s="2"/>
      <c r="G116" s="2"/>
      <c r="H116" s="2"/>
      <c r="I116" s="2"/>
      <c r="J116" s="2"/>
      <c r="K116" s="2"/>
    </row>
    <row r="117" spans="1:11" ht="13.8" x14ac:dyDescent="0.3">
      <c r="A117" s="1" t="s">
        <v>1757</v>
      </c>
      <c r="B117" s="2"/>
      <c r="C117" s="2"/>
      <c r="D117" s="176">
        <f>SUM(D115:D116)</f>
        <v>1680</v>
      </c>
      <c r="E117" s="2"/>
      <c r="F117" s="2"/>
      <c r="G117" s="2"/>
      <c r="H117" s="2"/>
      <c r="I117" s="2"/>
      <c r="J117" s="2"/>
      <c r="K117" s="2"/>
    </row>
    <row r="118" spans="1:11" x14ac:dyDescent="0.25">
      <c r="A118" s="2" t="s">
        <v>660</v>
      </c>
      <c r="B118" s="2">
        <f>+D117:D117</f>
        <v>1680</v>
      </c>
      <c r="C118" s="15">
        <v>7.6499999999999999E-2</v>
      </c>
      <c r="D118" s="49">
        <f>ROUND(B118*C118,0)</f>
        <v>129</v>
      </c>
      <c r="E118" s="2"/>
      <c r="F118" s="2"/>
      <c r="G118" s="2"/>
      <c r="H118" s="2"/>
      <c r="I118" s="2"/>
      <c r="J118" s="2"/>
      <c r="K118" s="2"/>
    </row>
    <row r="119" spans="1:11" x14ac:dyDescent="0.25">
      <c r="A119" s="2" t="s">
        <v>661</v>
      </c>
      <c r="B119" s="2">
        <f>+D117</f>
        <v>1680</v>
      </c>
      <c r="C119" s="15">
        <v>2.3900000000000001E-2</v>
      </c>
      <c r="D119" s="49">
        <f>ROUND(B119*C119,0)</f>
        <v>40</v>
      </c>
      <c r="E119" s="2"/>
      <c r="F119" s="2"/>
      <c r="G119" s="2"/>
      <c r="H119" s="2"/>
      <c r="I119" s="2"/>
      <c r="J119" s="2"/>
      <c r="K119" s="2"/>
    </row>
    <row r="120" spans="1:11" x14ac:dyDescent="0.25">
      <c r="A120" s="2" t="s">
        <v>662</v>
      </c>
      <c r="B120" s="2">
        <f>+D117</f>
        <v>1680</v>
      </c>
      <c r="C120" s="15">
        <v>3.3999999999999998E-3</v>
      </c>
      <c r="D120" s="49">
        <f>ROUND(B120*C120,0)</f>
        <v>6</v>
      </c>
      <c r="E120" s="2"/>
      <c r="F120" s="2"/>
      <c r="G120" s="2"/>
      <c r="H120" s="2"/>
      <c r="I120" s="2"/>
      <c r="J120" s="2"/>
      <c r="K120" s="2"/>
    </row>
    <row r="121" spans="1:11" ht="13.8" x14ac:dyDescent="0.3">
      <c r="A121" s="2" t="s">
        <v>1758</v>
      </c>
      <c r="B121" s="2"/>
      <c r="C121" s="2"/>
      <c r="D121" s="176">
        <v>342.49</v>
      </c>
      <c r="E121" s="2"/>
      <c r="F121" s="2"/>
      <c r="G121" s="2"/>
      <c r="H121" s="2"/>
      <c r="I121" s="2"/>
      <c r="J121" s="2"/>
      <c r="K121" s="2"/>
    </row>
    <row r="122" spans="1:11" ht="13.8" x14ac:dyDescent="0.3">
      <c r="A122" s="2" t="s">
        <v>2015</v>
      </c>
      <c r="B122" s="2"/>
      <c r="C122" s="2"/>
      <c r="D122" s="176">
        <v>150</v>
      </c>
      <c r="E122" s="2"/>
      <c r="F122" s="2"/>
      <c r="G122" s="2"/>
      <c r="H122" s="2"/>
      <c r="I122" s="2"/>
      <c r="J122" s="2"/>
      <c r="K122" s="2"/>
    </row>
    <row r="123" spans="1:11" ht="13.8" x14ac:dyDescent="0.3">
      <c r="A123" s="2" t="s">
        <v>2041</v>
      </c>
      <c r="B123" s="2"/>
      <c r="C123" s="2"/>
      <c r="D123" s="176">
        <v>25</v>
      </c>
      <c r="E123" s="2"/>
      <c r="F123" s="2"/>
      <c r="G123" s="2"/>
      <c r="H123" s="2"/>
      <c r="I123" s="2"/>
      <c r="J123" s="2"/>
      <c r="K123" s="2"/>
    </row>
    <row r="124" spans="1:11" ht="13.8" x14ac:dyDescent="0.3">
      <c r="A124" s="2" t="s">
        <v>2007</v>
      </c>
      <c r="B124" s="2"/>
      <c r="C124" s="2"/>
      <c r="D124" s="176">
        <v>25</v>
      </c>
      <c r="E124" s="2"/>
      <c r="F124" s="2"/>
      <c r="G124" s="2"/>
      <c r="H124" s="2"/>
      <c r="I124" s="2"/>
      <c r="J124" s="2"/>
      <c r="K124" s="2"/>
    </row>
    <row r="125" spans="1:11" ht="13.8" x14ac:dyDescent="0.3">
      <c r="A125" s="2" t="s">
        <v>1888</v>
      </c>
      <c r="B125" s="2"/>
      <c r="C125" s="2"/>
      <c r="D125" s="175">
        <v>72</v>
      </c>
      <c r="E125" s="2"/>
      <c r="F125" s="2"/>
      <c r="G125" s="2"/>
      <c r="H125" s="2"/>
      <c r="I125" s="2"/>
      <c r="J125" s="2"/>
      <c r="K125" s="2"/>
    </row>
    <row r="126" spans="1:11" ht="14.4" x14ac:dyDescent="0.3">
      <c r="A126" s="169" t="s">
        <v>1594</v>
      </c>
      <c r="B126"/>
      <c r="C126"/>
      <c r="E126" s="198">
        <f>SUM(D117:D125)</f>
        <v>2469.4899999999998</v>
      </c>
      <c r="F126" s="2"/>
      <c r="G126" s="2"/>
      <c r="H126" s="2"/>
      <c r="I126" s="2"/>
      <c r="J126" s="2"/>
      <c r="K126" s="2"/>
    </row>
    <row r="127" spans="1:11" x14ac:dyDescent="0.25">
      <c r="A127" s="2"/>
      <c r="B127" s="2"/>
      <c r="C127" s="15"/>
      <c r="E127" s="2"/>
      <c r="F127" s="2"/>
      <c r="G127" s="2"/>
      <c r="H127" s="2"/>
      <c r="I127" s="2"/>
      <c r="J127" s="2"/>
      <c r="K127" s="2"/>
    </row>
    <row r="128" spans="1:11" ht="16.8" x14ac:dyDescent="0.55000000000000004">
      <c r="A128" s="82" t="s">
        <v>2042</v>
      </c>
      <c r="B128" s="2"/>
      <c r="C128" s="2"/>
      <c r="D128" s="176"/>
      <c r="E128" s="2"/>
      <c r="F128" s="2"/>
      <c r="G128" s="2"/>
      <c r="H128" s="2">
        <v>9265.89</v>
      </c>
      <c r="I128" s="2">
        <v>9265.89</v>
      </c>
      <c r="J128" s="2">
        <v>9265.89</v>
      </c>
      <c r="K128" s="2">
        <v>9265.89</v>
      </c>
    </row>
    <row r="129" spans="1:11" x14ac:dyDescent="0.25">
      <c r="A129" s="2" t="s">
        <v>2043</v>
      </c>
      <c r="B129" s="2">
        <v>135</v>
      </c>
      <c r="C129" s="167">
        <v>13.98</v>
      </c>
      <c r="D129" s="49">
        <f>ROUND(B129*C129,0)</f>
        <v>1887</v>
      </c>
      <c r="E129" s="2"/>
      <c r="F129" s="2"/>
      <c r="G129" s="2"/>
      <c r="H129" s="2"/>
      <c r="I129" s="2"/>
      <c r="J129" s="2"/>
      <c r="K129" s="2"/>
    </row>
    <row r="130" spans="1:11" x14ac:dyDescent="0.25">
      <c r="A130" s="168" t="s">
        <v>2044</v>
      </c>
      <c r="B130">
        <v>240</v>
      </c>
      <c r="C130" s="172">
        <v>8</v>
      </c>
      <c r="D130" s="49">
        <f>ROUND(B130*C130,0)</f>
        <v>1920</v>
      </c>
      <c r="E130" s="2"/>
      <c r="F130" s="2"/>
      <c r="G130" s="2"/>
      <c r="H130" s="2"/>
      <c r="I130" s="2"/>
      <c r="J130" s="2"/>
      <c r="K130" s="2"/>
    </row>
    <row r="131" spans="1:11" x14ac:dyDescent="0.25">
      <c r="A131" s="168" t="s">
        <v>2045</v>
      </c>
      <c r="B131">
        <v>120</v>
      </c>
      <c r="C131" s="172">
        <v>13</v>
      </c>
      <c r="D131" s="49">
        <f>ROUND(B131*C131,0)</f>
        <v>1560</v>
      </c>
      <c r="E131" s="2"/>
      <c r="F131" s="2"/>
      <c r="G131" s="2"/>
      <c r="H131" s="2"/>
      <c r="I131" s="2"/>
      <c r="J131" s="2"/>
      <c r="K131" s="2"/>
    </row>
    <row r="132" spans="1:11" ht="13.8" x14ac:dyDescent="0.3">
      <c r="A132" s="54" t="s">
        <v>2014</v>
      </c>
      <c r="B132" s="2"/>
      <c r="C132" s="2"/>
      <c r="D132" s="175">
        <v>621</v>
      </c>
      <c r="E132" s="2"/>
      <c r="F132" s="2"/>
      <c r="G132" s="2"/>
      <c r="H132" s="2"/>
      <c r="I132" s="2"/>
      <c r="J132" s="2"/>
      <c r="K132" s="2"/>
    </row>
    <row r="133" spans="1:11" ht="13.8" x14ac:dyDescent="0.3">
      <c r="A133" s="1" t="s">
        <v>1757</v>
      </c>
      <c r="B133" s="2"/>
      <c r="C133" s="2"/>
      <c r="D133" s="176">
        <f>SUM(D129:D132)</f>
        <v>5988</v>
      </c>
      <c r="E133" s="2"/>
      <c r="F133" s="2"/>
      <c r="G133" s="2"/>
      <c r="H133" s="2"/>
      <c r="I133" s="2"/>
      <c r="J133" s="2"/>
      <c r="K133" s="2"/>
    </row>
    <row r="134" spans="1:11" x14ac:dyDescent="0.25">
      <c r="A134" s="2" t="s">
        <v>660</v>
      </c>
      <c r="B134" s="2">
        <f>+D133:D133</f>
        <v>5988</v>
      </c>
      <c r="C134" s="15">
        <v>7.6499999999999999E-2</v>
      </c>
      <c r="D134" s="49">
        <f>ROUND(B134*C134,0)</f>
        <v>458</v>
      </c>
      <c r="E134" s="2"/>
      <c r="F134" s="2"/>
      <c r="G134" s="2"/>
      <c r="H134" s="2"/>
      <c r="I134" s="2"/>
      <c r="J134" s="2"/>
      <c r="K134" s="2"/>
    </row>
    <row r="135" spans="1:11" x14ac:dyDescent="0.25">
      <c r="A135" s="2" t="s">
        <v>661</v>
      </c>
      <c r="B135" s="2">
        <f>+D133</f>
        <v>5988</v>
      </c>
      <c r="C135" s="15">
        <v>2.3900000000000001E-2</v>
      </c>
      <c r="D135" s="49">
        <f>ROUND(B135*C135,0)</f>
        <v>143</v>
      </c>
      <c r="E135" s="2"/>
      <c r="F135" s="2"/>
      <c r="G135" s="2"/>
      <c r="H135" s="2"/>
      <c r="I135" s="2"/>
      <c r="J135" s="2"/>
      <c r="K135" s="2"/>
    </row>
    <row r="136" spans="1:11" x14ac:dyDescent="0.25">
      <c r="A136" s="2" t="s">
        <v>662</v>
      </c>
      <c r="B136" s="2">
        <f>+D133</f>
        <v>5988</v>
      </c>
      <c r="C136" s="15">
        <v>3.3999999999999998E-3</v>
      </c>
      <c r="D136" s="49">
        <f>ROUND(B136*C136,0)</f>
        <v>20</v>
      </c>
      <c r="E136" s="2"/>
      <c r="F136" s="2"/>
      <c r="G136" s="2"/>
      <c r="H136" s="2"/>
      <c r="I136" s="2"/>
      <c r="J136" s="2"/>
      <c r="K136" s="2"/>
    </row>
    <row r="137" spans="1:11" ht="13.8" x14ac:dyDescent="0.3">
      <c r="A137" s="2" t="s">
        <v>1758</v>
      </c>
      <c r="B137" s="2"/>
      <c r="C137" s="2"/>
      <c r="D137" s="176">
        <v>1331.89</v>
      </c>
      <c r="E137" s="2"/>
      <c r="F137" s="2"/>
      <c r="G137" s="2"/>
      <c r="H137" s="2"/>
      <c r="I137" s="2"/>
      <c r="J137" s="2"/>
      <c r="K137" s="2"/>
    </row>
    <row r="138" spans="1:11" ht="13.8" x14ac:dyDescent="0.3">
      <c r="A138" s="2" t="s">
        <v>2015</v>
      </c>
      <c r="B138" s="2"/>
      <c r="C138" s="2"/>
      <c r="D138" s="176">
        <v>150</v>
      </c>
      <c r="E138" s="2"/>
      <c r="F138" s="2"/>
      <c r="G138" s="2"/>
      <c r="H138" s="2"/>
      <c r="I138" s="2"/>
      <c r="J138" s="2"/>
      <c r="K138" s="2"/>
    </row>
    <row r="139" spans="1:11" ht="13.8" x14ac:dyDescent="0.3">
      <c r="A139" s="2" t="s">
        <v>2046</v>
      </c>
      <c r="B139" s="2"/>
      <c r="C139" s="2"/>
      <c r="D139" s="176">
        <v>100</v>
      </c>
      <c r="E139" s="2"/>
      <c r="F139" s="2"/>
      <c r="G139" s="2"/>
      <c r="H139" s="2"/>
      <c r="I139" s="2"/>
      <c r="J139" s="2"/>
      <c r="K139" s="2"/>
    </row>
    <row r="140" spans="1:11" ht="13.8" x14ac:dyDescent="0.3">
      <c r="A140" s="2" t="s">
        <v>2047</v>
      </c>
      <c r="B140"/>
      <c r="C140"/>
      <c r="D140" s="176">
        <v>800</v>
      </c>
      <c r="E140" s="2"/>
      <c r="F140" s="2"/>
      <c r="G140" s="2"/>
      <c r="H140" s="2"/>
      <c r="I140" s="2"/>
      <c r="J140" s="2"/>
      <c r="K140" s="2"/>
    </row>
    <row r="141" spans="1:11" ht="13.8" x14ac:dyDescent="0.3">
      <c r="A141" s="2" t="s">
        <v>2007</v>
      </c>
      <c r="B141" s="2"/>
      <c r="C141" s="2"/>
      <c r="D141" s="176">
        <v>50</v>
      </c>
      <c r="E141" s="163"/>
      <c r="F141" s="2"/>
      <c r="G141" s="2"/>
      <c r="H141" s="2"/>
      <c r="I141" s="2"/>
      <c r="J141" s="2"/>
      <c r="K141" s="2"/>
    </row>
    <row r="142" spans="1:11" ht="13.8" x14ac:dyDescent="0.3">
      <c r="A142" s="2" t="s">
        <v>1888</v>
      </c>
      <c r="B142" s="2"/>
      <c r="C142" s="2"/>
      <c r="D142" s="175">
        <v>225</v>
      </c>
      <c r="F142" s="2"/>
      <c r="G142" s="2"/>
      <c r="H142" s="2"/>
      <c r="I142" s="2"/>
      <c r="J142" s="2"/>
      <c r="K142" s="2"/>
    </row>
    <row r="143" spans="1:11" ht="15.6" x14ac:dyDescent="0.4">
      <c r="A143" s="169" t="s">
        <v>1594</v>
      </c>
      <c r="B143"/>
      <c r="C143"/>
      <c r="E143" s="198">
        <f>SUM(D133:D142)</f>
        <v>9265.89</v>
      </c>
      <c r="F143" s="2"/>
      <c r="G143" s="2"/>
      <c r="H143" s="12">
        <v>0</v>
      </c>
      <c r="I143" s="12">
        <v>0</v>
      </c>
      <c r="J143" s="12">
        <v>0</v>
      </c>
      <c r="K143" s="12">
        <v>0</v>
      </c>
    </row>
    <row r="144" spans="1:11" x14ac:dyDescent="0.25">
      <c r="A144" s="2"/>
      <c r="B144" s="2"/>
      <c r="C144" s="13"/>
      <c r="E144" s="2"/>
      <c r="F144" s="2"/>
      <c r="G144" s="2"/>
      <c r="J144" s="213"/>
      <c r="K144" s="213"/>
    </row>
    <row r="145" spans="1:11" x14ac:dyDescent="0.25">
      <c r="A145" s="2" t="s">
        <v>2049</v>
      </c>
      <c r="B145" s="2"/>
      <c r="C145" s="13"/>
      <c r="E145" s="2"/>
      <c r="F145" s="2"/>
      <c r="G145" s="2"/>
      <c r="H145" s="2">
        <f>SUM(H9:H143)</f>
        <v>262603.90000000002</v>
      </c>
      <c r="I145" s="2">
        <f>SUM(I9:I143)</f>
        <v>262603.90000000002</v>
      </c>
      <c r="J145" s="2">
        <f>SUM(J9:J143)</f>
        <v>262603.90000000002</v>
      </c>
      <c r="K145" s="2">
        <f>SUM(K9:K143)</f>
        <v>262603.90000000002</v>
      </c>
    </row>
    <row r="146" spans="1:11" x14ac:dyDescent="0.25">
      <c r="F146" s="2"/>
      <c r="G146" s="2"/>
      <c r="H146" s="2"/>
      <c r="I146" s="2"/>
      <c r="J146" s="2"/>
      <c r="K146" s="2"/>
    </row>
    <row r="147" spans="1:11" x14ac:dyDescent="0.25">
      <c r="J147" s="213"/>
      <c r="K147" s="213"/>
    </row>
    <row r="148" spans="1:11" x14ac:dyDescent="0.25">
      <c r="J148" s="213"/>
      <c r="K148" s="213"/>
    </row>
    <row r="149" spans="1:11" x14ac:dyDescent="0.25">
      <c r="J149" s="213"/>
      <c r="K149" s="213"/>
    </row>
    <row r="150" spans="1:11" x14ac:dyDescent="0.25">
      <c r="J150" s="213"/>
      <c r="K150" s="213"/>
    </row>
    <row r="151" spans="1:11" x14ac:dyDescent="0.25">
      <c r="J151" s="213"/>
      <c r="K151" s="213"/>
    </row>
    <row r="152" spans="1:11" x14ac:dyDescent="0.25">
      <c r="J152" s="213"/>
      <c r="K152" s="213"/>
    </row>
    <row r="153" spans="1:11" x14ac:dyDescent="0.25">
      <c r="J153" s="213"/>
      <c r="K153" s="213"/>
    </row>
    <row r="154" spans="1:11" x14ac:dyDescent="0.25">
      <c r="J154" s="213"/>
      <c r="K154" s="213"/>
    </row>
    <row r="155" spans="1:11" x14ac:dyDescent="0.25">
      <c r="J155" s="213"/>
      <c r="K155" s="213"/>
    </row>
    <row r="156" spans="1:11" x14ac:dyDescent="0.25">
      <c r="J156" s="213"/>
      <c r="K156" s="213"/>
    </row>
    <row r="157" spans="1:11" x14ac:dyDescent="0.25">
      <c r="J157" s="213"/>
      <c r="K157" s="213"/>
    </row>
    <row r="158" spans="1:11" x14ac:dyDescent="0.25">
      <c r="J158" s="213"/>
      <c r="K158" s="213"/>
    </row>
    <row r="159" spans="1:11" x14ac:dyDescent="0.25">
      <c r="J159" s="213"/>
      <c r="K159" s="213"/>
    </row>
    <row r="160" spans="1:11" x14ac:dyDescent="0.25">
      <c r="J160" s="213"/>
      <c r="K160" s="213"/>
    </row>
    <row r="161" spans="10:11" x14ac:dyDescent="0.25">
      <c r="J161" s="213"/>
      <c r="K161" s="213"/>
    </row>
    <row r="162" spans="10:11" x14ac:dyDescent="0.25">
      <c r="J162" s="213"/>
      <c r="K162" s="213"/>
    </row>
    <row r="163" spans="10:11" x14ac:dyDescent="0.25">
      <c r="J163" s="213"/>
      <c r="K163" s="213"/>
    </row>
    <row r="164" spans="10:11" x14ac:dyDescent="0.25">
      <c r="J164" s="213"/>
      <c r="K164" s="213"/>
    </row>
    <row r="165" spans="10:11" x14ac:dyDescent="0.25">
      <c r="J165" s="213"/>
      <c r="K165" s="213"/>
    </row>
    <row r="166" spans="10:11" x14ac:dyDescent="0.25">
      <c r="J166" s="213"/>
      <c r="K166" s="213"/>
    </row>
    <row r="167" spans="10:11" x14ac:dyDescent="0.25">
      <c r="J167" s="213"/>
      <c r="K167" s="213"/>
    </row>
    <row r="168" spans="10:11" x14ac:dyDescent="0.25">
      <c r="J168" s="213"/>
      <c r="K168" s="213"/>
    </row>
    <row r="169" spans="10:11" x14ac:dyDescent="0.25">
      <c r="J169" s="213"/>
      <c r="K169" s="213"/>
    </row>
    <row r="170" spans="10:11" x14ac:dyDescent="0.25">
      <c r="J170" s="213"/>
      <c r="K170" s="213"/>
    </row>
    <row r="171" spans="10:11" x14ac:dyDescent="0.25">
      <c r="J171" s="213"/>
      <c r="K171" s="213"/>
    </row>
    <row r="172" spans="10:11" x14ac:dyDescent="0.25">
      <c r="J172" s="213"/>
      <c r="K172" s="213"/>
    </row>
    <row r="173" spans="10:11" x14ac:dyDescent="0.25">
      <c r="J173" s="213"/>
      <c r="K173" s="213"/>
    </row>
    <row r="174" spans="10:11" x14ac:dyDescent="0.25">
      <c r="J174" s="213"/>
      <c r="K174" s="213"/>
    </row>
    <row r="175" spans="10:11" x14ac:dyDescent="0.25">
      <c r="J175" s="213"/>
      <c r="K175" s="213"/>
    </row>
    <row r="176" spans="10:11" x14ac:dyDescent="0.25">
      <c r="J176" s="213"/>
      <c r="K176" s="213"/>
    </row>
    <row r="177" spans="10:11" x14ac:dyDescent="0.25">
      <c r="J177" s="213"/>
      <c r="K177" s="213"/>
    </row>
    <row r="178" spans="10:11" x14ac:dyDescent="0.25">
      <c r="J178" s="213"/>
      <c r="K178" s="213"/>
    </row>
    <row r="179" spans="10:11" x14ac:dyDescent="0.25">
      <c r="J179" s="213"/>
      <c r="K179" s="213"/>
    </row>
    <row r="180" spans="10:11" x14ac:dyDescent="0.25">
      <c r="J180" s="213"/>
      <c r="K180" s="213"/>
    </row>
    <row r="181" spans="10:11" x14ac:dyDescent="0.25">
      <c r="J181" s="213"/>
      <c r="K181" s="213"/>
    </row>
  </sheetData>
  <mergeCells count="2">
    <mergeCell ref="A1:J1"/>
    <mergeCell ref="A6:G6"/>
  </mergeCells>
  <printOptions gridLines="1"/>
  <pageMargins left="0.75" right="0.16" top="0.51" bottom="0.22" header="0.5" footer="0"/>
  <pageSetup scale="79" fitToHeight="7" orientation="landscape" r:id="rId1"/>
  <headerFooter alignWithMargins="0"/>
  <rowBreaks count="3" manualBreakCount="3">
    <brk id="43" max="10" man="1"/>
    <brk id="80" max="10" man="1"/>
    <brk id="113"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58"/>
  <sheetViews>
    <sheetView view="pageBreakPreview" zoomScaleNormal="100" zoomScaleSheetLayoutView="100" workbookViewId="0">
      <selection sqref="A1:J1"/>
    </sheetView>
  </sheetViews>
  <sheetFormatPr defaultRowHeight="13.2" x14ac:dyDescent="0.25"/>
  <cols>
    <col min="1" max="1" width="57.109375" style="8" bestFit="1" customWidth="1"/>
    <col min="2" max="3" width="8.88671875" style="8" customWidth="1"/>
    <col min="4" max="4" width="11" style="8" bestFit="1" customWidth="1"/>
    <col min="5" max="5" width="11.33203125" style="8" bestFit="1" customWidth="1"/>
    <col min="6" max="6" width="9" style="8" bestFit="1" customWidth="1"/>
    <col min="7" max="7" width="10.88671875" style="8" bestFit="1" customWidth="1"/>
    <col min="8" max="8" width="14" style="8" bestFit="1" customWidth="1"/>
    <col min="9" max="9" width="9" style="8" bestFit="1" customWidth="1"/>
    <col min="10" max="10" width="8.77734375" style="8" bestFit="1" customWidth="1"/>
    <col min="11" max="16384" width="8.88671875" style="8"/>
  </cols>
  <sheetData>
    <row r="1" spans="1:10" x14ac:dyDescent="0.25">
      <c r="A1" s="217" t="s">
        <v>1972</v>
      </c>
      <c r="B1" s="218"/>
      <c r="C1" s="218"/>
      <c r="D1" s="218"/>
      <c r="E1" s="218"/>
      <c r="F1" s="218"/>
      <c r="G1" s="218"/>
      <c r="H1" s="218"/>
      <c r="I1" s="218"/>
      <c r="J1" s="218"/>
    </row>
    <row r="2" spans="1:10" ht="17.399999999999999" x14ac:dyDescent="0.3">
      <c r="A2" s="202" t="s">
        <v>2240</v>
      </c>
      <c r="B2" s="202"/>
      <c r="C2" s="202"/>
      <c r="D2" s="202"/>
      <c r="E2" s="202"/>
      <c r="F2" s="202"/>
    </row>
    <row r="3" spans="1:10" x14ac:dyDescent="0.25">
      <c r="B3" s="2"/>
      <c r="C3" s="2"/>
      <c r="D3" s="2"/>
      <c r="E3" s="2"/>
      <c r="F3" s="2"/>
    </row>
    <row r="4" spans="1:10" x14ac:dyDescent="0.25">
      <c r="B4" s="2"/>
      <c r="C4" s="2"/>
      <c r="D4" s="2"/>
      <c r="E4" s="23" t="s">
        <v>251</v>
      </c>
      <c r="F4" s="23" t="s">
        <v>252</v>
      </c>
      <c r="G4" s="23" t="s">
        <v>73</v>
      </c>
      <c r="H4" s="23" t="s">
        <v>430</v>
      </c>
      <c r="I4" s="2" t="s">
        <v>330</v>
      </c>
      <c r="J4" s="2" t="s">
        <v>364</v>
      </c>
    </row>
    <row r="5" spans="1:10" ht="15" x14ac:dyDescent="0.4">
      <c r="B5" s="2"/>
      <c r="C5" s="2"/>
      <c r="D5" s="2"/>
      <c r="E5" s="10" t="s">
        <v>1684</v>
      </c>
      <c r="F5" s="10" t="s">
        <v>1874</v>
      </c>
      <c r="G5" s="10" t="s">
        <v>1944</v>
      </c>
      <c r="H5" s="10" t="s">
        <v>1944</v>
      </c>
      <c r="I5" s="10" t="s">
        <v>1944</v>
      </c>
      <c r="J5" s="10" t="s">
        <v>1944</v>
      </c>
    </row>
    <row r="6" spans="1:10" ht="13.8" x14ac:dyDescent="0.3">
      <c r="A6" s="11" t="s">
        <v>1577</v>
      </c>
      <c r="B6" s="2"/>
      <c r="C6" s="2"/>
      <c r="D6" s="2"/>
      <c r="E6" s="2">
        <v>51480</v>
      </c>
      <c r="F6" s="2">
        <v>56057</v>
      </c>
      <c r="G6" s="2">
        <v>55070</v>
      </c>
      <c r="H6" s="2">
        <v>55070</v>
      </c>
      <c r="I6" s="2">
        <v>55070</v>
      </c>
      <c r="J6" s="2">
        <v>56162</v>
      </c>
    </row>
    <row r="7" spans="1:10" x14ac:dyDescent="0.25">
      <c r="A7" s="8" t="s">
        <v>1498</v>
      </c>
      <c r="B7" s="2">
        <v>52</v>
      </c>
      <c r="C7" s="2">
        <v>1061</v>
      </c>
      <c r="D7" s="2">
        <f>ROUND(B7*C7,0)</f>
        <v>55172</v>
      </c>
      <c r="E7" s="2"/>
      <c r="F7" s="2"/>
      <c r="G7" s="2"/>
      <c r="H7" s="2"/>
      <c r="I7" s="2"/>
      <c r="J7" s="2"/>
    </row>
    <row r="8" spans="1:10" ht="15" x14ac:dyDescent="0.4">
      <c r="A8" s="2" t="s">
        <v>995</v>
      </c>
      <c r="B8" s="2"/>
      <c r="C8" s="2"/>
      <c r="D8" s="12">
        <v>990</v>
      </c>
      <c r="E8" s="2"/>
      <c r="F8" s="2"/>
      <c r="G8" s="2"/>
      <c r="H8" s="2"/>
      <c r="I8" s="2"/>
      <c r="J8" s="2"/>
    </row>
    <row r="9" spans="1:10" x14ac:dyDescent="0.25">
      <c r="B9" s="2"/>
      <c r="C9" s="2"/>
      <c r="D9" s="2">
        <f>SUM(D7:D8)</f>
        <v>56162</v>
      </c>
      <c r="E9" s="2"/>
      <c r="F9" s="2"/>
      <c r="G9" s="2"/>
      <c r="H9" s="2"/>
      <c r="I9" s="2"/>
      <c r="J9" s="2"/>
    </row>
    <row r="10" spans="1:10" x14ac:dyDescent="0.25">
      <c r="B10" s="2"/>
      <c r="C10" s="2"/>
      <c r="D10" s="2"/>
      <c r="E10" s="2"/>
      <c r="F10" s="2"/>
      <c r="G10" s="2"/>
      <c r="H10" s="2"/>
      <c r="I10" s="2"/>
      <c r="J10" s="2"/>
    </row>
    <row r="11" spans="1:10" ht="13.8" x14ac:dyDescent="0.3">
      <c r="A11" s="11" t="s">
        <v>329</v>
      </c>
      <c r="B11" s="2"/>
      <c r="C11" s="2"/>
      <c r="D11" s="2"/>
      <c r="E11" s="2">
        <v>94037</v>
      </c>
      <c r="F11" s="2">
        <v>100594</v>
      </c>
      <c r="G11" s="2">
        <v>98800</v>
      </c>
      <c r="H11" s="2">
        <v>98800</v>
      </c>
      <c r="I11" s="2">
        <v>98800</v>
      </c>
      <c r="J11" s="2">
        <v>100828</v>
      </c>
    </row>
    <row r="12" spans="1:10" x14ac:dyDescent="0.25">
      <c r="A12" s="8" t="s">
        <v>341</v>
      </c>
      <c r="B12" s="2">
        <v>52</v>
      </c>
      <c r="C12" s="2">
        <v>1147</v>
      </c>
      <c r="D12" s="2">
        <f>ROUND(B12*C12,0)</f>
        <v>59644</v>
      </c>
      <c r="E12" s="2"/>
      <c r="F12" s="2"/>
      <c r="G12" s="2"/>
      <c r="H12" s="2"/>
      <c r="I12" s="2"/>
      <c r="J12" s="2"/>
    </row>
    <row r="13" spans="1:10" ht="15" x14ac:dyDescent="0.4">
      <c r="A13" s="8" t="s">
        <v>1578</v>
      </c>
      <c r="B13" s="2">
        <v>52</v>
      </c>
      <c r="C13" s="2">
        <v>792</v>
      </c>
      <c r="D13" s="12">
        <f>ROUND(B13*C13,0)</f>
        <v>41184</v>
      </c>
      <c r="E13" s="2"/>
      <c r="F13" s="12"/>
      <c r="G13" s="12"/>
      <c r="H13" s="12"/>
      <c r="I13" s="12"/>
      <c r="J13" s="12"/>
    </row>
    <row r="14" spans="1:10" x14ac:dyDescent="0.25">
      <c r="A14" s="8" t="s">
        <v>1279</v>
      </c>
      <c r="B14" s="2"/>
      <c r="C14" s="2"/>
      <c r="D14" s="2">
        <f>SUM(D12:D13)</f>
        <v>100828</v>
      </c>
      <c r="E14" s="2"/>
      <c r="F14" s="2"/>
      <c r="G14" s="2"/>
      <c r="H14" s="2"/>
      <c r="I14" s="2"/>
      <c r="J14" s="2"/>
    </row>
    <row r="15" spans="1:10" x14ac:dyDescent="0.25">
      <c r="B15" s="2"/>
      <c r="C15" s="2"/>
      <c r="D15" s="2"/>
      <c r="E15" s="2"/>
      <c r="F15" s="2"/>
      <c r="G15" s="2"/>
      <c r="H15" s="2"/>
      <c r="I15" s="2"/>
      <c r="J15" s="2"/>
    </row>
    <row r="16" spans="1:10" ht="13.8" x14ac:dyDescent="0.3">
      <c r="A16" s="11" t="s">
        <v>151</v>
      </c>
      <c r="D16" s="2"/>
      <c r="E16" s="2">
        <v>10364</v>
      </c>
      <c r="F16" s="2">
        <v>11983</v>
      </c>
      <c r="G16" s="2">
        <v>11771</v>
      </c>
      <c r="H16" s="2">
        <v>11771</v>
      </c>
      <c r="I16" s="2">
        <v>11771</v>
      </c>
      <c r="J16" s="2">
        <v>12009</v>
      </c>
    </row>
    <row r="17" spans="1:10" hidden="1" x14ac:dyDescent="0.25">
      <c r="A17" s="14" t="s">
        <v>1511</v>
      </c>
      <c r="B17" s="2">
        <f>+D9</f>
        <v>56162</v>
      </c>
      <c r="C17" s="15">
        <v>7.6499999999999999E-2</v>
      </c>
      <c r="D17" s="2">
        <f>ROUND(B17*C17,0)</f>
        <v>4296</v>
      </c>
      <c r="E17" s="2"/>
      <c r="I17" s="209"/>
      <c r="J17" s="213"/>
    </row>
    <row r="18" spans="1:10" ht="15" hidden="1" x14ac:dyDescent="0.4">
      <c r="A18" s="14" t="s">
        <v>831</v>
      </c>
      <c r="B18" s="2">
        <f>+D14</f>
        <v>100828</v>
      </c>
      <c r="C18" s="15">
        <v>7.6499999999999999E-2</v>
      </c>
      <c r="D18" s="12">
        <f>ROUND(B18*C18,0)</f>
        <v>7713</v>
      </c>
      <c r="E18" s="12"/>
      <c r="F18" s="12"/>
      <c r="G18" s="12"/>
      <c r="H18" s="12"/>
      <c r="I18" s="12"/>
      <c r="J18" s="12"/>
    </row>
    <row r="19" spans="1:10" hidden="1" x14ac:dyDescent="0.25">
      <c r="A19" s="8" t="s">
        <v>1279</v>
      </c>
      <c r="B19" s="2"/>
      <c r="D19" s="2">
        <f>SUM(D17:D18)</f>
        <v>12009</v>
      </c>
      <c r="E19" s="2"/>
      <c r="F19" s="2"/>
      <c r="G19" s="2"/>
      <c r="H19" s="2"/>
      <c r="I19" s="2"/>
      <c r="J19" s="2"/>
    </row>
    <row r="20" spans="1:10" x14ac:dyDescent="0.25">
      <c r="B20" s="2"/>
      <c r="D20" s="2"/>
      <c r="E20" s="2"/>
      <c r="F20" s="2"/>
      <c r="G20" s="2"/>
      <c r="H20" s="2"/>
      <c r="I20" s="2"/>
      <c r="J20" s="2"/>
    </row>
    <row r="21" spans="1:10" ht="13.8" x14ac:dyDescent="0.3">
      <c r="A21" s="16" t="s">
        <v>1453</v>
      </c>
      <c r="B21" s="2"/>
      <c r="D21" s="2"/>
      <c r="E21" s="2">
        <v>16265</v>
      </c>
      <c r="F21" s="2">
        <v>17498</v>
      </c>
      <c r="G21" s="2">
        <v>18695</v>
      </c>
      <c r="H21" s="2">
        <v>18695</v>
      </c>
      <c r="I21" s="2">
        <v>18695</v>
      </c>
      <c r="J21" s="2">
        <v>19075</v>
      </c>
    </row>
    <row r="22" spans="1:10" hidden="1" x14ac:dyDescent="0.25">
      <c r="A22" s="14" t="s">
        <v>1511</v>
      </c>
      <c r="B22" s="2">
        <f>+B17</f>
        <v>56162</v>
      </c>
      <c r="C22" s="15">
        <v>0.1215</v>
      </c>
      <c r="D22" s="2">
        <f>ROUND(B22*C22,0)</f>
        <v>6824</v>
      </c>
      <c r="E22" s="2"/>
      <c r="F22" s="2"/>
      <c r="G22" s="2"/>
      <c r="H22" s="2"/>
      <c r="I22" s="2"/>
      <c r="J22" s="2"/>
    </row>
    <row r="23" spans="1:10" ht="15" hidden="1" x14ac:dyDescent="0.4">
      <c r="A23" s="14" t="s">
        <v>831</v>
      </c>
      <c r="B23" s="2">
        <f>+D14</f>
        <v>100828</v>
      </c>
      <c r="C23" s="15">
        <v>0.1215</v>
      </c>
      <c r="D23" s="12">
        <f>ROUND(B23*C23,0)</f>
        <v>12251</v>
      </c>
      <c r="E23" s="12"/>
      <c r="F23" s="12"/>
      <c r="G23" s="12"/>
      <c r="H23" s="12"/>
      <c r="I23" s="12"/>
      <c r="J23" s="12"/>
    </row>
    <row r="24" spans="1:10" hidden="1" x14ac:dyDescent="0.25">
      <c r="A24" s="8" t="s">
        <v>1279</v>
      </c>
      <c r="D24" s="2">
        <f>SUM(D22:D23)</f>
        <v>19075</v>
      </c>
      <c r="E24" s="2"/>
      <c r="F24" s="2"/>
      <c r="G24" s="2"/>
      <c r="H24" s="2"/>
      <c r="I24" s="2"/>
      <c r="J24" s="2"/>
    </row>
    <row r="25" spans="1:10" x14ac:dyDescent="0.25">
      <c r="D25" s="2"/>
      <c r="E25" s="2"/>
      <c r="F25" s="2"/>
      <c r="G25" s="2"/>
      <c r="H25" s="2"/>
      <c r="I25" s="2"/>
      <c r="J25" s="2"/>
    </row>
    <row r="26" spans="1:10" ht="13.8" x14ac:dyDescent="0.3">
      <c r="A26" s="11" t="s">
        <v>1554</v>
      </c>
      <c r="D26" s="2"/>
      <c r="E26" s="2">
        <v>53253</v>
      </c>
      <c r="F26" s="2">
        <v>51000</v>
      </c>
      <c r="G26" s="2">
        <v>51750</v>
      </c>
      <c r="H26" s="2">
        <v>51750</v>
      </c>
      <c r="I26" s="2">
        <v>51750</v>
      </c>
      <c r="J26" s="2">
        <v>51750</v>
      </c>
    </row>
    <row r="27" spans="1:10" x14ac:dyDescent="0.25">
      <c r="A27" s="8" t="s">
        <v>438</v>
      </c>
      <c r="B27" s="2">
        <v>3</v>
      </c>
      <c r="C27" s="2">
        <v>17250</v>
      </c>
      <c r="D27" s="2">
        <f>ROUND(B27*C27,0)</f>
        <v>51750</v>
      </c>
      <c r="E27" s="2"/>
      <c r="F27" s="2"/>
      <c r="G27" s="2"/>
      <c r="H27" s="2"/>
      <c r="I27" s="2"/>
      <c r="J27" s="2"/>
    </row>
    <row r="28" spans="1:10" x14ac:dyDescent="0.25">
      <c r="D28" s="2"/>
      <c r="E28" s="2"/>
      <c r="F28" s="2"/>
      <c r="G28" s="2"/>
      <c r="H28" s="2"/>
      <c r="I28" s="2"/>
      <c r="J28" s="2"/>
    </row>
    <row r="29" spans="1:10" ht="13.8" x14ac:dyDescent="0.3">
      <c r="A29" s="11" t="s">
        <v>352</v>
      </c>
      <c r="D29" s="2"/>
      <c r="E29" s="2">
        <v>3561</v>
      </c>
      <c r="F29" s="2">
        <v>3510</v>
      </c>
      <c r="G29" s="2">
        <v>3510</v>
      </c>
      <c r="H29" s="2">
        <v>3510</v>
      </c>
      <c r="I29" s="2">
        <v>3510</v>
      </c>
      <c r="J29" s="2">
        <v>3510</v>
      </c>
    </row>
    <row r="30" spans="1:10" x14ac:dyDescent="0.25">
      <c r="A30" s="2" t="s">
        <v>438</v>
      </c>
      <c r="B30" s="2">
        <v>3</v>
      </c>
      <c r="C30" s="2">
        <v>1300</v>
      </c>
      <c r="D30" s="2">
        <f>ROUND(B30*C30,0)</f>
        <v>3900</v>
      </c>
      <c r="E30" s="2"/>
      <c r="F30" s="2"/>
      <c r="G30" s="2"/>
      <c r="H30" s="2"/>
      <c r="I30" s="2"/>
      <c r="J30" s="2"/>
    </row>
    <row r="31" spans="1:10" ht="15" x14ac:dyDescent="0.4">
      <c r="A31" s="2" t="s">
        <v>245</v>
      </c>
      <c r="B31" s="2"/>
      <c r="C31" s="2"/>
      <c r="D31" s="12">
        <f>-C30*0.1*B30</f>
        <v>-390</v>
      </c>
      <c r="E31" s="2"/>
      <c r="F31" s="2"/>
      <c r="G31" s="2"/>
      <c r="H31" s="2"/>
      <c r="I31" s="2"/>
      <c r="J31" s="2"/>
    </row>
    <row r="32" spans="1:10" x14ac:dyDescent="0.25">
      <c r="A32" s="8" t="s">
        <v>825</v>
      </c>
      <c r="D32" s="2">
        <f>SUM(D30:D31)</f>
        <v>3510</v>
      </c>
      <c r="E32" s="2"/>
      <c r="F32" s="2"/>
      <c r="G32" s="2"/>
      <c r="H32" s="2"/>
      <c r="I32" s="2"/>
      <c r="J32" s="2"/>
    </row>
    <row r="33" spans="1:10" ht="13.8" x14ac:dyDescent="0.3">
      <c r="A33" s="11" t="s">
        <v>1344</v>
      </c>
      <c r="D33" s="2"/>
      <c r="E33" s="2">
        <v>331</v>
      </c>
      <c r="F33" s="2">
        <v>405</v>
      </c>
      <c r="G33" s="2">
        <v>405</v>
      </c>
      <c r="H33" s="2">
        <v>405</v>
      </c>
      <c r="I33" s="2">
        <v>405</v>
      </c>
      <c r="J33" s="2">
        <v>405</v>
      </c>
    </row>
    <row r="34" spans="1:10" hidden="1" x14ac:dyDescent="0.25">
      <c r="A34" s="8" t="s">
        <v>1450</v>
      </c>
      <c r="B34" s="2">
        <v>3</v>
      </c>
      <c r="C34" s="2">
        <v>135</v>
      </c>
      <c r="D34" s="2">
        <f>ROUND(B34*C34,0)</f>
        <v>405</v>
      </c>
      <c r="E34" s="2"/>
      <c r="F34" s="2"/>
      <c r="G34" s="2"/>
      <c r="H34" s="2"/>
      <c r="I34" s="2"/>
      <c r="J34" s="2"/>
    </row>
    <row r="35" spans="1:10" x14ac:dyDescent="0.25">
      <c r="D35" s="2"/>
      <c r="E35" s="2"/>
      <c r="F35" s="2"/>
      <c r="G35" s="2"/>
      <c r="H35" s="2"/>
      <c r="I35" s="2"/>
      <c r="J35" s="2"/>
    </row>
    <row r="36" spans="1:10" ht="13.8" x14ac:dyDescent="0.3">
      <c r="A36" s="11" t="s">
        <v>1345</v>
      </c>
      <c r="D36" s="2"/>
      <c r="E36" s="2">
        <v>1636</v>
      </c>
      <c r="F36" s="2">
        <v>1230</v>
      </c>
      <c r="G36" s="2">
        <v>1230</v>
      </c>
      <c r="H36" s="2">
        <v>1230</v>
      </c>
      <c r="I36" s="2">
        <v>1230</v>
      </c>
      <c r="J36" s="2">
        <v>1230</v>
      </c>
    </row>
    <row r="37" spans="1:10" hidden="1" x14ac:dyDescent="0.25">
      <c r="A37" s="8" t="s">
        <v>850</v>
      </c>
      <c r="B37" s="2">
        <v>3</v>
      </c>
      <c r="C37" s="2">
        <v>410</v>
      </c>
      <c r="D37" s="2">
        <f>ROUND(B37*C37,0)</f>
        <v>1230</v>
      </c>
      <c r="E37" s="2"/>
      <c r="F37" s="2"/>
      <c r="G37" s="2"/>
      <c r="H37" s="2"/>
      <c r="I37" s="2"/>
      <c r="J37" s="2"/>
    </row>
    <row r="38" spans="1:10" x14ac:dyDescent="0.25">
      <c r="D38" s="2"/>
      <c r="E38" s="2"/>
      <c r="F38" s="2"/>
      <c r="G38" s="2"/>
      <c r="H38" s="2"/>
      <c r="I38" s="2"/>
      <c r="J38" s="2"/>
    </row>
    <row r="39" spans="1:10" ht="13.8" x14ac:dyDescent="0.3">
      <c r="A39" s="11" t="s">
        <v>1346</v>
      </c>
      <c r="D39" s="2"/>
      <c r="E39" s="2">
        <v>2006</v>
      </c>
      <c r="F39" s="2">
        <v>2420</v>
      </c>
      <c r="G39" s="2">
        <v>2101</v>
      </c>
      <c r="H39" s="2">
        <v>2101</v>
      </c>
      <c r="I39" s="2">
        <v>2101</v>
      </c>
      <c r="J39" s="2">
        <v>2142</v>
      </c>
    </row>
    <row r="40" spans="1:10" hidden="1" x14ac:dyDescent="0.25">
      <c r="A40" s="14" t="s">
        <v>1511</v>
      </c>
      <c r="B40" s="2">
        <f>+D9</f>
        <v>56162</v>
      </c>
      <c r="C40" s="15">
        <v>3.5099999999999999E-2</v>
      </c>
      <c r="D40" s="2">
        <f>ROUND(B40*C40,0)</f>
        <v>1971</v>
      </c>
      <c r="E40" s="2"/>
      <c r="F40" s="2"/>
      <c r="G40" s="2"/>
      <c r="H40" s="2"/>
      <c r="I40" s="2"/>
      <c r="J40" s="2"/>
    </row>
    <row r="41" spans="1:10" ht="15" hidden="1" x14ac:dyDescent="0.4">
      <c r="A41" s="14" t="s">
        <v>831</v>
      </c>
      <c r="B41" s="2">
        <f>+D14</f>
        <v>100828</v>
      </c>
      <c r="C41" s="15">
        <v>1.6999999999999999E-3</v>
      </c>
      <c r="D41" s="12">
        <f>ROUND(B41*C41,0)</f>
        <v>171</v>
      </c>
      <c r="E41" s="12"/>
      <c r="F41" s="12"/>
      <c r="G41" s="12"/>
      <c r="H41" s="12"/>
      <c r="I41" s="12"/>
      <c r="J41" s="12"/>
    </row>
    <row r="42" spans="1:10" hidden="1" x14ac:dyDescent="0.25">
      <c r="A42" s="8" t="s">
        <v>1279</v>
      </c>
      <c r="D42" s="2">
        <f>SUM(D40:D41)</f>
        <v>2142</v>
      </c>
      <c r="E42" s="2"/>
      <c r="F42" s="2"/>
      <c r="G42" s="2"/>
      <c r="H42" s="2"/>
      <c r="I42" s="2"/>
      <c r="J42" s="2"/>
    </row>
    <row r="43" spans="1:10" x14ac:dyDescent="0.25">
      <c r="D43" s="2"/>
      <c r="E43" s="2"/>
      <c r="F43" s="2"/>
      <c r="G43" s="2"/>
      <c r="H43" s="2"/>
      <c r="I43" s="2"/>
      <c r="J43" s="2"/>
    </row>
    <row r="44" spans="1:10" ht="13.8" x14ac:dyDescent="0.3">
      <c r="A44" s="11" t="s">
        <v>10</v>
      </c>
      <c r="D44" s="2"/>
      <c r="E44" s="2">
        <v>143</v>
      </c>
      <c r="F44" s="2">
        <v>144</v>
      </c>
      <c r="G44" s="2">
        <v>105</v>
      </c>
      <c r="H44" s="2">
        <v>105</v>
      </c>
      <c r="I44" s="2">
        <v>105</v>
      </c>
      <c r="J44" s="2">
        <v>105</v>
      </c>
    </row>
    <row r="45" spans="1:10" hidden="1" x14ac:dyDescent="0.25">
      <c r="A45" s="14" t="s">
        <v>1511</v>
      </c>
      <c r="B45" s="2">
        <v>1</v>
      </c>
      <c r="C45" s="2">
        <v>35</v>
      </c>
      <c r="D45" s="2">
        <f>ROUND(B45*C45,0)</f>
        <v>35</v>
      </c>
      <c r="E45" s="2"/>
      <c r="F45" s="2"/>
      <c r="G45" s="2"/>
      <c r="H45" s="2"/>
      <c r="I45" s="2"/>
      <c r="J45" s="2"/>
    </row>
    <row r="46" spans="1:10" ht="15" hidden="1" x14ac:dyDescent="0.4">
      <c r="A46" s="14" t="s">
        <v>831</v>
      </c>
      <c r="B46" s="2">
        <v>2</v>
      </c>
      <c r="C46" s="2">
        <v>35</v>
      </c>
      <c r="D46" s="12">
        <f>ROUND(B46*C46,0)</f>
        <v>70</v>
      </c>
      <c r="E46" s="12"/>
      <c r="F46" s="12"/>
      <c r="G46" s="12"/>
      <c r="H46" s="12"/>
      <c r="I46" s="12"/>
      <c r="J46" s="12"/>
    </row>
    <row r="47" spans="1:10" hidden="1" x14ac:dyDescent="0.25">
      <c r="A47" s="8" t="s">
        <v>1279</v>
      </c>
      <c r="D47" s="2">
        <f>SUM(D45:D46)</f>
        <v>105</v>
      </c>
      <c r="E47" s="2"/>
      <c r="F47" s="2"/>
      <c r="G47" s="2"/>
      <c r="H47" s="2"/>
      <c r="I47" s="2"/>
      <c r="J47" s="2"/>
    </row>
    <row r="48" spans="1:10" x14ac:dyDescent="0.25">
      <c r="D48" s="2"/>
      <c r="E48" s="2"/>
      <c r="F48" s="2"/>
      <c r="G48" s="2"/>
      <c r="H48" s="2"/>
      <c r="I48" s="2"/>
      <c r="J48" s="2"/>
    </row>
    <row r="49" spans="1:10" ht="13.8" x14ac:dyDescent="0.3">
      <c r="A49" s="11" t="s">
        <v>1234</v>
      </c>
      <c r="D49" s="2"/>
      <c r="E49" s="2">
        <v>441</v>
      </c>
      <c r="F49" s="2">
        <v>1500</v>
      </c>
      <c r="G49" s="2">
        <v>1500</v>
      </c>
      <c r="H49" s="2">
        <v>1500</v>
      </c>
      <c r="I49" s="2">
        <v>1500</v>
      </c>
      <c r="J49" s="2">
        <v>1500</v>
      </c>
    </row>
    <row r="50" spans="1:10" x14ac:dyDescent="0.25">
      <c r="A50" s="8" t="s">
        <v>1235</v>
      </c>
      <c r="C50" s="2"/>
      <c r="D50" s="2">
        <v>1500</v>
      </c>
      <c r="E50" s="2"/>
      <c r="F50" s="2"/>
      <c r="G50" s="2"/>
      <c r="H50" s="2"/>
      <c r="I50" s="2"/>
      <c r="J50" s="2"/>
    </row>
    <row r="51" spans="1:10" x14ac:dyDescent="0.25">
      <c r="C51" s="2"/>
      <c r="D51" s="2"/>
      <c r="E51" s="2"/>
      <c r="F51" s="2"/>
      <c r="G51" s="2"/>
      <c r="H51" s="2"/>
      <c r="I51" s="2"/>
      <c r="J51" s="2"/>
    </row>
    <row r="52" spans="1:10" ht="13.8" x14ac:dyDescent="0.3">
      <c r="A52" s="11" t="s">
        <v>11</v>
      </c>
      <c r="C52" s="9"/>
      <c r="D52" s="9" t="s">
        <v>417</v>
      </c>
      <c r="E52" s="2">
        <v>7</v>
      </c>
      <c r="F52" s="2">
        <v>300</v>
      </c>
      <c r="G52" s="2">
        <v>300</v>
      </c>
      <c r="H52" s="2">
        <v>300</v>
      </c>
      <c r="I52" s="2">
        <v>300</v>
      </c>
      <c r="J52" s="2">
        <v>300</v>
      </c>
    </row>
    <row r="53" spans="1:10" x14ac:dyDescent="0.25">
      <c r="A53" s="7" t="s">
        <v>1472</v>
      </c>
      <c r="B53" s="7"/>
      <c r="C53" s="2"/>
      <c r="D53" s="2">
        <v>300</v>
      </c>
      <c r="E53" s="2"/>
      <c r="F53" s="2"/>
      <c r="G53" s="2"/>
      <c r="H53" s="2"/>
      <c r="I53" s="2"/>
      <c r="J53" s="2"/>
    </row>
    <row r="54" spans="1:10" ht="15" hidden="1" x14ac:dyDescent="0.4">
      <c r="A54" s="8" t="s">
        <v>417</v>
      </c>
      <c r="C54" s="12"/>
      <c r="D54" s="12" t="s">
        <v>417</v>
      </c>
      <c r="E54" s="12"/>
      <c r="F54" s="12"/>
      <c r="G54" s="12"/>
      <c r="H54" s="12"/>
      <c r="I54" s="12"/>
      <c r="J54" s="12"/>
    </row>
    <row r="55" spans="1:10" hidden="1" x14ac:dyDescent="0.25">
      <c r="A55" s="8" t="s">
        <v>1279</v>
      </c>
      <c r="C55" s="2"/>
      <c r="D55" s="2">
        <f>SUM(D53:D54)</f>
        <v>300</v>
      </c>
      <c r="E55" s="2"/>
      <c r="F55" s="2"/>
      <c r="G55" s="2"/>
      <c r="H55" s="2"/>
      <c r="I55" s="2"/>
      <c r="J55" s="2"/>
    </row>
    <row r="56" spans="1:10" x14ac:dyDescent="0.25">
      <c r="C56" s="2"/>
      <c r="D56" s="2"/>
      <c r="E56" s="2"/>
      <c r="F56" s="2"/>
      <c r="G56" s="2"/>
      <c r="H56" s="2"/>
      <c r="I56" s="2"/>
      <c r="J56" s="2"/>
    </row>
    <row r="57" spans="1:10" ht="13.8" x14ac:dyDescent="0.3">
      <c r="A57" s="11" t="s">
        <v>12</v>
      </c>
      <c r="C57" s="2"/>
      <c r="D57" s="2"/>
      <c r="E57" s="2">
        <v>322</v>
      </c>
      <c r="F57" s="2">
        <v>200</v>
      </c>
      <c r="G57" s="2">
        <v>200</v>
      </c>
      <c r="H57" s="2">
        <v>200</v>
      </c>
      <c r="I57" s="2">
        <v>200</v>
      </c>
      <c r="J57" s="2">
        <v>200</v>
      </c>
    </row>
    <row r="58" spans="1:10" x14ac:dyDescent="0.25">
      <c r="A58" s="8" t="s">
        <v>1163</v>
      </c>
      <c r="C58" s="2"/>
      <c r="D58" s="2">
        <v>200</v>
      </c>
      <c r="E58" s="2"/>
      <c r="F58" s="2"/>
      <c r="G58" s="2"/>
      <c r="H58" s="2"/>
      <c r="I58" s="2"/>
      <c r="J58" s="2"/>
    </row>
    <row r="59" spans="1:10" x14ac:dyDescent="0.25">
      <c r="C59" s="2"/>
      <c r="D59" s="2"/>
      <c r="E59" s="2"/>
      <c r="F59" s="2"/>
      <c r="G59" s="2"/>
      <c r="H59" s="2"/>
      <c r="I59" s="2"/>
      <c r="J59" s="2"/>
    </row>
    <row r="60" spans="1:10" ht="13.8" x14ac:dyDescent="0.3">
      <c r="A60" s="11" t="s">
        <v>1533</v>
      </c>
      <c r="C60" s="2"/>
      <c r="D60" s="2"/>
      <c r="E60" s="2">
        <v>759</v>
      </c>
      <c r="F60" s="2">
        <v>800</v>
      </c>
      <c r="G60" s="2">
        <v>750</v>
      </c>
      <c r="H60" s="2">
        <v>750</v>
      </c>
      <c r="I60" s="2">
        <v>750</v>
      </c>
      <c r="J60" s="2">
        <v>750</v>
      </c>
    </row>
    <row r="61" spans="1:10" x14ac:dyDescent="0.25">
      <c r="A61" s="8" t="s">
        <v>764</v>
      </c>
      <c r="B61" s="2"/>
      <c r="C61" s="2"/>
      <c r="D61" s="2">
        <v>750</v>
      </c>
      <c r="E61" s="2"/>
      <c r="F61" s="2"/>
      <c r="G61" s="2"/>
      <c r="H61" s="2"/>
      <c r="I61" s="2"/>
      <c r="J61" s="2"/>
    </row>
    <row r="62" spans="1:10" x14ac:dyDescent="0.25">
      <c r="B62" s="2"/>
      <c r="C62" s="2"/>
      <c r="D62" s="2"/>
      <c r="E62" s="2"/>
      <c r="F62" s="2"/>
      <c r="G62" s="2"/>
      <c r="H62" s="2"/>
      <c r="I62" s="2"/>
      <c r="J62" s="2"/>
    </row>
    <row r="63" spans="1:10" ht="13.8" x14ac:dyDescent="0.3">
      <c r="A63" s="11" t="s">
        <v>765</v>
      </c>
      <c r="B63" s="2"/>
      <c r="C63" s="2"/>
      <c r="D63" s="2"/>
      <c r="E63" s="2">
        <v>277</v>
      </c>
      <c r="F63" s="2">
        <v>338</v>
      </c>
      <c r="G63" s="2">
        <v>300</v>
      </c>
      <c r="H63" s="2">
        <v>300</v>
      </c>
      <c r="I63" s="2">
        <v>300</v>
      </c>
      <c r="J63" s="2">
        <v>300</v>
      </c>
    </row>
    <row r="64" spans="1:10" x14ac:dyDescent="0.25">
      <c r="A64" s="8" t="s">
        <v>766</v>
      </c>
      <c r="B64" s="2">
        <v>120</v>
      </c>
      <c r="C64" s="13">
        <v>2.5</v>
      </c>
      <c r="D64" s="2">
        <f>+B64*C64</f>
        <v>300</v>
      </c>
      <c r="I64" s="209"/>
      <c r="J64" s="213"/>
    </row>
    <row r="65" spans="1:10" x14ac:dyDescent="0.25">
      <c r="C65" s="2"/>
      <c r="D65" s="2"/>
      <c r="E65" s="2"/>
      <c r="F65" s="2"/>
      <c r="G65" s="2"/>
      <c r="H65" s="2"/>
      <c r="I65" s="2"/>
      <c r="J65" s="2"/>
    </row>
    <row r="66" spans="1:10" ht="13.8" x14ac:dyDescent="0.3">
      <c r="A66" s="11" t="s">
        <v>767</v>
      </c>
      <c r="C66" s="2"/>
      <c r="D66" s="2"/>
      <c r="E66" s="2">
        <v>1659</v>
      </c>
      <c r="F66" s="2">
        <v>1407</v>
      </c>
      <c r="G66" s="2">
        <v>1250</v>
      </c>
      <c r="H66" s="2">
        <v>1250</v>
      </c>
      <c r="I66" s="2">
        <v>1250</v>
      </c>
      <c r="J66" s="2">
        <v>1250</v>
      </c>
    </row>
    <row r="67" spans="1:10" x14ac:dyDescent="0.25">
      <c r="A67" s="8" t="s">
        <v>977</v>
      </c>
      <c r="C67" s="2"/>
      <c r="D67" s="2">
        <v>1250</v>
      </c>
      <c r="E67" s="2"/>
      <c r="F67" s="2"/>
      <c r="G67" s="2"/>
      <c r="H67" s="2"/>
      <c r="I67" s="2"/>
      <c r="J67" s="2"/>
    </row>
    <row r="68" spans="1:10" ht="15" x14ac:dyDescent="0.4">
      <c r="A68" s="8" t="s">
        <v>231</v>
      </c>
      <c r="C68" s="12"/>
      <c r="D68" s="12">
        <v>0</v>
      </c>
      <c r="E68" s="12"/>
      <c r="F68" s="12"/>
      <c r="G68" s="12"/>
      <c r="H68" s="12"/>
      <c r="I68" s="12"/>
      <c r="J68" s="12"/>
    </row>
    <row r="69" spans="1:10" x14ac:dyDescent="0.25">
      <c r="A69" s="8" t="s">
        <v>1279</v>
      </c>
      <c r="B69" s="2"/>
      <c r="C69" s="2"/>
      <c r="D69" s="2">
        <f>SUM(D67:D68)</f>
        <v>1250</v>
      </c>
      <c r="E69" s="2"/>
      <c r="F69" s="2"/>
      <c r="G69" s="2"/>
      <c r="H69" s="2"/>
      <c r="I69" s="2"/>
      <c r="J69" s="2"/>
    </row>
    <row r="70" spans="1:10" x14ac:dyDescent="0.25">
      <c r="C70" s="2"/>
      <c r="D70" s="2"/>
      <c r="E70" s="2"/>
      <c r="F70" s="2"/>
      <c r="G70" s="2"/>
      <c r="H70" s="2"/>
      <c r="I70" s="2"/>
      <c r="J70" s="2"/>
    </row>
    <row r="71" spans="1:10" ht="13.8" x14ac:dyDescent="0.3">
      <c r="A71" s="11" t="s">
        <v>1002</v>
      </c>
      <c r="C71" s="9"/>
      <c r="D71" s="9" t="s">
        <v>417</v>
      </c>
      <c r="E71" s="2">
        <v>92</v>
      </c>
      <c r="F71" s="2">
        <v>200</v>
      </c>
      <c r="G71" s="2">
        <v>200</v>
      </c>
      <c r="H71" s="2">
        <v>200</v>
      </c>
      <c r="I71" s="2">
        <v>200</v>
      </c>
      <c r="J71" s="2">
        <v>200</v>
      </c>
    </row>
    <row r="72" spans="1:10" x14ac:dyDescent="0.25">
      <c r="A72" s="8" t="s">
        <v>1003</v>
      </c>
      <c r="B72" s="2"/>
      <c r="C72" s="2"/>
      <c r="D72" s="2">
        <v>140</v>
      </c>
      <c r="E72" s="2"/>
      <c r="F72" s="2"/>
      <c r="G72" s="2"/>
      <c r="H72" s="2"/>
      <c r="I72" s="2"/>
      <c r="J72" s="2"/>
    </row>
    <row r="73" spans="1:10" ht="15" x14ac:dyDescent="0.4">
      <c r="A73" s="8" t="s">
        <v>1226</v>
      </c>
      <c r="C73" s="12"/>
      <c r="D73" s="12">
        <v>60</v>
      </c>
      <c r="E73" s="12"/>
      <c r="F73" s="12"/>
      <c r="G73" s="12"/>
      <c r="H73" s="12"/>
      <c r="I73" s="12"/>
      <c r="J73" s="12"/>
    </row>
    <row r="74" spans="1:10" x14ac:dyDescent="0.25">
      <c r="A74" s="8" t="s">
        <v>1279</v>
      </c>
      <c r="C74" s="2"/>
      <c r="D74" s="2">
        <f>SUM(D72:D73)</f>
        <v>200</v>
      </c>
      <c r="E74" s="2"/>
      <c r="F74" s="2"/>
      <c r="G74" s="2"/>
      <c r="H74" s="2"/>
      <c r="I74" s="2"/>
      <c r="J74" s="2"/>
    </row>
    <row r="75" spans="1:10" x14ac:dyDescent="0.25">
      <c r="C75" s="2"/>
      <c r="D75" s="2"/>
      <c r="E75" s="2"/>
      <c r="F75" s="2"/>
      <c r="G75" s="2"/>
      <c r="H75" s="2"/>
      <c r="I75" s="2"/>
      <c r="J75" s="2"/>
    </row>
    <row r="76" spans="1:10" ht="13.8" x14ac:dyDescent="0.3">
      <c r="A76" s="18" t="s">
        <v>1004</v>
      </c>
      <c r="C76" s="2"/>
      <c r="D76" s="2"/>
      <c r="E76" s="2">
        <v>2009</v>
      </c>
      <c r="F76" s="2">
        <v>1913</v>
      </c>
      <c r="G76" s="2">
        <v>2364</v>
      </c>
      <c r="H76" s="2">
        <v>2222</v>
      </c>
      <c r="I76" s="2">
        <v>2222</v>
      </c>
      <c r="J76" s="2">
        <v>2222</v>
      </c>
    </row>
    <row r="77" spans="1:10" hidden="1" x14ac:dyDescent="0.25">
      <c r="A77" s="8" t="s">
        <v>768</v>
      </c>
      <c r="C77" s="2"/>
      <c r="D77" s="2">
        <v>1913</v>
      </c>
      <c r="E77" s="2"/>
      <c r="F77" s="2"/>
      <c r="G77" s="2"/>
      <c r="H77" s="2"/>
      <c r="I77" s="2"/>
      <c r="J77" s="2"/>
    </row>
    <row r="78" spans="1:10" x14ac:dyDescent="0.25">
      <c r="C78" s="2"/>
      <c r="D78" s="2"/>
      <c r="E78" s="2"/>
      <c r="F78" s="2"/>
      <c r="G78" s="2"/>
      <c r="H78" s="2"/>
      <c r="I78" s="2"/>
      <c r="J78" s="2"/>
    </row>
    <row r="79" spans="1:10" ht="13.8" x14ac:dyDescent="0.3">
      <c r="A79" s="11" t="s">
        <v>607</v>
      </c>
      <c r="C79" s="2"/>
      <c r="D79" s="2"/>
      <c r="E79" s="2">
        <v>169</v>
      </c>
      <c r="F79" s="2">
        <v>150</v>
      </c>
      <c r="G79" s="2">
        <v>150</v>
      </c>
      <c r="H79" s="2">
        <v>150</v>
      </c>
      <c r="I79" s="2">
        <v>150</v>
      </c>
      <c r="J79" s="2">
        <v>150</v>
      </c>
    </row>
    <row r="80" spans="1:10" x14ac:dyDescent="0.25">
      <c r="A80" s="8" t="s">
        <v>1676</v>
      </c>
      <c r="C80" s="2"/>
      <c r="D80" s="2" t="s">
        <v>417</v>
      </c>
      <c r="E80" s="2"/>
      <c r="F80" s="2"/>
      <c r="G80" s="2"/>
      <c r="H80" s="2"/>
      <c r="I80" s="2"/>
      <c r="J80" s="2"/>
    </row>
    <row r="81" spans="1:10" x14ac:dyDescent="0.25">
      <c r="A81" s="8" t="s">
        <v>1468</v>
      </c>
      <c r="C81" s="2"/>
      <c r="D81" s="2">
        <v>150</v>
      </c>
      <c r="E81" s="2"/>
      <c r="F81" s="2"/>
      <c r="G81" s="2"/>
      <c r="H81" s="2"/>
      <c r="I81" s="2"/>
      <c r="J81" s="2"/>
    </row>
    <row r="82" spans="1:10" x14ac:dyDescent="0.25">
      <c r="C82" s="2"/>
      <c r="D82" s="2"/>
      <c r="E82" s="2"/>
      <c r="F82" s="2"/>
      <c r="G82" s="2"/>
      <c r="H82" s="2"/>
      <c r="I82" s="2"/>
      <c r="J82" s="2"/>
    </row>
    <row r="83" spans="1:10" ht="13.8" x14ac:dyDescent="0.3">
      <c r="A83" s="11" t="s">
        <v>1507</v>
      </c>
      <c r="C83" s="2"/>
      <c r="D83" s="2"/>
      <c r="E83" s="2">
        <v>19</v>
      </c>
      <c r="F83" s="2">
        <v>150</v>
      </c>
      <c r="G83" s="2">
        <v>120</v>
      </c>
      <c r="H83" s="2">
        <v>120</v>
      </c>
      <c r="I83" s="2">
        <v>120</v>
      </c>
      <c r="J83" s="2">
        <v>120</v>
      </c>
    </row>
    <row r="84" spans="1:10" x14ac:dyDescent="0.25">
      <c r="A84" s="8" t="s">
        <v>778</v>
      </c>
      <c r="C84" s="2"/>
      <c r="D84" s="2">
        <v>120</v>
      </c>
      <c r="E84" s="2"/>
      <c r="F84" s="2"/>
      <c r="G84" s="2"/>
      <c r="H84" s="2"/>
      <c r="I84" s="2"/>
      <c r="J84" s="2"/>
    </row>
    <row r="85" spans="1:10" x14ac:dyDescent="0.25">
      <c r="C85" s="2"/>
      <c r="D85" s="2"/>
      <c r="E85" s="2"/>
      <c r="F85" s="2"/>
      <c r="G85" s="2"/>
      <c r="H85" s="2"/>
      <c r="I85" s="2"/>
      <c r="J85" s="2"/>
    </row>
    <row r="86" spans="1:10" ht="13.8" x14ac:dyDescent="0.3">
      <c r="A86" s="11" t="s">
        <v>882</v>
      </c>
      <c r="C86" s="9"/>
      <c r="D86" s="9" t="s">
        <v>417</v>
      </c>
      <c r="E86" s="2">
        <v>10606</v>
      </c>
      <c r="F86" s="2">
        <v>12000</v>
      </c>
      <c r="G86" s="2">
        <v>12000</v>
      </c>
      <c r="H86" s="2">
        <v>12000</v>
      </c>
      <c r="I86" s="2">
        <v>12000</v>
      </c>
      <c r="J86" s="2">
        <v>12000</v>
      </c>
    </row>
    <row r="87" spans="1:10" x14ac:dyDescent="0.25">
      <c r="A87" s="8" t="s">
        <v>1164</v>
      </c>
      <c r="C87" s="2"/>
      <c r="D87" s="2">
        <v>300</v>
      </c>
      <c r="E87" s="2"/>
      <c r="F87" s="2"/>
      <c r="G87" s="2"/>
      <c r="H87" s="2"/>
      <c r="I87" s="2"/>
      <c r="J87" s="2"/>
    </row>
    <row r="88" spans="1:10" x14ac:dyDescent="0.25">
      <c r="A88" s="8" t="s">
        <v>883</v>
      </c>
      <c r="C88" s="2"/>
      <c r="D88" s="2">
        <v>284</v>
      </c>
      <c r="E88" s="2"/>
      <c r="F88" s="2"/>
      <c r="G88" s="2"/>
      <c r="H88" s="2"/>
      <c r="I88" s="2"/>
      <c r="J88" s="2"/>
    </row>
    <row r="89" spans="1:10" x14ac:dyDescent="0.25">
      <c r="A89" s="8" t="s">
        <v>1227</v>
      </c>
      <c r="C89" s="2"/>
      <c r="D89" s="2">
        <f>1296+10120</f>
        <v>11416</v>
      </c>
      <c r="E89" s="2"/>
      <c r="F89" s="2"/>
      <c r="G89" s="2"/>
      <c r="H89" s="2"/>
      <c r="I89" s="2"/>
      <c r="J89" s="2"/>
    </row>
    <row r="90" spans="1:10" ht="15" x14ac:dyDescent="0.4">
      <c r="A90" s="8" t="s">
        <v>884</v>
      </c>
      <c r="C90" s="12"/>
      <c r="D90" s="12">
        <v>0</v>
      </c>
      <c r="E90" s="2"/>
      <c r="F90" s="12"/>
      <c r="G90" s="12"/>
      <c r="H90" s="12"/>
      <c r="I90" s="12"/>
      <c r="J90" s="12"/>
    </row>
    <row r="91" spans="1:10" x14ac:dyDescent="0.25">
      <c r="A91" s="8" t="s">
        <v>1279</v>
      </c>
      <c r="C91" s="2"/>
      <c r="D91" s="2">
        <f>SUM(D87:D90)</f>
        <v>12000</v>
      </c>
      <c r="E91" s="2"/>
      <c r="F91" s="2"/>
      <c r="G91" s="2"/>
      <c r="H91" s="2"/>
      <c r="I91" s="2"/>
      <c r="J91" s="2"/>
    </row>
    <row r="92" spans="1:10" x14ac:dyDescent="0.25">
      <c r="C92" s="2"/>
      <c r="D92" s="2"/>
      <c r="E92" s="2"/>
      <c r="I92" s="209"/>
      <c r="J92" s="213"/>
    </row>
    <row r="93" spans="1:10" ht="13.8" x14ac:dyDescent="0.3">
      <c r="A93" s="11" t="s">
        <v>885</v>
      </c>
      <c r="C93" s="9"/>
      <c r="D93" s="9" t="s">
        <v>417</v>
      </c>
      <c r="E93" s="2">
        <v>475</v>
      </c>
      <c r="F93" s="2">
        <v>1500</v>
      </c>
      <c r="G93" s="2">
        <v>1500</v>
      </c>
      <c r="H93" s="2">
        <v>1500</v>
      </c>
      <c r="I93" s="2">
        <v>1500</v>
      </c>
      <c r="J93" s="2">
        <v>1500</v>
      </c>
    </row>
    <row r="94" spans="1:10" x14ac:dyDescent="0.25">
      <c r="A94" s="8" t="s">
        <v>886</v>
      </c>
      <c r="C94" s="2"/>
      <c r="D94" s="2">
        <v>175</v>
      </c>
      <c r="I94" s="209"/>
      <c r="J94" s="213"/>
    </row>
    <row r="95" spans="1:10" x14ac:dyDescent="0.25">
      <c r="A95" s="8" t="s">
        <v>1672</v>
      </c>
      <c r="C95" s="2"/>
      <c r="D95" s="2">
        <v>175</v>
      </c>
      <c r="I95" s="209"/>
      <c r="J95" s="213"/>
    </row>
    <row r="96" spans="1:10" x14ac:dyDescent="0.25">
      <c r="A96" s="8" t="s">
        <v>1579</v>
      </c>
      <c r="C96" s="2"/>
      <c r="D96" s="2">
        <v>200</v>
      </c>
      <c r="I96" s="209"/>
      <c r="J96" s="213"/>
    </row>
    <row r="97" spans="1:10" ht="15" x14ac:dyDescent="0.4">
      <c r="A97" s="8" t="s">
        <v>1210</v>
      </c>
      <c r="C97" s="2"/>
      <c r="D97" s="12">
        <v>950</v>
      </c>
      <c r="I97" s="209"/>
      <c r="J97" s="213"/>
    </row>
    <row r="98" spans="1:10" x14ac:dyDescent="0.25">
      <c r="A98" s="8" t="s">
        <v>1279</v>
      </c>
      <c r="C98" s="2"/>
      <c r="D98" s="2">
        <f>SUM(D94:D97)</f>
        <v>1500</v>
      </c>
      <c r="F98" s="2"/>
      <c r="G98" s="2"/>
      <c r="H98" s="2"/>
      <c r="I98" s="2"/>
      <c r="J98" s="2"/>
    </row>
    <row r="99" spans="1:10" x14ac:dyDescent="0.25">
      <c r="C99" s="2"/>
      <c r="D99" s="2"/>
      <c r="E99" s="2"/>
      <c r="I99" s="209"/>
      <c r="J99" s="213"/>
    </row>
    <row r="100" spans="1:10" ht="13.8" x14ac:dyDescent="0.3">
      <c r="A100" s="11" t="s">
        <v>374</v>
      </c>
      <c r="C100" s="9"/>
      <c r="D100" s="9" t="s">
        <v>417</v>
      </c>
      <c r="E100" s="2">
        <v>36259</v>
      </c>
      <c r="F100" s="2">
        <v>36000</v>
      </c>
      <c r="G100" s="2">
        <v>36000</v>
      </c>
      <c r="H100" s="2">
        <v>36000</v>
      </c>
      <c r="I100" s="2">
        <v>36000</v>
      </c>
      <c r="J100" s="2">
        <v>36000</v>
      </c>
    </row>
    <row r="101" spans="1:10" x14ac:dyDescent="0.25">
      <c r="A101" s="8" t="s">
        <v>375</v>
      </c>
      <c r="C101" s="2"/>
      <c r="D101" s="2">
        <v>2000</v>
      </c>
      <c r="E101" s="3"/>
      <c r="F101" s="3"/>
      <c r="G101" s="3"/>
      <c r="H101" s="3"/>
      <c r="I101" s="3"/>
      <c r="J101" s="3"/>
    </row>
    <row r="102" spans="1:10" ht="15" x14ac:dyDescent="0.4">
      <c r="A102" s="8" t="s">
        <v>376</v>
      </c>
      <c r="C102" s="12"/>
      <c r="D102" s="12">
        <v>34000</v>
      </c>
      <c r="E102" s="2"/>
      <c r="F102" s="2"/>
      <c r="G102" s="2"/>
      <c r="H102" s="2"/>
      <c r="I102" s="2"/>
      <c r="J102" s="2"/>
    </row>
    <row r="103" spans="1:10" x14ac:dyDescent="0.25">
      <c r="A103" s="8" t="s">
        <v>1279</v>
      </c>
      <c r="C103" s="2"/>
      <c r="D103" s="2">
        <f>SUM(D101:D102)</f>
        <v>36000</v>
      </c>
      <c r="E103" s="2"/>
      <c r="F103" s="2"/>
      <c r="G103" s="2"/>
      <c r="H103" s="2"/>
      <c r="I103" s="2"/>
      <c r="J103" s="2"/>
    </row>
    <row r="104" spans="1:10" x14ac:dyDescent="0.25">
      <c r="C104" s="2"/>
      <c r="D104" s="2"/>
      <c r="E104" s="2"/>
      <c r="F104" s="2"/>
      <c r="G104" s="2"/>
      <c r="H104" s="2"/>
      <c r="I104" s="2"/>
      <c r="J104" s="2"/>
    </row>
    <row r="105" spans="1:10" ht="13.8" hidden="1" x14ac:dyDescent="0.3">
      <c r="A105" s="11" t="s">
        <v>1197</v>
      </c>
      <c r="C105" s="2"/>
      <c r="D105" s="2"/>
      <c r="E105" s="2">
        <v>0</v>
      </c>
      <c r="F105" s="2" t="s">
        <v>1617</v>
      </c>
      <c r="G105" s="2"/>
      <c r="H105" s="2"/>
      <c r="I105" s="2"/>
      <c r="J105" s="2"/>
    </row>
    <row r="106" spans="1:10" hidden="1" x14ac:dyDescent="0.25">
      <c r="A106" s="8" t="s">
        <v>236</v>
      </c>
      <c r="C106" s="2"/>
      <c r="D106" s="2">
        <v>0</v>
      </c>
      <c r="E106" s="2"/>
      <c r="F106" s="2"/>
      <c r="G106" s="2"/>
      <c r="H106" s="2"/>
      <c r="I106" s="2"/>
      <c r="J106" s="2"/>
    </row>
    <row r="107" spans="1:10" x14ac:dyDescent="0.25">
      <c r="C107" s="2"/>
      <c r="D107" s="2"/>
      <c r="E107" s="2"/>
      <c r="F107" s="2"/>
      <c r="G107" s="2"/>
      <c r="H107" s="2"/>
      <c r="I107" s="2"/>
      <c r="J107" s="2"/>
    </row>
    <row r="108" spans="1:10" ht="13.8" x14ac:dyDescent="0.3">
      <c r="A108" s="11" t="s">
        <v>1198</v>
      </c>
      <c r="C108" s="2"/>
      <c r="D108" s="2"/>
      <c r="E108" s="2">
        <v>0</v>
      </c>
      <c r="F108" s="2">
        <v>1000</v>
      </c>
      <c r="G108" s="2">
        <v>1000</v>
      </c>
      <c r="H108" s="2">
        <v>1000</v>
      </c>
      <c r="I108" s="2">
        <v>1000</v>
      </c>
      <c r="J108" s="2">
        <v>1000</v>
      </c>
    </row>
    <row r="109" spans="1:10" x14ac:dyDescent="0.25">
      <c r="A109" s="7" t="s">
        <v>1305</v>
      </c>
      <c r="C109" s="2"/>
      <c r="D109" s="2">
        <v>1000</v>
      </c>
      <c r="I109" s="209"/>
      <c r="J109" s="213"/>
    </row>
    <row r="110" spans="1:10" x14ac:dyDescent="0.25">
      <c r="A110" s="7"/>
      <c r="C110" s="2"/>
      <c r="D110" s="2"/>
      <c r="I110" s="209"/>
      <c r="J110" s="213"/>
    </row>
    <row r="111" spans="1:10" ht="13.8" x14ac:dyDescent="0.3">
      <c r="A111" s="55" t="s">
        <v>1228</v>
      </c>
      <c r="B111" s="55"/>
      <c r="C111" s="20"/>
      <c r="D111" s="20"/>
      <c r="E111" s="9">
        <v>15000</v>
      </c>
      <c r="F111" s="2">
        <v>15000</v>
      </c>
      <c r="G111" s="2">
        <v>15000</v>
      </c>
      <c r="H111" s="2">
        <v>15000</v>
      </c>
      <c r="I111" s="2">
        <v>15000</v>
      </c>
      <c r="J111" s="2">
        <v>15000</v>
      </c>
    </row>
    <row r="112" spans="1:10" x14ac:dyDescent="0.25">
      <c r="A112" s="7" t="s">
        <v>128</v>
      </c>
      <c r="C112" s="2"/>
      <c r="D112" s="2"/>
      <c r="I112" s="209"/>
      <c r="J112" s="213"/>
    </row>
    <row r="113" spans="1:10" x14ac:dyDescent="0.25">
      <c r="A113" s="7"/>
      <c r="C113" s="2"/>
      <c r="D113" s="2"/>
      <c r="I113" s="209"/>
      <c r="J113" s="213"/>
    </row>
    <row r="114" spans="1:10" ht="15" x14ac:dyDescent="0.4">
      <c r="A114" s="55" t="s">
        <v>1938</v>
      </c>
      <c r="B114" s="2"/>
      <c r="C114" s="2"/>
      <c r="D114" s="2"/>
      <c r="E114" s="12">
        <v>37913.9</v>
      </c>
      <c r="F114" s="12">
        <v>0</v>
      </c>
      <c r="G114" s="12">
        <v>0</v>
      </c>
      <c r="H114" s="12">
        <v>0</v>
      </c>
      <c r="I114" s="12">
        <v>0</v>
      </c>
      <c r="J114" s="12">
        <v>0</v>
      </c>
    </row>
    <row r="115" spans="1:10" x14ac:dyDescent="0.25">
      <c r="A115" s="7" t="s">
        <v>1939</v>
      </c>
      <c r="C115" s="2"/>
      <c r="D115" s="2">
        <v>0</v>
      </c>
      <c r="I115" s="209"/>
      <c r="J115" s="213"/>
    </row>
    <row r="116" spans="1:10" x14ac:dyDescent="0.25">
      <c r="D116" s="2"/>
      <c r="E116" s="2"/>
      <c r="F116" s="2"/>
      <c r="G116" s="2"/>
      <c r="H116" s="2"/>
      <c r="I116" s="2"/>
      <c r="J116" s="2"/>
    </row>
    <row r="117" spans="1:10" x14ac:dyDescent="0.25">
      <c r="A117" s="8" t="s">
        <v>1366</v>
      </c>
      <c r="D117" s="2"/>
      <c r="E117" s="2">
        <f t="shared" ref="E117:H117" si="0">SUM(E6:E114)</f>
        <v>339083.9</v>
      </c>
      <c r="F117" s="2">
        <f t="shared" si="0"/>
        <v>317299</v>
      </c>
      <c r="G117" s="2">
        <f t="shared" si="0"/>
        <v>316071</v>
      </c>
      <c r="H117" s="2">
        <f t="shared" si="0"/>
        <v>315929</v>
      </c>
      <c r="I117" s="2">
        <f>SUM(I6:I114)</f>
        <v>315929</v>
      </c>
      <c r="J117" s="2">
        <f>SUM(J6:J114)</f>
        <v>319708</v>
      </c>
    </row>
    <row r="118" spans="1:10" x14ac:dyDescent="0.25">
      <c r="I118" s="209"/>
      <c r="J118" s="213"/>
    </row>
    <row r="119" spans="1:10" x14ac:dyDescent="0.25">
      <c r="A119" s="8" t="s">
        <v>1001</v>
      </c>
      <c r="E119" s="2">
        <f t="shared" ref="E119:H119" si="1">SUM(E6:E47)</f>
        <v>233076</v>
      </c>
      <c r="F119" s="2">
        <f t="shared" si="1"/>
        <v>244841</v>
      </c>
      <c r="G119" s="2">
        <f t="shared" si="1"/>
        <v>243437</v>
      </c>
      <c r="H119" s="2">
        <f t="shared" si="1"/>
        <v>243437</v>
      </c>
      <c r="I119" s="2">
        <f>SUM(I6:I47)</f>
        <v>243437</v>
      </c>
      <c r="J119" s="2">
        <f>SUM(J6:J47)</f>
        <v>247216</v>
      </c>
    </row>
    <row r="120" spans="1:10" x14ac:dyDescent="0.25">
      <c r="A120" s="8" t="s">
        <v>975</v>
      </c>
      <c r="E120" s="2">
        <f t="shared" ref="E120:H120" si="2">SUM(E49:E107)</f>
        <v>53094</v>
      </c>
      <c r="F120" s="2">
        <f t="shared" si="2"/>
        <v>56458</v>
      </c>
      <c r="G120" s="2">
        <f t="shared" si="2"/>
        <v>56634</v>
      </c>
      <c r="H120" s="2">
        <f t="shared" si="2"/>
        <v>56492</v>
      </c>
      <c r="I120" s="2">
        <f>SUM(I49:I107)</f>
        <v>56492</v>
      </c>
      <c r="J120" s="2">
        <f>SUM(J49:J107)</f>
        <v>56492</v>
      </c>
    </row>
    <row r="121" spans="1:10" ht="15" x14ac:dyDescent="0.4">
      <c r="A121" s="8" t="s">
        <v>976</v>
      </c>
      <c r="E121" s="12">
        <f t="shared" ref="E121:H121" si="3">SUM(E108:E114)</f>
        <v>52913.9</v>
      </c>
      <c r="F121" s="12">
        <f t="shared" si="3"/>
        <v>16000</v>
      </c>
      <c r="G121" s="12">
        <f t="shared" si="3"/>
        <v>16000</v>
      </c>
      <c r="H121" s="12">
        <f t="shared" si="3"/>
        <v>16000</v>
      </c>
      <c r="I121" s="12">
        <f>SUM(I108:I114)</f>
        <v>16000</v>
      </c>
      <c r="J121" s="12">
        <f>SUM(J108:J114)</f>
        <v>16000</v>
      </c>
    </row>
    <row r="122" spans="1:10" x14ac:dyDescent="0.25">
      <c r="A122" s="8" t="s">
        <v>1279</v>
      </c>
      <c r="E122" s="2">
        <f t="shared" ref="E122:H122" si="4">SUM(E119:E121)</f>
        <v>339083.9</v>
      </c>
      <c r="F122" s="2">
        <f t="shared" si="4"/>
        <v>317299</v>
      </c>
      <c r="G122" s="2">
        <f t="shared" si="4"/>
        <v>316071</v>
      </c>
      <c r="H122" s="2">
        <f t="shared" si="4"/>
        <v>315929</v>
      </c>
      <c r="I122" s="2">
        <f>SUM(I119:I121)</f>
        <v>315929</v>
      </c>
      <c r="J122" s="2">
        <f>SUM(J119:J121)</f>
        <v>319708</v>
      </c>
    </row>
    <row r="123" spans="1:10" x14ac:dyDescent="0.25">
      <c r="I123" s="209"/>
      <c r="J123" s="213"/>
    </row>
    <row r="124" spans="1:10" x14ac:dyDescent="0.25">
      <c r="I124" s="209"/>
      <c r="J124" s="213"/>
    </row>
    <row r="125" spans="1:10" x14ac:dyDescent="0.25">
      <c r="F125" s="2"/>
      <c r="I125" s="209"/>
      <c r="J125" s="213"/>
    </row>
    <row r="126" spans="1:10" x14ac:dyDescent="0.25">
      <c r="I126" s="209"/>
      <c r="J126" s="213"/>
    </row>
    <row r="127" spans="1:10" x14ac:dyDescent="0.25">
      <c r="I127" s="209"/>
      <c r="J127" s="213"/>
    </row>
    <row r="128" spans="1:10" x14ac:dyDescent="0.25">
      <c r="I128" s="209"/>
      <c r="J128" s="213"/>
    </row>
    <row r="129" spans="9:10" x14ac:dyDescent="0.25">
      <c r="I129" s="209"/>
      <c r="J129" s="213"/>
    </row>
    <row r="130" spans="9:10" x14ac:dyDescent="0.25">
      <c r="J130" s="213"/>
    </row>
    <row r="131" spans="9:10" x14ac:dyDescent="0.25">
      <c r="J131" s="213"/>
    </row>
    <row r="132" spans="9:10" x14ac:dyDescent="0.25">
      <c r="J132" s="213"/>
    </row>
    <row r="133" spans="9:10" x14ac:dyDescent="0.25">
      <c r="J133" s="213"/>
    </row>
    <row r="134" spans="9:10" x14ac:dyDescent="0.25">
      <c r="J134" s="213"/>
    </row>
    <row r="135" spans="9:10" x14ac:dyDescent="0.25">
      <c r="J135" s="213"/>
    </row>
    <row r="136" spans="9:10" x14ac:dyDescent="0.25">
      <c r="J136" s="213"/>
    </row>
    <row r="137" spans="9:10" x14ac:dyDescent="0.25">
      <c r="J137" s="213"/>
    </row>
    <row r="138" spans="9:10" x14ac:dyDescent="0.25">
      <c r="J138" s="213"/>
    </row>
    <row r="139" spans="9:10" x14ac:dyDescent="0.25">
      <c r="J139" s="213"/>
    </row>
    <row r="140" spans="9:10" x14ac:dyDescent="0.25">
      <c r="J140" s="213"/>
    </row>
    <row r="141" spans="9:10" x14ac:dyDescent="0.25">
      <c r="J141" s="213"/>
    </row>
    <row r="142" spans="9:10" x14ac:dyDescent="0.25">
      <c r="J142" s="213"/>
    </row>
    <row r="143" spans="9:10" x14ac:dyDescent="0.25">
      <c r="J143" s="213"/>
    </row>
    <row r="144" spans="9:10" x14ac:dyDescent="0.25">
      <c r="J144" s="213"/>
    </row>
    <row r="145" spans="10:10" x14ac:dyDescent="0.25">
      <c r="J145" s="213"/>
    </row>
    <row r="146" spans="10:10" x14ac:dyDescent="0.25">
      <c r="J146" s="213"/>
    </row>
    <row r="147" spans="10:10" x14ac:dyDescent="0.25">
      <c r="J147" s="213"/>
    </row>
    <row r="148" spans="10:10" x14ac:dyDescent="0.25">
      <c r="J148" s="213"/>
    </row>
    <row r="149" spans="10:10" x14ac:dyDescent="0.25">
      <c r="J149" s="213"/>
    </row>
    <row r="150" spans="10:10" x14ac:dyDescent="0.25">
      <c r="J150" s="213"/>
    </row>
    <row r="151" spans="10:10" x14ac:dyDescent="0.25">
      <c r="J151" s="213"/>
    </row>
    <row r="152" spans="10:10" x14ac:dyDescent="0.25">
      <c r="J152" s="213"/>
    </row>
    <row r="153" spans="10:10" x14ac:dyDescent="0.25">
      <c r="J153" s="213"/>
    </row>
    <row r="154" spans="10:10" x14ac:dyDescent="0.25">
      <c r="J154" s="213"/>
    </row>
    <row r="155" spans="10:10" x14ac:dyDescent="0.25">
      <c r="J155" s="213"/>
    </row>
    <row r="156" spans="10:10" x14ac:dyDescent="0.25">
      <c r="J156" s="213"/>
    </row>
    <row r="157" spans="10:10" x14ac:dyDescent="0.25">
      <c r="J157" s="213"/>
    </row>
    <row r="158" spans="10:10" x14ac:dyDescent="0.25">
      <c r="J158" s="213"/>
    </row>
  </sheetData>
  <mergeCells count="1">
    <mergeCell ref="A1:J1"/>
  </mergeCells>
  <phoneticPr fontId="0" type="noConversion"/>
  <printOptions gridLines="1"/>
  <pageMargins left="0.75" right="0.16" top="0.51" bottom="0.22" header="0.5" footer="0.37"/>
  <pageSetup scale="88" fitToHeight="11" orientation="landscape" r:id="rId1"/>
  <headerFooter alignWithMargins="0"/>
  <rowBreaks count="1" manualBreakCount="1">
    <brk id="59" max="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J574"/>
  <sheetViews>
    <sheetView view="pageBreakPreview" zoomScaleNormal="100" zoomScaleSheetLayoutView="100" workbookViewId="0">
      <selection sqref="A1:H1"/>
    </sheetView>
  </sheetViews>
  <sheetFormatPr defaultColWidth="44.5546875" defaultRowHeight="13.2" x14ac:dyDescent="0.25"/>
  <cols>
    <col min="1" max="1" width="61.33203125" style="2" customWidth="1"/>
    <col min="2" max="2" width="10.21875" style="2" bestFit="1" customWidth="1"/>
    <col min="3" max="3" width="10.33203125" style="2" bestFit="1" customWidth="1"/>
    <col min="4" max="6" width="10.21875" style="2" bestFit="1" customWidth="1"/>
    <col min="7" max="7" width="11.6640625" style="2" bestFit="1" customWidth="1"/>
    <col min="8" max="8" width="13.5546875" style="2" bestFit="1" customWidth="1"/>
    <col min="9" max="10" width="10.21875" style="2" bestFit="1" customWidth="1"/>
    <col min="11" max="16384" width="44.5546875" style="2"/>
  </cols>
  <sheetData>
    <row r="1" spans="1:10" x14ac:dyDescent="0.25">
      <c r="A1" s="217" t="s">
        <v>1972</v>
      </c>
      <c r="B1" s="218"/>
      <c r="C1" s="218"/>
      <c r="D1" s="218"/>
      <c r="E1" s="218"/>
      <c r="F1" s="218"/>
      <c r="G1" s="218"/>
      <c r="H1" s="218"/>
    </row>
    <row r="2" spans="1:10" ht="17.399999999999999" x14ac:dyDescent="0.3">
      <c r="A2" s="204" t="s">
        <v>2241</v>
      </c>
      <c r="B2" s="204"/>
      <c r="C2" s="204"/>
      <c r="D2" s="204"/>
      <c r="E2" s="204"/>
      <c r="F2" s="204"/>
    </row>
    <row r="4" spans="1:10" x14ac:dyDescent="0.25">
      <c r="B4" s="5"/>
      <c r="C4" s="5"/>
      <c r="D4" s="5"/>
      <c r="E4" s="9" t="s">
        <v>251</v>
      </c>
      <c r="F4" s="9" t="s">
        <v>252</v>
      </c>
      <c r="G4" s="9" t="s">
        <v>73</v>
      </c>
      <c r="H4" s="9" t="s">
        <v>430</v>
      </c>
      <c r="I4" s="2" t="s">
        <v>330</v>
      </c>
      <c r="J4" s="2" t="s">
        <v>364</v>
      </c>
    </row>
    <row r="5" spans="1:10" ht="15" x14ac:dyDescent="0.4">
      <c r="E5" s="10" t="s">
        <v>1684</v>
      </c>
      <c r="F5" s="10" t="s">
        <v>1874</v>
      </c>
      <c r="G5" s="10" t="s">
        <v>1944</v>
      </c>
      <c r="H5" s="10" t="s">
        <v>1944</v>
      </c>
      <c r="I5" s="10" t="s">
        <v>1944</v>
      </c>
      <c r="J5" s="10" t="s">
        <v>1944</v>
      </c>
    </row>
    <row r="6" spans="1:10" ht="13.8" x14ac:dyDescent="0.3">
      <c r="A6" s="55" t="s">
        <v>1199</v>
      </c>
      <c r="E6" s="2">
        <v>43693</v>
      </c>
      <c r="F6" s="2">
        <v>46615</v>
      </c>
      <c r="G6" s="2">
        <v>45792</v>
      </c>
      <c r="H6" s="2">
        <v>45792</v>
      </c>
      <c r="I6" s="2">
        <v>45792</v>
      </c>
      <c r="J6" s="2">
        <v>46693</v>
      </c>
    </row>
    <row r="7" spans="1:10" x14ac:dyDescent="0.25">
      <c r="A7" s="2" t="s">
        <v>467</v>
      </c>
      <c r="B7" s="183">
        <v>52</v>
      </c>
      <c r="C7" s="2">
        <v>881</v>
      </c>
      <c r="D7" s="2">
        <f>+B7*C7</f>
        <v>45812</v>
      </c>
    </row>
    <row r="8" spans="1:10" ht="15" x14ac:dyDescent="0.4">
      <c r="A8" s="2" t="s">
        <v>995</v>
      </c>
      <c r="D8" s="12">
        <v>881</v>
      </c>
    </row>
    <row r="9" spans="1:10" x14ac:dyDescent="0.25">
      <c r="A9" s="2" t="s">
        <v>1279</v>
      </c>
      <c r="D9" s="2">
        <f>SUM(D7:D8)</f>
        <v>46693</v>
      </c>
    </row>
    <row r="11" spans="1:10" ht="13.8" x14ac:dyDescent="0.3">
      <c r="A11" s="55" t="s">
        <v>468</v>
      </c>
      <c r="E11" s="2">
        <v>862464</v>
      </c>
      <c r="F11" s="2">
        <v>940597</v>
      </c>
      <c r="G11" s="2">
        <v>1018950.6</v>
      </c>
      <c r="H11" s="2">
        <v>941248</v>
      </c>
      <c r="I11" s="2">
        <v>941248</v>
      </c>
      <c r="J11" s="2">
        <v>946656</v>
      </c>
    </row>
    <row r="12" spans="1:10" x14ac:dyDescent="0.25">
      <c r="A12" s="2" t="s">
        <v>469</v>
      </c>
      <c r="B12" s="183">
        <v>52</v>
      </c>
      <c r="C12" s="2">
        <v>2007</v>
      </c>
      <c r="D12" s="2">
        <f>+C12*B12</f>
        <v>104364</v>
      </c>
    </row>
    <row r="13" spans="1:10" x14ac:dyDescent="0.25">
      <c r="A13" s="2" t="s">
        <v>470</v>
      </c>
      <c r="B13" s="183">
        <v>52</v>
      </c>
      <c r="C13" s="2">
        <v>1736</v>
      </c>
      <c r="D13" s="2">
        <f t="shared" ref="D13:D37" si="0">+C13*B13</f>
        <v>90272</v>
      </c>
    </row>
    <row r="14" spans="1:10" x14ac:dyDescent="0.25">
      <c r="A14" s="2" t="s">
        <v>1709</v>
      </c>
      <c r="B14" s="183">
        <v>52</v>
      </c>
      <c r="C14" s="2">
        <v>1648</v>
      </c>
      <c r="D14" s="2">
        <f t="shared" si="0"/>
        <v>85696</v>
      </c>
    </row>
    <row r="15" spans="1:10" x14ac:dyDescent="0.25">
      <c r="A15" s="2" t="s">
        <v>1254</v>
      </c>
      <c r="B15" s="183">
        <v>52</v>
      </c>
      <c r="C15" s="2">
        <v>1258</v>
      </c>
      <c r="D15" s="2">
        <f t="shared" si="0"/>
        <v>65416</v>
      </c>
    </row>
    <row r="16" spans="1:10" x14ac:dyDescent="0.25">
      <c r="A16" s="2" t="s">
        <v>2080</v>
      </c>
      <c r="B16" s="185">
        <v>0</v>
      </c>
      <c r="C16" s="2">
        <v>1417.3</v>
      </c>
      <c r="D16" s="2">
        <f t="shared" si="0"/>
        <v>0</v>
      </c>
    </row>
    <row r="17" spans="1:4" x14ac:dyDescent="0.25">
      <c r="A17" s="2" t="s">
        <v>471</v>
      </c>
      <c r="B17" s="183">
        <v>52</v>
      </c>
      <c r="C17" s="2">
        <v>1318</v>
      </c>
      <c r="D17" s="2">
        <f t="shared" si="0"/>
        <v>68536</v>
      </c>
    </row>
    <row r="18" spans="1:4" x14ac:dyDescent="0.25">
      <c r="A18" s="2" t="s">
        <v>471</v>
      </c>
      <c r="B18" s="183">
        <v>52</v>
      </c>
      <c r="C18" s="2">
        <v>1318</v>
      </c>
      <c r="D18" s="2">
        <f t="shared" si="0"/>
        <v>68536</v>
      </c>
    </row>
    <row r="19" spans="1:4" x14ac:dyDescent="0.25">
      <c r="A19" s="2" t="s">
        <v>471</v>
      </c>
      <c r="B19" s="183">
        <v>52</v>
      </c>
      <c r="C19" s="2">
        <v>1318</v>
      </c>
      <c r="D19" s="2">
        <f t="shared" si="0"/>
        <v>68536</v>
      </c>
    </row>
    <row r="20" spans="1:4" x14ac:dyDescent="0.25">
      <c r="A20" s="2" t="s">
        <v>471</v>
      </c>
      <c r="B20" s="183">
        <v>52</v>
      </c>
      <c r="C20" s="2">
        <v>1318</v>
      </c>
      <c r="D20" s="2">
        <f t="shared" si="0"/>
        <v>68536</v>
      </c>
    </row>
    <row r="21" spans="1:4" x14ac:dyDescent="0.25">
      <c r="A21" s="2" t="s">
        <v>472</v>
      </c>
      <c r="B21" s="183">
        <v>52</v>
      </c>
      <c r="C21" s="2">
        <v>1187</v>
      </c>
      <c r="D21" s="2">
        <f t="shared" si="0"/>
        <v>61724</v>
      </c>
    </row>
    <row r="22" spans="1:4" x14ac:dyDescent="0.25">
      <c r="A22" s="2" t="s">
        <v>472</v>
      </c>
      <c r="B22" s="183">
        <v>52</v>
      </c>
      <c r="C22" s="2">
        <v>1187</v>
      </c>
      <c r="D22" s="2">
        <f t="shared" si="0"/>
        <v>61724</v>
      </c>
    </row>
    <row r="23" spans="1:4" x14ac:dyDescent="0.25">
      <c r="A23" s="2" t="s">
        <v>472</v>
      </c>
      <c r="B23" s="183">
        <v>52</v>
      </c>
      <c r="C23" s="2">
        <v>1187</v>
      </c>
      <c r="D23" s="2">
        <f t="shared" si="0"/>
        <v>61724</v>
      </c>
    </row>
    <row r="24" spans="1:4" x14ac:dyDescent="0.25">
      <c r="A24" s="2" t="s">
        <v>472</v>
      </c>
      <c r="B24" s="183">
        <v>52</v>
      </c>
      <c r="C24" s="2">
        <v>1187</v>
      </c>
      <c r="D24" s="2">
        <f t="shared" si="0"/>
        <v>61724</v>
      </c>
    </row>
    <row r="25" spans="1:4" x14ac:dyDescent="0.25">
      <c r="A25" s="2" t="s">
        <v>473</v>
      </c>
    </row>
    <row r="26" spans="1:4" x14ac:dyDescent="0.25">
      <c r="A26" s="2" t="s">
        <v>474</v>
      </c>
      <c r="B26" s="2">
        <v>3</v>
      </c>
      <c r="C26" s="2">
        <v>750</v>
      </c>
      <c r="D26" s="2">
        <f t="shared" si="0"/>
        <v>2250</v>
      </c>
    </row>
    <row r="27" spans="1:4" x14ac:dyDescent="0.25">
      <c r="A27" s="2" t="s">
        <v>475</v>
      </c>
      <c r="B27" s="2">
        <v>2</v>
      </c>
      <c r="C27" s="2">
        <v>1000</v>
      </c>
      <c r="D27" s="2">
        <f t="shared" si="0"/>
        <v>2000</v>
      </c>
    </row>
    <row r="28" spans="1:4" x14ac:dyDescent="0.25">
      <c r="A28" s="2" t="s">
        <v>174</v>
      </c>
      <c r="B28" s="2">
        <v>8</v>
      </c>
      <c r="C28" s="2">
        <v>925</v>
      </c>
      <c r="D28" s="2">
        <f t="shared" si="0"/>
        <v>7400</v>
      </c>
    </row>
    <row r="29" spans="1:4" x14ac:dyDescent="0.25">
      <c r="A29" s="2" t="s">
        <v>175</v>
      </c>
      <c r="B29" s="2">
        <v>8</v>
      </c>
      <c r="C29" s="2">
        <v>1175</v>
      </c>
      <c r="D29" s="2">
        <f t="shared" si="0"/>
        <v>9400</v>
      </c>
    </row>
    <row r="30" spans="1:4" x14ac:dyDescent="0.25">
      <c r="A30" s="2" t="s">
        <v>176</v>
      </c>
      <c r="B30" s="2">
        <v>1</v>
      </c>
      <c r="C30" s="2">
        <v>1500</v>
      </c>
      <c r="D30" s="2">
        <f t="shared" si="0"/>
        <v>1500</v>
      </c>
    </row>
    <row r="31" spans="1:4" x14ac:dyDescent="0.25">
      <c r="A31" s="2" t="s">
        <v>636</v>
      </c>
      <c r="B31" s="2">
        <v>9</v>
      </c>
      <c r="C31" s="2">
        <v>925</v>
      </c>
      <c r="D31" s="2">
        <f t="shared" si="0"/>
        <v>8325</v>
      </c>
    </row>
    <row r="32" spans="1:4" x14ac:dyDescent="0.25">
      <c r="A32" s="2" t="s">
        <v>548</v>
      </c>
    </row>
    <row r="33" spans="1:10" x14ac:dyDescent="0.25">
      <c r="A33" s="2" t="s">
        <v>311</v>
      </c>
      <c r="B33" s="2">
        <v>1</v>
      </c>
      <c r="C33" s="2">
        <v>650</v>
      </c>
      <c r="D33" s="2">
        <f t="shared" si="0"/>
        <v>650</v>
      </c>
    </row>
    <row r="34" spans="1:10" x14ac:dyDescent="0.25">
      <c r="A34" s="2" t="s">
        <v>549</v>
      </c>
      <c r="B34" s="2">
        <v>4</v>
      </c>
      <c r="C34" s="2">
        <v>900</v>
      </c>
      <c r="D34" s="2">
        <f t="shared" si="0"/>
        <v>3600</v>
      </c>
    </row>
    <row r="35" spans="1:10" x14ac:dyDescent="0.25">
      <c r="A35" s="2" t="s">
        <v>550</v>
      </c>
      <c r="B35" s="2">
        <v>3</v>
      </c>
      <c r="C35" s="2">
        <v>1400</v>
      </c>
      <c r="D35" s="2">
        <f t="shared" si="0"/>
        <v>4200</v>
      </c>
    </row>
    <row r="36" spans="1:10" x14ac:dyDescent="0.25">
      <c r="A36" s="2" t="s">
        <v>551</v>
      </c>
      <c r="B36" s="2">
        <v>1</v>
      </c>
      <c r="C36" s="2">
        <v>1700</v>
      </c>
      <c r="D36" s="2">
        <f t="shared" si="0"/>
        <v>1700</v>
      </c>
    </row>
    <row r="37" spans="1:10" x14ac:dyDescent="0.25">
      <c r="A37" s="2" t="s">
        <v>1340</v>
      </c>
      <c r="B37" s="2">
        <v>0</v>
      </c>
      <c r="C37" s="2">
        <v>2000</v>
      </c>
      <c r="D37" s="2">
        <f t="shared" si="0"/>
        <v>0</v>
      </c>
    </row>
    <row r="38" spans="1:10" x14ac:dyDescent="0.25">
      <c r="A38" s="2" t="s">
        <v>1255</v>
      </c>
    </row>
    <row r="39" spans="1:10" x14ac:dyDescent="0.25">
      <c r="A39" s="2" t="s">
        <v>650</v>
      </c>
      <c r="B39" s="2">
        <v>900</v>
      </c>
      <c r="C39" s="13">
        <f>ROUND(((SUM(D15:D37))/2184)/10,2)</f>
        <v>28.73</v>
      </c>
      <c r="D39" s="2">
        <f>+C39*B39</f>
        <v>25857</v>
      </c>
    </row>
    <row r="40" spans="1:10" ht="15" x14ac:dyDescent="0.4">
      <c r="A40" s="2" t="s">
        <v>995</v>
      </c>
      <c r="D40" s="12">
        <v>12986</v>
      </c>
    </row>
    <row r="41" spans="1:10" x14ac:dyDescent="0.25">
      <c r="A41" s="2" t="s">
        <v>1279</v>
      </c>
      <c r="D41" s="2">
        <f>SUM(D12:D40)</f>
        <v>946656</v>
      </c>
    </row>
    <row r="43" spans="1:10" ht="13.8" x14ac:dyDescent="0.3">
      <c r="A43" s="55" t="s">
        <v>1146</v>
      </c>
      <c r="E43" s="2">
        <v>1278644</v>
      </c>
      <c r="F43" s="2">
        <v>1451879</v>
      </c>
      <c r="G43" s="2">
        <v>1658091.5555555555</v>
      </c>
      <c r="H43" s="2">
        <v>1553128</v>
      </c>
      <c r="I43" s="2">
        <v>1619959</v>
      </c>
      <c r="J43" s="2">
        <v>1619959</v>
      </c>
    </row>
    <row r="44" spans="1:10" x14ac:dyDescent="0.25">
      <c r="A44" s="184" t="s">
        <v>1687</v>
      </c>
      <c r="B44" s="183">
        <v>52</v>
      </c>
      <c r="C44" s="185">
        <v>961</v>
      </c>
      <c r="D44" s="2">
        <f t="shared" ref="D44:D67" si="1">+C44*B44</f>
        <v>49972</v>
      </c>
      <c r="F44" s="183"/>
      <c r="G44" s="185"/>
      <c r="H44" s="183"/>
      <c r="I44" s="183"/>
      <c r="J44" s="183"/>
    </row>
    <row r="45" spans="1:10" x14ac:dyDescent="0.25">
      <c r="A45" s="184" t="s">
        <v>1687</v>
      </c>
      <c r="B45" s="183">
        <v>52</v>
      </c>
      <c r="C45" s="185">
        <v>961</v>
      </c>
      <c r="D45" s="2">
        <f t="shared" si="1"/>
        <v>49972</v>
      </c>
      <c r="F45" s="183"/>
      <c r="G45" s="185"/>
      <c r="H45" s="183"/>
      <c r="I45" s="183"/>
      <c r="J45" s="183"/>
    </row>
    <row r="46" spans="1:10" x14ac:dyDescent="0.25">
      <c r="A46" s="184" t="s">
        <v>2081</v>
      </c>
      <c r="B46" s="183">
        <v>52</v>
      </c>
      <c r="C46" s="185">
        <v>992</v>
      </c>
      <c r="D46" s="2">
        <f t="shared" si="1"/>
        <v>51584</v>
      </c>
      <c r="F46" s="183"/>
      <c r="G46" s="185"/>
      <c r="H46" s="183"/>
      <c r="I46" s="183"/>
      <c r="J46" s="183"/>
    </row>
    <row r="47" spans="1:10" x14ac:dyDescent="0.25">
      <c r="A47" s="184" t="s">
        <v>1688</v>
      </c>
      <c r="B47" s="183">
        <v>52</v>
      </c>
      <c r="C47" s="2">
        <v>992</v>
      </c>
      <c r="D47" s="2">
        <f t="shared" si="1"/>
        <v>51584</v>
      </c>
      <c r="F47" s="183"/>
      <c r="G47" s="185"/>
      <c r="H47" s="183"/>
      <c r="I47" s="183"/>
      <c r="J47" s="183"/>
    </row>
    <row r="48" spans="1:10" x14ac:dyDescent="0.25">
      <c r="A48" s="184" t="s">
        <v>1688</v>
      </c>
      <c r="B48" s="183">
        <v>52</v>
      </c>
      <c r="C48" s="185">
        <v>992</v>
      </c>
      <c r="D48" s="2">
        <f t="shared" si="1"/>
        <v>51584</v>
      </c>
      <c r="F48" s="183"/>
      <c r="G48" s="185"/>
      <c r="H48" s="183"/>
      <c r="I48" s="183"/>
      <c r="J48" s="183"/>
    </row>
    <row r="49" spans="1:10" x14ac:dyDescent="0.25">
      <c r="A49" s="184" t="s">
        <v>1688</v>
      </c>
      <c r="B49" s="183">
        <v>52</v>
      </c>
      <c r="C49" s="185">
        <v>992</v>
      </c>
      <c r="D49" s="2">
        <f t="shared" si="1"/>
        <v>51584</v>
      </c>
      <c r="F49" s="183"/>
      <c r="G49" s="185"/>
      <c r="H49" s="183"/>
      <c r="I49" s="183"/>
      <c r="J49" s="183"/>
    </row>
    <row r="50" spans="1:10" x14ac:dyDescent="0.25">
      <c r="A50" s="184" t="s">
        <v>1688</v>
      </c>
      <c r="B50" s="183">
        <v>52</v>
      </c>
      <c r="C50" s="185">
        <v>992</v>
      </c>
      <c r="D50" s="2">
        <f t="shared" si="1"/>
        <v>51584</v>
      </c>
      <c r="F50" s="183"/>
      <c r="G50" s="185"/>
      <c r="H50" s="183"/>
      <c r="I50" s="183"/>
      <c r="J50" s="183"/>
    </row>
    <row r="51" spans="1:10" x14ac:dyDescent="0.25">
      <c r="A51" s="184" t="s">
        <v>1688</v>
      </c>
      <c r="B51" s="183">
        <v>52</v>
      </c>
      <c r="C51" s="185">
        <v>992</v>
      </c>
      <c r="D51" s="2">
        <f t="shared" si="1"/>
        <v>51584</v>
      </c>
      <c r="F51" s="183"/>
      <c r="G51" s="185"/>
      <c r="H51" s="183"/>
      <c r="I51" s="183"/>
      <c r="J51" s="183"/>
    </row>
    <row r="52" spans="1:10" x14ac:dyDescent="0.25">
      <c r="A52" s="184" t="s">
        <v>1688</v>
      </c>
      <c r="B52" s="183">
        <v>52</v>
      </c>
      <c r="C52" s="185">
        <v>992</v>
      </c>
      <c r="D52" s="2">
        <f t="shared" si="1"/>
        <v>51584</v>
      </c>
      <c r="F52" s="183"/>
      <c r="G52" s="185"/>
      <c r="H52" s="183"/>
      <c r="I52" s="183"/>
      <c r="J52" s="183"/>
    </row>
    <row r="53" spans="1:10" x14ac:dyDescent="0.25">
      <c r="A53" s="184" t="s">
        <v>1688</v>
      </c>
      <c r="B53" s="183">
        <v>52</v>
      </c>
      <c r="C53" s="185">
        <v>992</v>
      </c>
      <c r="D53" s="2">
        <f t="shared" si="1"/>
        <v>51584</v>
      </c>
      <c r="F53" s="183"/>
      <c r="G53" s="185"/>
      <c r="H53" s="183"/>
      <c r="I53" s="183"/>
      <c r="J53" s="183"/>
    </row>
    <row r="54" spans="1:10" x14ac:dyDescent="0.25">
      <c r="A54" s="184" t="s">
        <v>2081</v>
      </c>
      <c r="B54" s="183">
        <v>52</v>
      </c>
      <c r="C54" s="185">
        <v>992</v>
      </c>
      <c r="D54" s="2">
        <f t="shared" si="1"/>
        <v>51584</v>
      </c>
      <c r="F54" s="183"/>
      <c r="G54" s="185"/>
      <c r="H54" s="183"/>
      <c r="I54" s="183"/>
      <c r="J54" s="183"/>
    </row>
    <row r="55" spans="1:10" x14ac:dyDescent="0.25">
      <c r="A55" s="184" t="s">
        <v>1687</v>
      </c>
      <c r="B55" s="183">
        <v>52</v>
      </c>
      <c r="C55" s="185">
        <v>1063</v>
      </c>
      <c r="D55" s="2">
        <f t="shared" si="1"/>
        <v>55276</v>
      </c>
      <c r="F55" s="183"/>
      <c r="G55" s="185"/>
      <c r="H55" s="183"/>
      <c r="I55" s="183"/>
      <c r="J55" s="183"/>
    </row>
    <row r="56" spans="1:10" x14ac:dyDescent="0.25">
      <c r="A56" s="184" t="s">
        <v>1687</v>
      </c>
      <c r="B56" s="183">
        <v>52</v>
      </c>
      <c r="C56" s="185">
        <v>1063</v>
      </c>
      <c r="D56" s="2">
        <f t="shared" si="1"/>
        <v>55276</v>
      </c>
      <c r="F56" s="183"/>
      <c r="G56" s="185"/>
      <c r="H56" s="183"/>
      <c r="I56" s="183"/>
      <c r="J56" s="183"/>
    </row>
    <row r="57" spans="1:10" x14ac:dyDescent="0.25">
      <c r="A57" s="184" t="s">
        <v>1686</v>
      </c>
      <c r="B57" s="183">
        <v>52</v>
      </c>
      <c r="C57" s="185">
        <v>1092</v>
      </c>
      <c r="D57" s="2">
        <f t="shared" si="1"/>
        <v>56784</v>
      </c>
      <c r="F57" s="183"/>
      <c r="G57" s="185"/>
      <c r="H57" s="183"/>
      <c r="I57" s="183"/>
      <c r="J57" s="183"/>
    </row>
    <row r="58" spans="1:10" x14ac:dyDescent="0.25">
      <c r="A58" s="184" t="s">
        <v>1686</v>
      </c>
      <c r="B58" s="183">
        <v>52</v>
      </c>
      <c r="C58" s="185">
        <v>1102</v>
      </c>
      <c r="D58" s="2">
        <f t="shared" si="1"/>
        <v>57304</v>
      </c>
      <c r="F58" s="183"/>
      <c r="G58" s="185"/>
      <c r="H58" s="183"/>
      <c r="I58" s="183"/>
      <c r="J58" s="183"/>
    </row>
    <row r="59" spans="1:10" x14ac:dyDescent="0.25">
      <c r="A59" s="184" t="s">
        <v>1686</v>
      </c>
      <c r="B59" s="183">
        <v>52</v>
      </c>
      <c r="C59" s="185">
        <v>1102</v>
      </c>
      <c r="D59" s="2">
        <f t="shared" si="1"/>
        <v>57304</v>
      </c>
      <c r="F59" s="183"/>
      <c r="G59" s="185"/>
      <c r="H59" s="183"/>
      <c r="I59" s="183"/>
      <c r="J59" s="183"/>
    </row>
    <row r="60" spans="1:10" x14ac:dyDescent="0.25">
      <c r="A60" s="184" t="s">
        <v>1686</v>
      </c>
      <c r="B60" s="183">
        <v>52</v>
      </c>
      <c r="C60" s="185">
        <v>1102</v>
      </c>
      <c r="D60" s="2">
        <f t="shared" si="1"/>
        <v>57304</v>
      </c>
      <c r="F60" s="183"/>
      <c r="G60" s="185"/>
      <c r="H60" s="183"/>
      <c r="I60" s="183"/>
      <c r="J60" s="183"/>
    </row>
    <row r="61" spans="1:10" x14ac:dyDescent="0.25">
      <c r="A61" s="184" t="s">
        <v>1686</v>
      </c>
      <c r="B61" s="183">
        <v>52</v>
      </c>
      <c r="C61" s="185">
        <v>1102</v>
      </c>
      <c r="D61" s="2">
        <f t="shared" si="1"/>
        <v>57304</v>
      </c>
      <c r="F61" s="183"/>
      <c r="G61" s="185"/>
      <c r="H61" s="183"/>
      <c r="I61" s="183"/>
      <c r="J61" s="183"/>
    </row>
    <row r="62" spans="1:10" x14ac:dyDescent="0.25">
      <c r="A62" s="184" t="s">
        <v>1686</v>
      </c>
      <c r="B62" s="183">
        <v>52</v>
      </c>
      <c r="C62" s="185">
        <v>1102</v>
      </c>
      <c r="D62" s="2">
        <f t="shared" si="1"/>
        <v>57304</v>
      </c>
      <c r="F62" s="183"/>
      <c r="G62" s="185"/>
      <c r="H62" s="183"/>
      <c r="I62" s="183"/>
      <c r="J62" s="183"/>
    </row>
    <row r="63" spans="1:10" x14ac:dyDescent="0.25">
      <c r="A63" s="184" t="s">
        <v>1686</v>
      </c>
      <c r="B63" s="183">
        <v>52</v>
      </c>
      <c r="C63" s="185">
        <v>1102</v>
      </c>
      <c r="D63" s="2">
        <f t="shared" si="1"/>
        <v>57304</v>
      </c>
      <c r="F63" s="183"/>
      <c r="G63" s="185"/>
      <c r="H63" s="183"/>
      <c r="I63" s="183"/>
      <c r="J63" s="183"/>
    </row>
    <row r="64" spans="1:10" x14ac:dyDescent="0.25">
      <c r="A64" s="184" t="s">
        <v>1686</v>
      </c>
      <c r="B64" s="183">
        <v>52</v>
      </c>
      <c r="C64" s="185">
        <v>1102</v>
      </c>
      <c r="D64" s="2">
        <f t="shared" si="1"/>
        <v>57304</v>
      </c>
      <c r="F64" s="183"/>
      <c r="G64" s="185"/>
      <c r="H64" s="183"/>
      <c r="I64" s="183"/>
      <c r="J64" s="183"/>
    </row>
    <row r="65" spans="1:10" x14ac:dyDescent="0.25">
      <c r="A65" s="184" t="s">
        <v>1965</v>
      </c>
      <c r="B65" s="183">
        <v>52</v>
      </c>
      <c r="C65" s="185">
        <v>1173</v>
      </c>
      <c r="D65" s="2">
        <f t="shared" si="1"/>
        <v>60996</v>
      </c>
      <c r="F65" s="183"/>
      <c r="G65" s="185"/>
      <c r="H65" s="183"/>
      <c r="I65" s="183"/>
      <c r="J65" s="183"/>
    </row>
    <row r="66" spans="1:10" x14ac:dyDescent="0.25">
      <c r="A66" s="184" t="s">
        <v>1965</v>
      </c>
      <c r="B66" s="183">
        <v>52</v>
      </c>
      <c r="C66" s="185">
        <v>1173</v>
      </c>
      <c r="D66" s="2">
        <f t="shared" si="1"/>
        <v>60996</v>
      </c>
      <c r="F66" s="183"/>
      <c r="G66" s="185"/>
      <c r="H66" s="183"/>
      <c r="I66" s="183"/>
      <c r="J66" s="183"/>
    </row>
    <row r="67" spans="1:10" x14ac:dyDescent="0.25">
      <c r="A67" s="184" t="s">
        <v>1965</v>
      </c>
      <c r="B67" s="183">
        <v>52</v>
      </c>
      <c r="C67" s="185">
        <v>1173</v>
      </c>
      <c r="D67" s="2">
        <f t="shared" si="1"/>
        <v>60996</v>
      </c>
      <c r="F67" s="9"/>
      <c r="G67" s="9"/>
      <c r="H67" s="9"/>
      <c r="I67" s="9"/>
      <c r="J67" s="9"/>
    </row>
    <row r="68" spans="1:10" x14ac:dyDescent="0.25">
      <c r="A68" s="184" t="s">
        <v>2082</v>
      </c>
      <c r="B68" s="183">
        <v>42.08</v>
      </c>
      <c r="C68" s="185">
        <v>961</v>
      </c>
      <c r="D68" s="2">
        <f>+C68*B68</f>
        <v>40438.879999999997</v>
      </c>
      <c r="F68" s="9"/>
      <c r="G68" s="9"/>
      <c r="H68" s="9"/>
      <c r="I68" s="9"/>
      <c r="J68" s="9"/>
    </row>
    <row r="69" spans="1:10" x14ac:dyDescent="0.25">
      <c r="A69" s="184" t="s">
        <v>2082</v>
      </c>
      <c r="B69" s="183">
        <v>42.08</v>
      </c>
      <c r="C69" s="185">
        <v>961</v>
      </c>
      <c r="D69" s="2">
        <f>+C69*B69</f>
        <v>40438.879999999997</v>
      </c>
      <c r="F69" s="9"/>
      <c r="G69" s="9"/>
      <c r="H69" s="9"/>
      <c r="I69" s="9"/>
      <c r="J69" s="9"/>
    </row>
    <row r="70" spans="1:10" x14ac:dyDescent="0.25">
      <c r="A70" s="184" t="s">
        <v>2082</v>
      </c>
      <c r="B70" s="183">
        <v>42.08</v>
      </c>
      <c r="C70" s="185">
        <v>961</v>
      </c>
      <c r="D70" s="2">
        <f>+C70*B70</f>
        <v>40438.879999999997</v>
      </c>
      <c r="F70" s="9"/>
      <c r="G70" s="9"/>
      <c r="H70" s="9"/>
      <c r="I70" s="9"/>
      <c r="J70" s="9"/>
    </row>
    <row r="71" spans="1:10" x14ac:dyDescent="0.25">
      <c r="A71" s="184" t="s">
        <v>2082</v>
      </c>
      <c r="B71" s="183">
        <v>42.08</v>
      </c>
      <c r="C71" s="185">
        <v>961</v>
      </c>
      <c r="D71" s="2">
        <f>+C71*B71</f>
        <v>40438.879999999997</v>
      </c>
      <c r="F71" s="9"/>
      <c r="G71" s="9"/>
      <c r="H71" s="9"/>
      <c r="I71" s="9"/>
      <c r="J71" s="9"/>
    </row>
    <row r="72" spans="1:10" x14ac:dyDescent="0.25">
      <c r="A72" s="2" t="s">
        <v>2273</v>
      </c>
      <c r="B72" s="2">
        <v>2800</v>
      </c>
      <c r="C72" s="13">
        <f>(AVERAGE(D44:D67))/2184</f>
        <v>25.100198412698415</v>
      </c>
      <c r="D72" s="2">
        <f>+C72*B72</f>
        <v>70280.555555555562</v>
      </c>
    </row>
    <row r="73" spans="1:10" x14ac:dyDescent="0.25">
      <c r="A73" s="2" t="s">
        <v>995</v>
      </c>
      <c r="D73" s="2">
        <v>5521</v>
      </c>
    </row>
    <row r="74" spans="1:10" x14ac:dyDescent="0.25">
      <c r="A74" s="2" t="s">
        <v>1267</v>
      </c>
    </row>
    <row r="75" spans="1:10" x14ac:dyDescent="0.25">
      <c r="A75" s="2" t="s">
        <v>1268</v>
      </c>
      <c r="B75" s="2">
        <v>9</v>
      </c>
      <c r="C75" s="2">
        <v>500</v>
      </c>
      <c r="D75" s="2">
        <f>+C75*B75</f>
        <v>4500</v>
      </c>
    </row>
    <row r="76" spans="1:10" x14ac:dyDescent="0.25">
      <c r="A76" s="2" t="s">
        <v>1269</v>
      </c>
      <c r="B76" s="2">
        <v>6</v>
      </c>
      <c r="C76" s="2">
        <v>700</v>
      </c>
      <c r="D76" s="2">
        <f>+C76*B76</f>
        <v>4200</v>
      </c>
    </row>
    <row r="77" spans="1:10" x14ac:dyDescent="0.25">
      <c r="A77" s="2" t="s">
        <v>549</v>
      </c>
      <c r="B77" s="2">
        <v>2</v>
      </c>
      <c r="C77" s="2">
        <v>1100</v>
      </c>
      <c r="D77" s="2">
        <f>+C77*B77</f>
        <v>2200</v>
      </c>
    </row>
    <row r="78" spans="1:10" x14ac:dyDescent="0.25">
      <c r="A78" s="2" t="s">
        <v>1270</v>
      </c>
    </row>
    <row r="79" spans="1:10" x14ac:dyDescent="0.25">
      <c r="A79" s="2" t="s">
        <v>1271</v>
      </c>
      <c r="B79" s="2">
        <v>10</v>
      </c>
      <c r="C79" s="2">
        <v>800</v>
      </c>
      <c r="D79" s="2">
        <f t="shared" ref="D79:D90" si="2">+C79*B79</f>
        <v>8000</v>
      </c>
    </row>
    <row r="80" spans="1:10" x14ac:dyDescent="0.25">
      <c r="A80" s="2" t="s">
        <v>1685</v>
      </c>
      <c r="B80" s="2">
        <v>6</v>
      </c>
      <c r="C80" s="2">
        <v>1300</v>
      </c>
      <c r="D80" s="2">
        <f t="shared" si="2"/>
        <v>7800</v>
      </c>
    </row>
    <row r="81" spans="1:10" x14ac:dyDescent="0.25">
      <c r="A81" s="2" t="s">
        <v>22</v>
      </c>
      <c r="B81" s="2">
        <v>0</v>
      </c>
      <c r="C81" s="2">
        <v>1800</v>
      </c>
      <c r="D81" s="2">
        <f t="shared" si="2"/>
        <v>0</v>
      </c>
    </row>
    <row r="82" spans="1:10" x14ac:dyDescent="0.25">
      <c r="A82" s="2" t="s">
        <v>1256</v>
      </c>
      <c r="B82" s="2">
        <v>20</v>
      </c>
      <c r="C82" s="2">
        <v>750</v>
      </c>
      <c r="D82" s="2">
        <f t="shared" si="2"/>
        <v>15000</v>
      </c>
    </row>
    <row r="83" spans="1:10" x14ac:dyDescent="0.25">
      <c r="A83" s="2" t="s">
        <v>991</v>
      </c>
      <c r="B83" s="2">
        <v>12</v>
      </c>
      <c r="C83" s="2">
        <v>750</v>
      </c>
      <c r="D83" s="2">
        <f t="shared" si="2"/>
        <v>9000</v>
      </c>
    </row>
    <row r="84" spans="1:10" x14ac:dyDescent="0.25">
      <c r="A84" s="2" t="s">
        <v>32</v>
      </c>
      <c r="B84" s="2">
        <v>7</v>
      </c>
      <c r="C84" s="2">
        <v>250</v>
      </c>
      <c r="D84" s="2">
        <f t="shared" si="2"/>
        <v>1750</v>
      </c>
    </row>
    <row r="85" spans="1:10" x14ac:dyDescent="0.25">
      <c r="A85" s="2" t="s">
        <v>1574</v>
      </c>
      <c r="B85" s="2">
        <v>1</v>
      </c>
      <c r="C85" s="2">
        <v>200</v>
      </c>
      <c r="D85" s="2">
        <f t="shared" si="2"/>
        <v>200</v>
      </c>
      <c r="F85" s="17"/>
      <c r="H85" s="17"/>
      <c r="I85" s="17"/>
      <c r="J85" s="17"/>
    </row>
    <row r="86" spans="1:10" x14ac:dyDescent="0.25">
      <c r="A86" s="2" t="s">
        <v>992</v>
      </c>
      <c r="B86" s="2">
        <v>10</v>
      </c>
      <c r="C86" s="2">
        <v>350</v>
      </c>
      <c r="D86" s="2">
        <f t="shared" si="2"/>
        <v>3500</v>
      </c>
    </row>
    <row r="87" spans="1:10" x14ac:dyDescent="0.25">
      <c r="A87" s="2" t="s">
        <v>474</v>
      </c>
      <c r="B87" s="2">
        <v>5</v>
      </c>
      <c r="C87" s="2">
        <v>500</v>
      </c>
      <c r="D87" s="2">
        <f t="shared" si="2"/>
        <v>2500</v>
      </c>
    </row>
    <row r="88" spans="1:10" x14ac:dyDescent="0.25">
      <c r="A88" s="2" t="s">
        <v>993</v>
      </c>
      <c r="B88" s="2">
        <v>3</v>
      </c>
      <c r="C88" s="2">
        <v>300</v>
      </c>
      <c r="D88" s="2">
        <f t="shared" si="2"/>
        <v>900</v>
      </c>
    </row>
    <row r="89" spans="1:10" x14ac:dyDescent="0.25">
      <c r="A89" s="54" t="s">
        <v>475</v>
      </c>
      <c r="B89" s="17">
        <v>9</v>
      </c>
      <c r="C89" s="17">
        <v>800</v>
      </c>
      <c r="D89" s="2">
        <f t="shared" si="2"/>
        <v>7200</v>
      </c>
      <c r="G89" s="17"/>
    </row>
    <row r="90" spans="1:10" ht="15" x14ac:dyDescent="0.4">
      <c r="A90" s="2" t="s">
        <v>1406</v>
      </c>
      <c r="B90" s="2">
        <v>0</v>
      </c>
      <c r="C90" s="13">
        <v>1000</v>
      </c>
      <c r="D90" s="12">
        <f t="shared" si="2"/>
        <v>0</v>
      </c>
    </row>
    <row r="91" spans="1:10" x14ac:dyDescent="0.25">
      <c r="A91" s="2" t="s">
        <v>1279</v>
      </c>
      <c r="C91" s="13"/>
      <c r="D91" s="2">
        <f>SUM(D44:D90)</f>
        <v>1619959.0755555551</v>
      </c>
    </row>
    <row r="92" spans="1:10" x14ac:dyDescent="0.25">
      <c r="C92" s="13"/>
    </row>
    <row r="93" spans="1:10" ht="13.8" x14ac:dyDescent="0.3">
      <c r="A93" s="64" t="s">
        <v>994</v>
      </c>
      <c r="B93" s="2" t="s">
        <v>617</v>
      </c>
      <c r="C93" s="13" t="s">
        <v>618</v>
      </c>
      <c r="D93" s="2" t="s">
        <v>616</v>
      </c>
      <c r="E93" s="2">
        <v>160663</v>
      </c>
      <c r="F93" s="2">
        <v>175028</v>
      </c>
      <c r="G93" s="2">
        <v>201293.08392857146</v>
      </c>
      <c r="H93" s="2">
        <v>178309</v>
      </c>
      <c r="I93" s="2">
        <v>178397</v>
      </c>
      <c r="J93" s="2">
        <v>178397</v>
      </c>
    </row>
    <row r="94" spans="1:10" x14ac:dyDescent="0.25">
      <c r="A94" s="2" t="s">
        <v>1719</v>
      </c>
      <c r="B94" s="2">
        <v>800</v>
      </c>
      <c r="C94" s="13">
        <f>+SUM(D15:D27)/2184*1.5/9</f>
        <v>45.078296703296701</v>
      </c>
      <c r="D94" s="2">
        <f>C94*B94</f>
        <v>36062.637362637361</v>
      </c>
    </row>
    <row r="95" spans="1:10" x14ac:dyDescent="0.25">
      <c r="A95" s="2" t="s">
        <v>1901</v>
      </c>
      <c r="B95" s="2">
        <f>64.5+2417</f>
        <v>2481.5</v>
      </c>
      <c r="C95" s="13">
        <f>+C94</f>
        <v>45.078296703296701</v>
      </c>
      <c r="D95" s="2">
        <f>C95*B95</f>
        <v>111861.79326923077</v>
      </c>
    </row>
    <row r="96" spans="1:10" x14ac:dyDescent="0.25">
      <c r="A96" s="187" t="s">
        <v>2083</v>
      </c>
      <c r="B96" s="187">
        <v>0</v>
      </c>
      <c r="C96" s="13">
        <f>+C95</f>
        <v>45.078296703296701</v>
      </c>
      <c r="D96" s="178">
        <f t="shared" ref="D96:D107" si="3">C96*B96</f>
        <v>0</v>
      </c>
    </row>
    <row r="97" spans="1:4" x14ac:dyDescent="0.25">
      <c r="A97" s="178" t="s">
        <v>2084</v>
      </c>
      <c r="B97" s="178">
        <v>96</v>
      </c>
      <c r="C97" s="13">
        <f>+C96</f>
        <v>45.078296703296701</v>
      </c>
      <c r="D97" s="178">
        <f t="shared" si="3"/>
        <v>4327.5164835164833</v>
      </c>
    </row>
    <row r="98" spans="1:4" x14ac:dyDescent="0.25">
      <c r="A98" s="2" t="s">
        <v>2085</v>
      </c>
      <c r="B98" s="2">
        <v>0</v>
      </c>
      <c r="C98" s="13">
        <f>+C97</f>
        <v>45.078296703296701</v>
      </c>
      <c r="D98" s="2">
        <f t="shared" si="3"/>
        <v>0</v>
      </c>
    </row>
    <row r="99" spans="1:4" ht="13.8" x14ac:dyDescent="0.3">
      <c r="A99" s="193" t="s">
        <v>2086</v>
      </c>
      <c r="B99" s="187"/>
      <c r="C99" s="186"/>
    </row>
    <row r="100" spans="1:4" hidden="1" x14ac:dyDescent="0.25">
      <c r="A100" s="187" t="s">
        <v>2087</v>
      </c>
      <c r="B100" s="187">
        <v>0</v>
      </c>
      <c r="C100" s="13">
        <f>+C94</f>
        <v>45.078296703296701</v>
      </c>
      <c r="D100" s="2">
        <f t="shared" si="3"/>
        <v>0</v>
      </c>
    </row>
    <row r="101" spans="1:4" hidden="1" x14ac:dyDescent="0.25">
      <c r="A101" s="187" t="s">
        <v>2088</v>
      </c>
      <c r="B101" s="187">
        <v>0</v>
      </c>
      <c r="C101" s="13">
        <f t="shared" ref="C101:C107" si="4">+C95</f>
        <v>45.078296703296701</v>
      </c>
      <c r="D101" s="2">
        <f t="shared" si="3"/>
        <v>0</v>
      </c>
    </row>
    <row r="102" spans="1:4" hidden="1" x14ac:dyDescent="0.25">
      <c r="A102" s="187" t="s">
        <v>2089</v>
      </c>
      <c r="B102" s="187">
        <v>0</v>
      </c>
      <c r="C102" s="13">
        <f t="shared" si="4"/>
        <v>45.078296703296701</v>
      </c>
      <c r="D102" s="2">
        <f t="shared" si="3"/>
        <v>0</v>
      </c>
    </row>
    <row r="103" spans="1:4" hidden="1" x14ac:dyDescent="0.25">
      <c r="A103" s="187" t="s">
        <v>2090</v>
      </c>
      <c r="B103" s="187">
        <v>0</v>
      </c>
      <c r="C103" s="13">
        <f t="shared" si="4"/>
        <v>45.078296703296701</v>
      </c>
      <c r="D103" s="2">
        <f t="shared" si="3"/>
        <v>0</v>
      </c>
    </row>
    <row r="104" spans="1:4" hidden="1" x14ac:dyDescent="0.25">
      <c r="A104" s="187" t="s">
        <v>2091</v>
      </c>
      <c r="B104" s="187">
        <v>0</v>
      </c>
      <c r="C104" s="13">
        <f t="shared" si="4"/>
        <v>45.078296703296701</v>
      </c>
      <c r="D104" s="2">
        <f t="shared" si="3"/>
        <v>0</v>
      </c>
    </row>
    <row r="105" spans="1:4" hidden="1" x14ac:dyDescent="0.25">
      <c r="A105" s="187" t="s">
        <v>2092</v>
      </c>
      <c r="B105" s="187">
        <v>0</v>
      </c>
      <c r="C105" s="13">
        <f t="shared" si="4"/>
        <v>0</v>
      </c>
      <c r="D105" s="2">
        <f t="shared" si="3"/>
        <v>0</v>
      </c>
    </row>
    <row r="106" spans="1:4" hidden="1" x14ac:dyDescent="0.25">
      <c r="A106" s="187" t="s">
        <v>2093</v>
      </c>
      <c r="B106" s="187">
        <v>0</v>
      </c>
      <c r="C106" s="13">
        <f t="shared" si="4"/>
        <v>45.078296703296701</v>
      </c>
      <c r="D106" s="2">
        <f t="shared" si="3"/>
        <v>0</v>
      </c>
    </row>
    <row r="107" spans="1:4" hidden="1" x14ac:dyDescent="0.25">
      <c r="A107" s="187" t="s">
        <v>2094</v>
      </c>
      <c r="B107" s="187">
        <v>0</v>
      </c>
      <c r="C107" s="13">
        <f t="shared" si="4"/>
        <v>45.078296703296701</v>
      </c>
      <c r="D107" s="2">
        <f t="shared" si="3"/>
        <v>0</v>
      </c>
    </row>
    <row r="108" spans="1:4" x14ac:dyDescent="0.25">
      <c r="A108" s="2" t="s">
        <v>1720</v>
      </c>
      <c r="B108" s="2">
        <v>480</v>
      </c>
      <c r="C108" s="13">
        <f>+C94</f>
        <v>45.078296703296701</v>
      </c>
      <c r="D108" s="2">
        <f>+B108*C108</f>
        <v>21637.582417582416</v>
      </c>
    </row>
    <row r="109" spans="1:4" x14ac:dyDescent="0.25">
      <c r="A109" s="2" t="s">
        <v>1618</v>
      </c>
      <c r="B109" s="2">
        <v>100</v>
      </c>
      <c r="C109" s="13">
        <f>+C94</f>
        <v>45.078296703296701</v>
      </c>
      <c r="D109" s="2">
        <f>+B109*C109</f>
        <v>4507.8296703296701</v>
      </c>
    </row>
    <row r="110" spans="1:4" x14ac:dyDescent="0.25">
      <c r="A110" s="2" t="s">
        <v>1902</v>
      </c>
      <c r="C110" s="13"/>
    </row>
    <row r="111" spans="1:4" ht="15" x14ac:dyDescent="0.4">
      <c r="A111" s="2" t="s">
        <v>2268</v>
      </c>
      <c r="B111" s="2">
        <v>0</v>
      </c>
      <c r="C111" s="13">
        <f>+C94</f>
        <v>45.078296703296701</v>
      </c>
      <c r="D111" s="12">
        <v>0</v>
      </c>
    </row>
    <row r="112" spans="1:4" x14ac:dyDescent="0.25">
      <c r="A112" s="2" t="s">
        <v>1279</v>
      </c>
      <c r="C112" s="13"/>
      <c r="D112" s="2">
        <f>SUM(D94:D111)</f>
        <v>178397.35920329671</v>
      </c>
    </row>
    <row r="113" spans="1:10" x14ac:dyDescent="0.25">
      <c r="C113" s="13"/>
    </row>
    <row r="114" spans="1:10" ht="13.8" x14ac:dyDescent="0.3">
      <c r="A114" s="64" t="s">
        <v>516</v>
      </c>
      <c r="B114" s="2" t="s">
        <v>617</v>
      </c>
      <c r="C114" s="13" t="s">
        <v>618</v>
      </c>
      <c r="D114" s="2" t="s">
        <v>616</v>
      </c>
      <c r="E114" s="2">
        <v>95139.9</v>
      </c>
      <c r="F114" s="2">
        <v>155078</v>
      </c>
      <c r="G114" s="2">
        <v>154954</v>
      </c>
      <c r="H114" s="2">
        <v>154954</v>
      </c>
      <c r="I114" s="2">
        <v>154954</v>
      </c>
      <c r="J114" s="2">
        <v>154155</v>
      </c>
    </row>
    <row r="115" spans="1:10" x14ac:dyDescent="0.25">
      <c r="A115" s="2" t="s">
        <v>1710</v>
      </c>
      <c r="B115" s="2">
        <v>2080</v>
      </c>
      <c r="C115" s="13">
        <v>16</v>
      </c>
      <c r="D115" s="2">
        <f>+B115*C115</f>
        <v>33280</v>
      </c>
    </row>
    <row r="116" spans="1:10" x14ac:dyDescent="0.25">
      <c r="A116" s="2" t="s">
        <v>1711</v>
      </c>
      <c r="B116" s="2">
        <v>2080</v>
      </c>
      <c r="C116" s="13">
        <v>16</v>
      </c>
      <c r="D116" s="2">
        <f t="shared" ref="D116:D121" si="5">+B116*C116</f>
        <v>33280</v>
      </c>
    </row>
    <row r="117" spans="1:10" x14ac:dyDescent="0.25">
      <c r="A117" s="2" t="s">
        <v>1712</v>
      </c>
      <c r="B117" s="17">
        <v>832</v>
      </c>
      <c r="C117" s="40">
        <v>16</v>
      </c>
      <c r="D117" s="2">
        <f t="shared" si="5"/>
        <v>13312</v>
      </c>
    </row>
    <row r="118" spans="1:10" x14ac:dyDescent="0.25">
      <c r="A118" s="2" t="s">
        <v>1713</v>
      </c>
      <c r="B118" s="2">
        <v>832</v>
      </c>
      <c r="C118" s="24">
        <v>16</v>
      </c>
      <c r="D118" s="2">
        <f t="shared" si="5"/>
        <v>13312</v>
      </c>
    </row>
    <row r="119" spans="1:10" x14ac:dyDescent="0.25">
      <c r="A119" s="2" t="s">
        <v>1714</v>
      </c>
      <c r="B119" s="2">
        <v>0</v>
      </c>
      <c r="C119" s="13">
        <v>16</v>
      </c>
      <c r="D119" s="2">
        <f t="shared" si="5"/>
        <v>0</v>
      </c>
    </row>
    <row r="120" spans="1:10" x14ac:dyDescent="0.25">
      <c r="A120" s="2" t="s">
        <v>1715</v>
      </c>
      <c r="B120" s="2">
        <v>192</v>
      </c>
      <c r="C120" s="24">
        <v>16</v>
      </c>
      <c r="D120" s="2">
        <f t="shared" si="5"/>
        <v>3072</v>
      </c>
    </row>
    <row r="121" spans="1:10" x14ac:dyDescent="0.25">
      <c r="A121" s="2" t="s">
        <v>1716</v>
      </c>
      <c r="B121" s="2">
        <v>1248</v>
      </c>
      <c r="C121" s="24">
        <v>21.79</v>
      </c>
      <c r="D121" s="2">
        <f t="shared" si="5"/>
        <v>27193.919999999998</v>
      </c>
    </row>
    <row r="122" spans="1:10" x14ac:dyDescent="0.25">
      <c r="A122" s="5" t="s">
        <v>1420</v>
      </c>
      <c r="B122" s="17"/>
      <c r="C122" s="40"/>
    </row>
    <row r="123" spans="1:10" x14ac:dyDescent="0.25">
      <c r="A123" s="2" t="s">
        <v>347</v>
      </c>
      <c r="B123" s="2">
        <v>1200</v>
      </c>
      <c r="C123" s="24">
        <v>11.7</v>
      </c>
      <c r="D123" s="2">
        <f>+B123*C123</f>
        <v>14040</v>
      </c>
    </row>
    <row r="124" spans="1:10" x14ac:dyDescent="0.25">
      <c r="A124" s="54" t="s">
        <v>628</v>
      </c>
      <c r="B124" s="2">
        <v>200</v>
      </c>
      <c r="C124" s="24">
        <v>17.55</v>
      </c>
      <c r="D124" s="2">
        <f>+B124*C124</f>
        <v>3510</v>
      </c>
    </row>
    <row r="125" spans="1:10" x14ac:dyDescent="0.25">
      <c r="A125" s="26"/>
      <c r="B125" s="17"/>
      <c r="C125" s="40"/>
    </row>
    <row r="126" spans="1:10" ht="15" x14ac:dyDescent="0.4">
      <c r="A126" s="2" t="s">
        <v>1619</v>
      </c>
      <c r="B126" s="2">
        <v>877</v>
      </c>
      <c r="C126" s="13">
        <v>15</v>
      </c>
      <c r="D126" s="12">
        <f>+B126*C126</f>
        <v>13155</v>
      </c>
    </row>
    <row r="127" spans="1:10" ht="13.8" x14ac:dyDescent="0.3">
      <c r="A127" s="56" t="s">
        <v>1279</v>
      </c>
      <c r="C127" s="13"/>
      <c r="D127" s="2">
        <f>SUM(D115:D126)</f>
        <v>154154.91999999998</v>
      </c>
    </row>
    <row r="128" spans="1:10" x14ac:dyDescent="0.25">
      <c r="C128" s="13"/>
    </row>
    <row r="129" spans="1:10" ht="13.8" x14ac:dyDescent="0.3">
      <c r="A129" s="64" t="s">
        <v>1548</v>
      </c>
      <c r="B129" s="2" t="s">
        <v>617</v>
      </c>
      <c r="C129" s="13" t="s">
        <v>618</v>
      </c>
      <c r="D129" s="2" t="s">
        <v>616</v>
      </c>
      <c r="E129" s="2">
        <v>326828</v>
      </c>
      <c r="F129" s="2">
        <v>394911</v>
      </c>
      <c r="G129" s="2">
        <v>434275.1819302722</v>
      </c>
      <c r="H129" s="2">
        <v>349403</v>
      </c>
      <c r="I129" s="2">
        <v>350048</v>
      </c>
      <c r="J129" s="2">
        <v>350048</v>
      </c>
    </row>
    <row r="130" spans="1:10" x14ac:dyDescent="0.25">
      <c r="A130" s="2" t="s">
        <v>2220</v>
      </c>
      <c r="B130" s="2">
        <v>1700</v>
      </c>
      <c r="C130" s="13">
        <f>+(+SUM(D44:D67)+SUM(D75:D89))/2184/24*1.5</f>
        <v>39.560496794871796</v>
      </c>
      <c r="D130" s="2">
        <f>ROUND(B130*C130,0)</f>
        <v>67253</v>
      </c>
      <c r="E130" s="13"/>
    </row>
    <row r="131" spans="1:10" x14ac:dyDescent="0.25">
      <c r="A131" s="2" t="s">
        <v>2221</v>
      </c>
      <c r="B131" s="2">
        <f>-137+4900</f>
        <v>4763</v>
      </c>
      <c r="C131" s="13">
        <f>+C130</f>
        <v>39.560496794871796</v>
      </c>
      <c r="D131" s="2">
        <f>ROUND(B131*C131,0)</f>
        <v>188427</v>
      </c>
      <c r="E131" s="13"/>
    </row>
    <row r="132" spans="1:10" x14ac:dyDescent="0.25">
      <c r="A132" s="2" t="s">
        <v>2095</v>
      </c>
      <c r="B132" s="2">
        <v>0</v>
      </c>
      <c r="C132" s="13">
        <f>+C130</f>
        <v>39.560496794871796</v>
      </c>
      <c r="D132" s="2">
        <f>C132*B132</f>
        <v>0</v>
      </c>
      <c r="E132" s="13"/>
    </row>
    <row r="133" spans="1:10" x14ac:dyDescent="0.25">
      <c r="A133" s="2" t="s">
        <v>2272</v>
      </c>
      <c r="B133" s="2">
        <v>1680</v>
      </c>
      <c r="C133" s="13">
        <f>+C130</f>
        <v>39.560496794871796</v>
      </c>
      <c r="D133" s="2">
        <f>+B133*C133</f>
        <v>66461.63461538461</v>
      </c>
      <c r="E133" s="13"/>
    </row>
    <row r="134" spans="1:10" ht="13.8" x14ac:dyDescent="0.3">
      <c r="A134" s="193" t="s">
        <v>2096</v>
      </c>
      <c r="C134" s="13"/>
      <c r="E134" s="13"/>
    </row>
    <row r="135" spans="1:10" x14ac:dyDescent="0.25">
      <c r="A135" s="2" t="s">
        <v>2097</v>
      </c>
      <c r="B135" s="2">
        <v>192</v>
      </c>
      <c r="C135" s="13">
        <f>+C131</f>
        <v>39.560496794871796</v>
      </c>
      <c r="D135" s="2">
        <f>+B135*C135</f>
        <v>7595.6153846153848</v>
      </c>
      <c r="E135" s="13"/>
    </row>
    <row r="136" spans="1:10" x14ac:dyDescent="0.25">
      <c r="A136" s="2" t="s">
        <v>1717</v>
      </c>
      <c r="B136" s="2">
        <v>96</v>
      </c>
      <c r="C136" s="13">
        <f>+C130</f>
        <v>39.560496794871796</v>
      </c>
      <c r="D136" s="2">
        <f>C136*B136</f>
        <v>3797.8076923076924</v>
      </c>
      <c r="E136" s="13"/>
    </row>
    <row r="137" spans="1:10" x14ac:dyDescent="0.25">
      <c r="A137" s="178" t="s">
        <v>2098</v>
      </c>
      <c r="B137" s="178">
        <v>216</v>
      </c>
      <c r="C137" s="186">
        <v>36.650510204081627</v>
      </c>
      <c r="D137" s="178">
        <v>7916.5102040816309</v>
      </c>
      <c r="E137" s="13"/>
    </row>
    <row r="138" spans="1:10" x14ac:dyDescent="0.25">
      <c r="A138" s="54" t="s">
        <v>1555</v>
      </c>
      <c r="B138" s="54">
        <v>192</v>
      </c>
      <c r="C138" s="13">
        <f>+C130</f>
        <v>39.560496794871796</v>
      </c>
      <c r="D138" s="2">
        <f>+B138*C138</f>
        <v>7595.6153846153848</v>
      </c>
      <c r="E138" s="13"/>
    </row>
    <row r="139" spans="1:10" x14ac:dyDescent="0.25">
      <c r="A139" s="54" t="s">
        <v>1718</v>
      </c>
      <c r="B139" s="54">
        <v>169</v>
      </c>
      <c r="C139" s="13">
        <f>+C131</f>
        <v>39.560496794871796</v>
      </c>
      <c r="D139" s="2">
        <f>+B139*C139</f>
        <v>6685.723958333333</v>
      </c>
      <c r="E139" s="13"/>
    </row>
    <row r="140" spans="1:10" ht="13.8" x14ac:dyDescent="0.3">
      <c r="A140" s="193" t="s">
        <v>2086</v>
      </c>
      <c r="B140" s="187"/>
      <c r="C140" s="186"/>
      <c r="D140" s="178"/>
      <c r="E140" s="13"/>
    </row>
    <row r="141" spans="1:10" hidden="1" x14ac:dyDescent="0.25">
      <c r="A141" s="187" t="s">
        <v>2099</v>
      </c>
      <c r="B141" s="187">
        <v>0</v>
      </c>
      <c r="C141" s="186">
        <v>39.560496794871796</v>
      </c>
      <c r="D141" s="2">
        <f t="shared" ref="D141:D148" si="6">+B141*C141</f>
        <v>0</v>
      </c>
      <c r="E141" s="13"/>
    </row>
    <row r="142" spans="1:10" hidden="1" x14ac:dyDescent="0.25">
      <c r="A142" s="187" t="s">
        <v>2100</v>
      </c>
      <c r="B142" s="187">
        <v>0</v>
      </c>
      <c r="C142" s="186">
        <v>39.560496794871796</v>
      </c>
      <c r="D142" s="2">
        <f t="shared" si="6"/>
        <v>0</v>
      </c>
      <c r="E142" s="13"/>
    </row>
    <row r="143" spans="1:10" hidden="1" x14ac:dyDescent="0.25">
      <c r="A143" s="187" t="s">
        <v>2089</v>
      </c>
      <c r="B143" s="187">
        <v>0</v>
      </c>
      <c r="C143" s="186">
        <v>39.560496794871796</v>
      </c>
      <c r="D143" s="2">
        <f t="shared" si="6"/>
        <v>0</v>
      </c>
      <c r="E143" s="13"/>
    </row>
    <row r="144" spans="1:10" hidden="1" x14ac:dyDescent="0.25">
      <c r="A144" s="187" t="s">
        <v>2090</v>
      </c>
      <c r="B144" s="187">
        <v>0</v>
      </c>
      <c r="C144" s="186">
        <v>39.560496794871796</v>
      </c>
      <c r="D144" s="2">
        <f t="shared" si="6"/>
        <v>0</v>
      </c>
      <c r="E144" s="13"/>
    </row>
    <row r="145" spans="1:10" hidden="1" x14ac:dyDescent="0.25">
      <c r="A145" s="187" t="s">
        <v>2101</v>
      </c>
      <c r="B145" s="187">
        <v>0</v>
      </c>
      <c r="C145" s="186">
        <v>39.560496794871796</v>
      </c>
      <c r="D145" s="2">
        <f t="shared" si="6"/>
        <v>0</v>
      </c>
      <c r="E145" s="13"/>
    </row>
    <row r="146" spans="1:10" hidden="1" x14ac:dyDescent="0.25">
      <c r="A146" s="187" t="s">
        <v>2092</v>
      </c>
      <c r="B146" s="187">
        <v>0</v>
      </c>
      <c r="C146" s="186">
        <v>39.560496794871796</v>
      </c>
      <c r="D146" s="2">
        <f t="shared" si="6"/>
        <v>0</v>
      </c>
      <c r="E146" s="13"/>
    </row>
    <row r="147" spans="1:10" hidden="1" x14ac:dyDescent="0.25">
      <c r="A147" s="187" t="s">
        <v>2102</v>
      </c>
      <c r="B147" s="187">
        <v>0</v>
      </c>
      <c r="C147" s="186">
        <v>39.560496794871796</v>
      </c>
      <c r="D147" s="2">
        <f t="shared" si="6"/>
        <v>0</v>
      </c>
      <c r="E147" s="13"/>
    </row>
    <row r="148" spans="1:10" hidden="1" x14ac:dyDescent="0.25">
      <c r="A148" s="187" t="s">
        <v>2094</v>
      </c>
      <c r="B148" s="187">
        <v>0</v>
      </c>
      <c r="C148" s="186">
        <v>39.560496794871796</v>
      </c>
      <c r="D148" s="2">
        <f t="shared" si="6"/>
        <v>0</v>
      </c>
      <c r="E148" s="13"/>
    </row>
    <row r="149" spans="1:10" hidden="1" x14ac:dyDescent="0.25">
      <c r="A149" s="53" t="s">
        <v>89</v>
      </c>
      <c r="B149" s="2">
        <v>0</v>
      </c>
      <c r="C149" s="13"/>
      <c r="D149" s="2">
        <v>0</v>
      </c>
      <c r="E149" s="13"/>
    </row>
    <row r="150" spans="1:10" x14ac:dyDescent="0.25">
      <c r="A150" s="53" t="s">
        <v>2103</v>
      </c>
      <c r="B150" s="2">
        <v>80</v>
      </c>
      <c r="C150" s="186">
        <v>39.560496794871796</v>
      </c>
      <c r="D150" s="2">
        <f>+B150*C150</f>
        <v>3164.8397435897436</v>
      </c>
      <c r="E150" s="13"/>
    </row>
    <row r="151" spans="1:10" x14ac:dyDescent="0.25">
      <c r="A151" s="53" t="s">
        <v>2215</v>
      </c>
      <c r="C151" s="186"/>
      <c r="D151" s="2">
        <v>-8850</v>
      </c>
      <c r="E151" s="13"/>
    </row>
    <row r="152" spans="1:10" ht="15" x14ac:dyDescent="0.4">
      <c r="A152" s="2" t="s">
        <v>2198</v>
      </c>
      <c r="C152" s="13"/>
      <c r="D152" s="12">
        <v>0</v>
      </c>
      <c r="E152" s="13"/>
    </row>
    <row r="153" spans="1:10" x14ac:dyDescent="0.25">
      <c r="A153" s="53" t="s">
        <v>1279</v>
      </c>
      <c r="C153" s="15"/>
      <c r="D153" s="2">
        <f>SUM(D130:D152)</f>
        <v>350047.74698292778</v>
      </c>
    </row>
    <row r="154" spans="1:10" x14ac:dyDescent="0.25">
      <c r="A154" s="53"/>
      <c r="C154" s="15"/>
    </row>
    <row r="155" spans="1:10" ht="15" x14ac:dyDescent="0.4">
      <c r="A155" s="64" t="s">
        <v>922</v>
      </c>
      <c r="C155" s="15"/>
      <c r="D155" s="12"/>
      <c r="E155" s="2">
        <v>52336</v>
      </c>
      <c r="F155" s="2">
        <v>58385</v>
      </c>
      <c r="G155" s="2">
        <v>63389.89257050879</v>
      </c>
      <c r="H155" s="2">
        <v>59177</v>
      </c>
      <c r="I155" s="2">
        <v>60176</v>
      </c>
      <c r="J155" s="2">
        <v>60262</v>
      </c>
    </row>
    <row r="156" spans="1:10" hidden="1" x14ac:dyDescent="0.25">
      <c r="A156" s="2" t="s">
        <v>923</v>
      </c>
      <c r="B156" s="2">
        <f>+D9</f>
        <v>46693</v>
      </c>
      <c r="C156" s="87">
        <v>7.6499999999999999E-2</v>
      </c>
      <c r="D156" s="2">
        <f>+C156*B156</f>
        <v>3572.0144999999998</v>
      </c>
    </row>
    <row r="157" spans="1:10" hidden="1" x14ac:dyDescent="0.25">
      <c r="A157" s="2" t="s">
        <v>1511</v>
      </c>
      <c r="B157" s="2">
        <f>+D41</f>
        <v>946656</v>
      </c>
      <c r="C157" s="87">
        <v>1.4500000000000001E-2</v>
      </c>
      <c r="D157" s="2">
        <f>+C157*B157</f>
        <v>13726.512000000001</v>
      </c>
    </row>
    <row r="158" spans="1:10" hidden="1" x14ac:dyDescent="0.25">
      <c r="A158" s="194" t="s">
        <v>831</v>
      </c>
      <c r="B158" s="2">
        <f>+D91</f>
        <v>1619959.0755555551</v>
      </c>
      <c r="C158" s="87">
        <v>1.4500000000000001E-2</v>
      </c>
      <c r="D158" s="2">
        <f>+C158*B158</f>
        <v>23489.406595555549</v>
      </c>
    </row>
    <row r="159" spans="1:10" hidden="1" x14ac:dyDescent="0.25">
      <c r="A159" s="53" t="s">
        <v>924</v>
      </c>
      <c r="B159" s="2">
        <f>+D112</f>
        <v>178397.35920329671</v>
      </c>
      <c r="C159" s="87">
        <v>1.4500000000000001E-2</v>
      </c>
      <c r="D159" s="2">
        <f>+C159*B159</f>
        <v>2586.7617084478024</v>
      </c>
    </row>
    <row r="160" spans="1:10" hidden="1" x14ac:dyDescent="0.25">
      <c r="A160" s="53" t="s">
        <v>201</v>
      </c>
      <c r="B160" s="2">
        <f>+D127</f>
        <v>154154.91999999998</v>
      </c>
      <c r="C160" s="87">
        <v>7.6499999999999999E-2</v>
      </c>
      <c r="D160" s="2">
        <f>+C160*B160</f>
        <v>11792.851379999998</v>
      </c>
    </row>
    <row r="161" spans="1:10" hidden="1" x14ac:dyDescent="0.25">
      <c r="A161" s="53" t="s">
        <v>202</v>
      </c>
      <c r="B161" s="2">
        <f>+D153</f>
        <v>350047.74698292778</v>
      </c>
      <c r="C161" s="87">
        <v>1.4500000000000001E-2</v>
      </c>
      <c r="D161" s="211">
        <f>+C161*B161+19</f>
        <v>5094.6923312524532</v>
      </c>
    </row>
    <row r="162" spans="1:10" hidden="1" x14ac:dyDescent="0.25">
      <c r="A162" s="53" t="s">
        <v>1279</v>
      </c>
      <c r="C162" s="87"/>
      <c r="D162" s="2">
        <f>SUM(D156:D161)</f>
        <v>60262.238515255805</v>
      </c>
    </row>
    <row r="163" spans="1:10" x14ac:dyDescent="0.25">
      <c r="A163" s="53"/>
      <c r="C163" s="87"/>
      <c r="D163" s="19"/>
    </row>
    <row r="164" spans="1:10" ht="13.8" x14ac:dyDescent="0.3">
      <c r="A164" s="89" t="s">
        <v>925</v>
      </c>
      <c r="C164" s="87"/>
      <c r="E164" s="2">
        <v>763113</v>
      </c>
      <c r="F164" s="2">
        <v>869047</v>
      </c>
      <c r="G164" s="2">
        <v>1061955.1913890517</v>
      </c>
      <c r="H164" s="2">
        <v>969308</v>
      </c>
      <c r="I164" s="2">
        <v>990854</v>
      </c>
      <c r="J164" s="2">
        <v>992688</v>
      </c>
    </row>
    <row r="165" spans="1:10" hidden="1" x14ac:dyDescent="0.25">
      <c r="A165" s="2" t="s">
        <v>923</v>
      </c>
      <c r="B165" s="2">
        <f>+B156</f>
        <v>46693</v>
      </c>
      <c r="C165" s="87">
        <v>0.1215</v>
      </c>
      <c r="D165" s="2">
        <f>+C165*B165</f>
        <v>5673.1994999999997</v>
      </c>
    </row>
    <row r="166" spans="1:10" hidden="1" x14ac:dyDescent="0.25">
      <c r="A166" s="2" t="s">
        <v>926</v>
      </c>
      <c r="B166" s="2">
        <f>+B157</f>
        <v>946656</v>
      </c>
      <c r="C166" s="87">
        <v>0.31890000000000002</v>
      </c>
      <c r="D166" s="2">
        <f>+C166*B166</f>
        <v>301888.59840000002</v>
      </c>
    </row>
    <row r="167" spans="1:10" hidden="1" x14ac:dyDescent="0.25">
      <c r="A167" s="2" t="s">
        <v>927</v>
      </c>
      <c r="B167" s="2">
        <f>+B158</f>
        <v>1619959.0755555551</v>
      </c>
      <c r="C167" s="87">
        <v>0.31890000000000002</v>
      </c>
      <c r="D167" s="2">
        <f>+C167*B167</f>
        <v>516604.94919466652</v>
      </c>
    </row>
    <row r="168" spans="1:10" hidden="1" x14ac:dyDescent="0.25">
      <c r="A168" s="2" t="s">
        <v>928</v>
      </c>
      <c r="B168" s="2">
        <f>+B159</f>
        <v>178397.35920329671</v>
      </c>
      <c r="C168" s="87">
        <v>0.31890000000000002</v>
      </c>
      <c r="D168" s="2">
        <f>+C168*B168</f>
        <v>56890.917849931328</v>
      </c>
    </row>
    <row r="169" spans="1:10" hidden="1" x14ac:dyDescent="0.25">
      <c r="A169" s="2" t="s">
        <v>535</v>
      </c>
      <c r="B169" s="2">
        <f>+B161</f>
        <v>350047.74698292778</v>
      </c>
      <c r="C169" s="87">
        <v>0.31890000000000002</v>
      </c>
      <c r="D169" s="19">
        <f>+C169*B169</f>
        <v>111630.22651285568</v>
      </c>
    </row>
    <row r="170" spans="1:10" hidden="1" x14ac:dyDescent="0.25">
      <c r="A170" s="2" t="s">
        <v>1279</v>
      </c>
      <c r="C170" s="87"/>
      <c r="D170" s="2">
        <f>SUM(D165:D169)</f>
        <v>992687.8914574536</v>
      </c>
    </row>
    <row r="171" spans="1:10" x14ac:dyDescent="0.25">
      <c r="C171" s="87"/>
    </row>
    <row r="172" spans="1:10" ht="13.8" x14ac:dyDescent="0.3">
      <c r="A172" s="55" t="s">
        <v>1005</v>
      </c>
      <c r="C172" s="87"/>
      <c r="E172" s="2">
        <v>636107</v>
      </c>
      <c r="F172" s="2">
        <v>640100</v>
      </c>
      <c r="G172" s="2">
        <v>757000</v>
      </c>
      <c r="H172" s="2">
        <v>702000</v>
      </c>
      <c r="I172" s="2">
        <v>736500</v>
      </c>
      <c r="J172" s="2">
        <v>736500</v>
      </c>
    </row>
    <row r="173" spans="1:10" x14ac:dyDescent="0.25">
      <c r="A173" s="2" t="s">
        <v>2218</v>
      </c>
      <c r="B173" s="2">
        <v>28</v>
      </c>
      <c r="C173" s="2">
        <v>17250</v>
      </c>
      <c r="D173" s="2">
        <f>+B173*C173</f>
        <v>483000</v>
      </c>
    </row>
    <row r="174" spans="1:10" x14ac:dyDescent="0.25">
      <c r="A174" s="2" t="s">
        <v>2219</v>
      </c>
      <c r="B174" s="2">
        <v>9</v>
      </c>
      <c r="C174" s="2">
        <v>20500</v>
      </c>
      <c r="D174" s="2">
        <f>+B174*C174</f>
        <v>184500</v>
      </c>
    </row>
    <row r="175" spans="1:10" ht="15" x14ac:dyDescent="0.4">
      <c r="A175" s="2" t="s">
        <v>325</v>
      </c>
      <c r="B175" s="2">
        <v>4</v>
      </c>
      <c r="C175" s="2">
        <v>17250</v>
      </c>
      <c r="D175" s="12">
        <f>+B175*C175</f>
        <v>69000</v>
      </c>
    </row>
    <row r="176" spans="1:10" x14ac:dyDescent="0.25">
      <c r="A176" s="2" t="s">
        <v>825</v>
      </c>
      <c r="D176" s="2">
        <f>SUM(D173:D175)</f>
        <v>736500</v>
      </c>
    </row>
    <row r="178" spans="1:10" ht="13.8" x14ac:dyDescent="0.3">
      <c r="A178" s="55" t="s">
        <v>1006</v>
      </c>
      <c r="E178" s="2">
        <v>40364</v>
      </c>
      <c r="F178" s="2">
        <v>43290</v>
      </c>
      <c r="G178" s="2">
        <v>49790</v>
      </c>
      <c r="H178" s="2">
        <v>45890</v>
      </c>
      <c r="I178" s="2">
        <v>45890</v>
      </c>
      <c r="J178" s="2">
        <v>45890</v>
      </c>
    </row>
    <row r="179" spans="1:10" x14ac:dyDescent="0.25">
      <c r="A179" s="2" t="s">
        <v>324</v>
      </c>
      <c r="B179" s="2">
        <f>SUM(B173:B174)</f>
        <v>37</v>
      </c>
      <c r="C179" s="2">
        <v>1300</v>
      </c>
      <c r="D179" s="2">
        <f>+B179*C179</f>
        <v>48100</v>
      </c>
    </row>
    <row r="180" spans="1:10" x14ac:dyDescent="0.25">
      <c r="A180" s="2" t="s">
        <v>325</v>
      </c>
      <c r="B180" s="2">
        <v>4</v>
      </c>
      <c r="C180" s="2">
        <v>1300</v>
      </c>
      <c r="D180" s="2">
        <f>+B180*C180</f>
        <v>5200</v>
      </c>
    </row>
    <row r="181" spans="1:10" x14ac:dyDescent="0.25">
      <c r="A181" s="2" t="s">
        <v>245</v>
      </c>
      <c r="D181" s="19">
        <f>+C180*-0.1*37</f>
        <v>-4810</v>
      </c>
    </row>
    <row r="182" spans="1:10" x14ac:dyDescent="0.25">
      <c r="A182" s="8" t="s">
        <v>825</v>
      </c>
      <c r="D182" s="2">
        <f>SUM(D179:D181)</f>
        <v>48490</v>
      </c>
    </row>
    <row r="184" spans="1:10" ht="13.8" x14ac:dyDescent="0.3">
      <c r="A184" s="55" t="s">
        <v>1007</v>
      </c>
      <c r="E184" s="2">
        <v>1482</v>
      </c>
      <c r="F184" s="2">
        <v>1695</v>
      </c>
      <c r="G184" s="2">
        <v>2870</v>
      </c>
      <c r="H184" s="2">
        <v>2665</v>
      </c>
      <c r="I184" s="2">
        <v>2665</v>
      </c>
      <c r="J184" s="2">
        <v>2665</v>
      </c>
    </row>
    <row r="185" spans="1:10" hidden="1" x14ac:dyDescent="0.25">
      <c r="A185" s="2" t="s">
        <v>241</v>
      </c>
      <c r="B185" s="2">
        <v>4</v>
      </c>
      <c r="C185" s="2">
        <v>135</v>
      </c>
      <c r="D185" s="2">
        <f>+C185*B185</f>
        <v>540</v>
      </c>
    </row>
    <row r="186" spans="1:10" hidden="1" x14ac:dyDescent="0.25">
      <c r="A186" s="2" t="s">
        <v>1980</v>
      </c>
      <c r="B186" s="2">
        <v>9</v>
      </c>
      <c r="C186" s="2">
        <v>135</v>
      </c>
      <c r="D186" s="2">
        <f>+C186*B186</f>
        <v>1215</v>
      </c>
    </row>
    <row r="187" spans="1:10" ht="15" hidden="1" x14ac:dyDescent="0.4">
      <c r="A187" s="2" t="s">
        <v>1452</v>
      </c>
      <c r="B187" s="2">
        <v>28</v>
      </c>
      <c r="C187" s="2">
        <v>35</v>
      </c>
      <c r="D187" s="12">
        <f>+B187*C187</f>
        <v>980</v>
      </c>
    </row>
    <row r="188" spans="1:10" hidden="1" x14ac:dyDescent="0.25">
      <c r="A188" s="2" t="s">
        <v>1279</v>
      </c>
      <c r="D188" s="2">
        <f>SUM(D185:D187)</f>
        <v>2735</v>
      </c>
    </row>
    <row r="190" spans="1:10" ht="13.8" x14ac:dyDescent="0.3">
      <c r="A190" s="55" t="s">
        <v>228</v>
      </c>
      <c r="E190" s="2">
        <v>14844</v>
      </c>
      <c r="F190" s="2">
        <v>15170</v>
      </c>
      <c r="G190" s="2">
        <v>17220</v>
      </c>
      <c r="H190" s="2">
        <v>15990</v>
      </c>
      <c r="I190" s="2">
        <v>16810</v>
      </c>
      <c r="J190" s="2">
        <v>16810</v>
      </c>
    </row>
    <row r="191" spans="1:10" hidden="1" x14ac:dyDescent="0.25">
      <c r="A191" s="2" t="s">
        <v>241</v>
      </c>
      <c r="B191" s="2">
        <v>4</v>
      </c>
      <c r="C191" s="2">
        <v>410</v>
      </c>
      <c r="D191" s="2">
        <f>+C191*B191</f>
        <v>1640</v>
      </c>
    </row>
    <row r="192" spans="1:10" ht="15" hidden="1" x14ac:dyDescent="0.4">
      <c r="A192" s="2" t="s">
        <v>1452</v>
      </c>
      <c r="B192" s="2">
        <v>37</v>
      </c>
      <c r="C192" s="2">
        <v>410</v>
      </c>
      <c r="D192" s="12">
        <f>+C192*B192</f>
        <v>15170</v>
      </c>
    </row>
    <row r="193" spans="1:10" hidden="1" x14ac:dyDescent="0.25">
      <c r="A193" s="2" t="s">
        <v>1279</v>
      </c>
      <c r="D193" s="2">
        <f>SUM(D191:D192)</f>
        <v>16810</v>
      </c>
    </row>
    <row r="195" spans="1:10" ht="13.8" x14ac:dyDescent="0.3">
      <c r="A195" s="55" t="s">
        <v>308</v>
      </c>
      <c r="E195" s="2">
        <v>103087</v>
      </c>
      <c r="F195" s="2">
        <v>117548</v>
      </c>
      <c r="G195" s="2">
        <v>125179</v>
      </c>
      <c r="H195" s="2">
        <v>114789</v>
      </c>
      <c r="I195" s="2">
        <v>117360</v>
      </c>
      <c r="J195" s="2">
        <v>117538</v>
      </c>
    </row>
    <row r="196" spans="1:10" hidden="1" x14ac:dyDescent="0.25">
      <c r="A196" s="53" t="s">
        <v>923</v>
      </c>
      <c r="B196" s="2">
        <f>+D9</f>
        <v>46693</v>
      </c>
      <c r="C196" s="15">
        <v>1.6999999999999999E-3</v>
      </c>
      <c r="D196" s="2">
        <f t="shared" ref="D196:D201" si="7">+C196*B196</f>
        <v>79.378099999999989</v>
      </c>
    </row>
    <row r="197" spans="1:10" hidden="1" x14ac:dyDescent="0.25">
      <c r="A197" s="53" t="s">
        <v>1511</v>
      </c>
      <c r="B197" s="2">
        <f>+D41</f>
        <v>946656</v>
      </c>
      <c r="C197" s="15">
        <v>3.8199999999999998E-2</v>
      </c>
      <c r="D197" s="2">
        <f t="shared" si="7"/>
        <v>36162.2592</v>
      </c>
    </row>
    <row r="198" spans="1:10" hidden="1" x14ac:dyDescent="0.25">
      <c r="A198" s="53" t="s">
        <v>831</v>
      </c>
      <c r="B198" s="2">
        <f>+D91</f>
        <v>1619959.0755555551</v>
      </c>
      <c r="C198" s="15">
        <v>3.8199999999999998E-2</v>
      </c>
      <c r="D198" s="2">
        <f t="shared" si="7"/>
        <v>61882.436686222201</v>
      </c>
    </row>
    <row r="199" spans="1:10" hidden="1" x14ac:dyDescent="0.25">
      <c r="A199" s="53" t="s">
        <v>309</v>
      </c>
      <c r="B199" s="2">
        <f>+B168*0.67</f>
        <v>119526.23066620881</v>
      </c>
      <c r="C199" s="15">
        <v>3.8199999999999998E-2</v>
      </c>
      <c r="D199" s="2">
        <f t="shared" si="7"/>
        <v>4565.9020114491759</v>
      </c>
    </row>
    <row r="200" spans="1:10" hidden="1" x14ac:dyDescent="0.25">
      <c r="A200" s="53" t="s">
        <v>201</v>
      </c>
      <c r="B200" s="2">
        <f>+D127</f>
        <v>154154.91999999998</v>
      </c>
      <c r="C200" s="15">
        <v>3.8199999999999998E-2</v>
      </c>
      <c r="D200" s="2">
        <f t="shared" si="7"/>
        <v>5888.7179439999991</v>
      </c>
    </row>
    <row r="201" spans="1:10" ht="15" hidden="1" x14ac:dyDescent="0.4">
      <c r="A201" s="53" t="s">
        <v>354</v>
      </c>
      <c r="B201" s="2">
        <f>+B169*0.67</f>
        <v>234531.99047856164</v>
      </c>
      <c r="C201" s="15">
        <v>3.8199999999999998E-2</v>
      </c>
      <c r="D201" s="41">
        <f t="shared" si="7"/>
        <v>8959.1220362810545</v>
      </c>
    </row>
    <row r="202" spans="1:10" hidden="1" x14ac:dyDescent="0.25">
      <c r="A202" s="2" t="s">
        <v>1279</v>
      </c>
      <c r="C202" s="15"/>
      <c r="D202" s="2">
        <f>SUM(D196:D201)</f>
        <v>117537.81597795244</v>
      </c>
    </row>
    <row r="204" spans="1:10" ht="13.8" x14ac:dyDescent="0.3">
      <c r="A204" s="55" t="s">
        <v>161</v>
      </c>
      <c r="E204" s="2">
        <v>2029.7</v>
      </c>
      <c r="F204" s="2">
        <v>2448</v>
      </c>
      <c r="G204" s="2">
        <v>1962</v>
      </c>
      <c r="H204" s="2">
        <v>1927</v>
      </c>
      <c r="I204" s="2">
        <v>1927</v>
      </c>
      <c r="J204" s="2">
        <v>1927</v>
      </c>
    </row>
    <row r="205" spans="1:10" hidden="1" x14ac:dyDescent="0.25">
      <c r="A205" s="53" t="s">
        <v>348</v>
      </c>
      <c r="B205" s="2">
        <v>1</v>
      </c>
      <c r="C205" s="2">
        <v>35</v>
      </c>
      <c r="D205" s="2">
        <f>ROUND(B205*C205,0)</f>
        <v>35</v>
      </c>
    </row>
    <row r="206" spans="1:10" hidden="1" x14ac:dyDescent="0.25">
      <c r="A206" s="53" t="s">
        <v>349</v>
      </c>
      <c r="B206" s="2">
        <v>12</v>
      </c>
      <c r="C206" s="2">
        <v>35</v>
      </c>
      <c r="D206" s="2">
        <f t="shared" ref="D206:D211" si="8">ROUND(B206*C206,0)</f>
        <v>420</v>
      </c>
    </row>
    <row r="207" spans="1:10" hidden="1" x14ac:dyDescent="0.25">
      <c r="A207" s="53" t="s">
        <v>350</v>
      </c>
      <c r="B207" s="2">
        <v>28</v>
      </c>
      <c r="C207" s="2">
        <v>35</v>
      </c>
      <c r="D207" s="2">
        <f t="shared" si="8"/>
        <v>980</v>
      </c>
    </row>
    <row r="208" spans="1:10" hidden="1" x14ac:dyDescent="0.25">
      <c r="A208" s="2" t="s">
        <v>351</v>
      </c>
      <c r="B208" s="2">
        <v>2</v>
      </c>
      <c r="C208" s="2">
        <v>35</v>
      </c>
      <c r="D208" s="2">
        <f t="shared" si="8"/>
        <v>70</v>
      </c>
    </row>
    <row r="209" spans="1:10" hidden="1" x14ac:dyDescent="0.25">
      <c r="A209" s="2" t="s">
        <v>862</v>
      </c>
      <c r="B209" s="2">
        <v>1</v>
      </c>
      <c r="C209" s="2">
        <v>35</v>
      </c>
      <c r="D209" s="2">
        <f t="shared" si="8"/>
        <v>35</v>
      </c>
    </row>
    <row r="210" spans="1:10" hidden="1" x14ac:dyDescent="0.25">
      <c r="A210" s="53" t="s">
        <v>119</v>
      </c>
      <c r="B210" s="2">
        <v>1</v>
      </c>
      <c r="C210" s="2">
        <v>35</v>
      </c>
      <c r="D210" s="2">
        <f t="shared" si="8"/>
        <v>35</v>
      </c>
    </row>
    <row r="211" spans="1:10" ht="15" hidden="1" x14ac:dyDescent="0.4">
      <c r="A211" s="53" t="s">
        <v>1551</v>
      </c>
      <c r="B211" s="2">
        <f>+D127-D123</f>
        <v>140114.91999999998</v>
      </c>
      <c r="C211" s="15">
        <v>2.5000000000000001E-3</v>
      </c>
      <c r="D211" s="12">
        <f t="shared" si="8"/>
        <v>350</v>
      </c>
    </row>
    <row r="212" spans="1:10" hidden="1" x14ac:dyDescent="0.25">
      <c r="A212" s="2" t="s">
        <v>1279</v>
      </c>
      <c r="D212" s="2">
        <f>SUM(D205:D211)</f>
        <v>1925</v>
      </c>
    </row>
    <row r="213" spans="1:10" x14ac:dyDescent="0.25">
      <c r="G213" s="3"/>
    </row>
    <row r="214" spans="1:10" ht="13.8" x14ac:dyDescent="0.3">
      <c r="A214" s="55" t="s">
        <v>1552</v>
      </c>
      <c r="E214" s="2">
        <v>4184</v>
      </c>
      <c r="F214" s="2">
        <v>5070</v>
      </c>
      <c r="G214" s="3">
        <v>5070</v>
      </c>
      <c r="H214" s="2">
        <v>5070</v>
      </c>
      <c r="I214" s="2">
        <v>5070</v>
      </c>
      <c r="J214" s="2">
        <v>5070</v>
      </c>
    </row>
    <row r="215" spans="1:10" x14ac:dyDescent="0.25">
      <c r="A215" s="2" t="s">
        <v>1463</v>
      </c>
      <c r="G215" s="3"/>
    </row>
    <row r="216" spans="1:10" x14ac:dyDescent="0.25">
      <c r="A216" s="2" t="s">
        <v>1100</v>
      </c>
      <c r="D216" s="2">
        <v>4270</v>
      </c>
      <c r="G216" s="3"/>
    </row>
    <row r="217" spans="1:10" ht="15" x14ac:dyDescent="0.4">
      <c r="A217" s="2" t="s">
        <v>619</v>
      </c>
      <c r="D217" s="12">
        <v>800</v>
      </c>
      <c r="G217" s="3"/>
    </row>
    <row r="218" spans="1:10" x14ac:dyDescent="0.25">
      <c r="A218" s="26" t="s">
        <v>1279</v>
      </c>
      <c r="D218" s="2">
        <f>SUM(D216:D217)</f>
        <v>5070</v>
      </c>
      <c r="G218" s="3"/>
    </row>
    <row r="219" spans="1:10" x14ac:dyDescent="0.25">
      <c r="G219" s="3"/>
    </row>
    <row r="220" spans="1:10" ht="13.8" x14ac:dyDescent="0.3">
      <c r="A220" s="55" t="s">
        <v>1464</v>
      </c>
      <c r="E220" s="2">
        <v>3141</v>
      </c>
      <c r="F220" s="2">
        <v>5000</v>
      </c>
      <c r="G220" s="3">
        <v>5000</v>
      </c>
      <c r="H220" s="2">
        <v>5000</v>
      </c>
      <c r="I220" s="2">
        <v>5000</v>
      </c>
      <c r="J220" s="2">
        <v>5000</v>
      </c>
    </row>
    <row r="221" spans="1:10" x14ac:dyDescent="0.25">
      <c r="A221" s="2" t="s">
        <v>659</v>
      </c>
      <c r="D221" s="2">
        <v>3500</v>
      </c>
      <c r="G221" s="3"/>
    </row>
    <row r="222" spans="1:10" x14ac:dyDescent="0.25">
      <c r="A222" s="2" t="s">
        <v>1480</v>
      </c>
      <c r="D222" s="2">
        <v>200</v>
      </c>
      <c r="G222" s="3"/>
    </row>
    <row r="223" spans="1:10" x14ac:dyDescent="0.25">
      <c r="A223" s="2" t="s">
        <v>1481</v>
      </c>
      <c r="D223" s="2">
        <v>200</v>
      </c>
      <c r="G223" s="3"/>
    </row>
    <row r="224" spans="1:10" ht="15" x14ac:dyDescent="0.4">
      <c r="A224" s="2" t="s">
        <v>1482</v>
      </c>
      <c r="C224" s="12"/>
      <c r="D224" s="2">
        <v>100</v>
      </c>
      <c r="G224" s="3"/>
    </row>
    <row r="225" spans="1:10" ht="15" x14ac:dyDescent="0.4">
      <c r="A225" s="2" t="s">
        <v>1483</v>
      </c>
      <c r="C225" s="12"/>
      <c r="D225" s="12">
        <v>1000</v>
      </c>
      <c r="G225" s="3"/>
    </row>
    <row r="226" spans="1:10" x14ac:dyDescent="0.25">
      <c r="A226" s="26" t="s">
        <v>1279</v>
      </c>
      <c r="D226" s="2">
        <f>SUM(D221:D225)</f>
        <v>5000</v>
      </c>
      <c r="G226" s="3"/>
    </row>
    <row r="227" spans="1:10" x14ac:dyDescent="0.25">
      <c r="G227" s="3"/>
    </row>
    <row r="228" spans="1:10" ht="15" x14ac:dyDescent="0.4">
      <c r="A228" s="55" t="s">
        <v>235</v>
      </c>
      <c r="D228" s="12"/>
      <c r="E228" s="2">
        <v>35261</v>
      </c>
      <c r="F228" s="2">
        <v>21550</v>
      </c>
      <c r="G228" s="3">
        <v>52785.2</v>
      </c>
      <c r="H228" s="2">
        <v>31030</v>
      </c>
      <c r="I228" s="2">
        <v>31030</v>
      </c>
      <c r="J228" s="2">
        <v>31030</v>
      </c>
    </row>
    <row r="229" spans="1:10" x14ac:dyDescent="0.25">
      <c r="A229" s="2" t="s">
        <v>1556</v>
      </c>
      <c r="B229" s="2">
        <v>12</v>
      </c>
      <c r="C229" s="2">
        <v>1300</v>
      </c>
      <c r="D229" s="2">
        <f>C229*B229</f>
        <v>15600</v>
      </c>
      <c r="G229" s="3"/>
    </row>
    <row r="230" spans="1:10" x14ac:dyDescent="0.25">
      <c r="A230" s="178" t="s">
        <v>2104</v>
      </c>
      <c r="B230" s="178">
        <v>12</v>
      </c>
      <c r="C230" s="178">
        <v>240</v>
      </c>
      <c r="D230" s="178">
        <f>C230*B230</f>
        <v>2880</v>
      </c>
      <c r="G230" s="3"/>
    </row>
    <row r="231" spans="1:10" x14ac:dyDescent="0.25">
      <c r="A231" s="178" t="s">
        <v>2105</v>
      </c>
      <c r="B231" s="178">
        <v>25</v>
      </c>
      <c r="C231" s="178">
        <v>120</v>
      </c>
      <c r="D231" s="178">
        <f>C231*B231</f>
        <v>3000</v>
      </c>
      <c r="G231" s="3"/>
    </row>
    <row r="232" spans="1:10" x14ac:dyDescent="0.25">
      <c r="A232" s="178" t="s">
        <v>2106</v>
      </c>
      <c r="B232" s="178">
        <v>8</v>
      </c>
      <c r="C232" s="178">
        <v>400</v>
      </c>
      <c r="D232" s="178">
        <f>C232*B232</f>
        <v>3200</v>
      </c>
      <c r="G232" s="3"/>
    </row>
    <row r="233" spans="1:10" x14ac:dyDescent="0.25">
      <c r="A233" s="2" t="s">
        <v>1721</v>
      </c>
      <c r="B233" s="2">
        <v>1</v>
      </c>
      <c r="C233" s="2">
        <v>550</v>
      </c>
      <c r="D233" s="178">
        <f>C233*B233</f>
        <v>550</v>
      </c>
      <c r="G233" s="3"/>
    </row>
    <row r="234" spans="1:10" ht="13.8" x14ac:dyDescent="0.3">
      <c r="A234" s="193" t="s">
        <v>2086</v>
      </c>
      <c r="B234" s="178"/>
      <c r="C234" s="178"/>
      <c r="D234" s="178"/>
      <c r="G234" s="3"/>
    </row>
    <row r="235" spans="1:10" hidden="1" x14ac:dyDescent="0.25">
      <c r="A235" s="195" t="s">
        <v>2107</v>
      </c>
      <c r="B235" s="178">
        <v>0</v>
      </c>
      <c r="C235" s="178">
        <v>14.99</v>
      </c>
      <c r="D235" s="178">
        <f t="shared" ref="D235:D244" si="9">C235*B235</f>
        <v>0</v>
      </c>
      <c r="G235" s="3"/>
    </row>
    <row r="236" spans="1:10" hidden="1" x14ac:dyDescent="0.25">
      <c r="A236" s="195" t="s">
        <v>2108</v>
      </c>
      <c r="B236" s="178">
        <v>0</v>
      </c>
      <c r="C236" s="178">
        <v>29.99</v>
      </c>
      <c r="D236" s="178">
        <f t="shared" si="9"/>
        <v>0</v>
      </c>
      <c r="G236" s="3"/>
    </row>
    <row r="237" spans="1:10" hidden="1" x14ac:dyDescent="0.25">
      <c r="A237" s="195" t="s">
        <v>2109</v>
      </c>
      <c r="B237" s="178">
        <v>0</v>
      </c>
      <c r="C237" s="178">
        <v>6.99</v>
      </c>
      <c r="D237" s="178">
        <f t="shared" si="9"/>
        <v>0</v>
      </c>
      <c r="G237" s="3"/>
    </row>
    <row r="238" spans="1:10" hidden="1" x14ac:dyDescent="0.25">
      <c r="A238" s="195" t="s">
        <v>2110</v>
      </c>
      <c r="B238" s="178">
        <v>0</v>
      </c>
      <c r="C238" s="178">
        <v>39.99</v>
      </c>
      <c r="D238" s="178">
        <f t="shared" si="9"/>
        <v>0</v>
      </c>
      <c r="G238" s="3"/>
    </row>
    <row r="239" spans="1:10" hidden="1" x14ac:dyDescent="0.25">
      <c r="A239" s="195" t="s">
        <v>2111</v>
      </c>
      <c r="B239" s="178">
        <v>0</v>
      </c>
      <c r="C239" s="178">
        <v>9.99</v>
      </c>
      <c r="D239" s="178">
        <f t="shared" si="9"/>
        <v>0</v>
      </c>
      <c r="G239" s="3"/>
    </row>
    <row r="240" spans="1:10" hidden="1" x14ac:dyDescent="0.25">
      <c r="A240" s="195" t="s">
        <v>2112</v>
      </c>
      <c r="B240" s="178">
        <v>0</v>
      </c>
      <c r="C240" s="178">
        <v>175</v>
      </c>
      <c r="D240" s="178">
        <f t="shared" si="9"/>
        <v>0</v>
      </c>
      <c r="G240" s="3"/>
    </row>
    <row r="241" spans="1:10" hidden="1" x14ac:dyDescent="0.25">
      <c r="A241" s="195" t="s">
        <v>2113</v>
      </c>
      <c r="B241" s="178">
        <v>0</v>
      </c>
      <c r="C241" s="178">
        <v>7.95</v>
      </c>
      <c r="D241" s="178">
        <f t="shared" si="9"/>
        <v>0</v>
      </c>
      <c r="G241" s="3"/>
    </row>
    <row r="242" spans="1:10" hidden="1" x14ac:dyDescent="0.25">
      <c r="A242" s="195" t="s">
        <v>1479</v>
      </c>
      <c r="B242" s="178">
        <v>0</v>
      </c>
      <c r="C242" s="178">
        <v>1500</v>
      </c>
      <c r="D242" s="178">
        <f t="shared" si="9"/>
        <v>0</v>
      </c>
      <c r="G242" s="3"/>
    </row>
    <row r="243" spans="1:10" hidden="1" x14ac:dyDescent="0.25">
      <c r="A243" s="195" t="s">
        <v>2114</v>
      </c>
      <c r="B243" s="178">
        <v>0</v>
      </c>
      <c r="C243" s="178">
        <v>185</v>
      </c>
      <c r="D243" s="178">
        <f t="shared" si="9"/>
        <v>0</v>
      </c>
      <c r="G243" s="3"/>
    </row>
    <row r="244" spans="1:10" hidden="1" x14ac:dyDescent="0.25">
      <c r="A244" s="195" t="s">
        <v>2115</v>
      </c>
      <c r="B244" s="178">
        <v>0</v>
      </c>
      <c r="C244" s="178">
        <v>200</v>
      </c>
      <c r="D244" s="178">
        <f t="shared" si="9"/>
        <v>0</v>
      </c>
      <c r="G244" s="3"/>
    </row>
    <row r="245" spans="1:10" x14ac:dyDescent="0.25">
      <c r="A245" s="2" t="s">
        <v>1557</v>
      </c>
      <c r="D245" s="2">
        <v>5700</v>
      </c>
      <c r="G245" s="3"/>
    </row>
    <row r="246" spans="1:10" ht="15" x14ac:dyDescent="0.4">
      <c r="A246" s="2" t="s">
        <v>1722</v>
      </c>
      <c r="C246" s="12"/>
      <c r="D246" s="37">
        <v>100</v>
      </c>
      <c r="G246" s="3"/>
    </row>
    <row r="247" spans="1:10" x14ac:dyDescent="0.25">
      <c r="A247" s="26" t="s">
        <v>1279</v>
      </c>
      <c r="D247" s="2">
        <f>SUM(D229:D246)</f>
        <v>31030</v>
      </c>
      <c r="G247" s="3"/>
    </row>
    <row r="248" spans="1:10" x14ac:dyDescent="0.25">
      <c r="G248" s="3"/>
    </row>
    <row r="249" spans="1:10" ht="13.8" x14ac:dyDescent="0.3">
      <c r="A249" s="55" t="s">
        <v>863</v>
      </c>
      <c r="E249" s="2">
        <v>55196.6</v>
      </c>
      <c r="F249" s="2">
        <v>54610</v>
      </c>
      <c r="G249" s="3">
        <v>77710</v>
      </c>
      <c r="H249" s="2">
        <v>73010</v>
      </c>
      <c r="I249" s="2">
        <v>73010</v>
      </c>
      <c r="J249" s="2">
        <v>73010</v>
      </c>
    </row>
    <row r="250" spans="1:10" x14ac:dyDescent="0.25">
      <c r="A250" s="1" t="s">
        <v>972</v>
      </c>
      <c r="B250" s="9" t="s">
        <v>263</v>
      </c>
      <c r="C250" s="9" t="s">
        <v>1723</v>
      </c>
      <c r="D250" s="9"/>
      <c r="G250" s="3"/>
    </row>
    <row r="251" spans="1:10" x14ac:dyDescent="0.25">
      <c r="A251" s="2" t="s">
        <v>264</v>
      </c>
      <c r="B251" s="2">
        <v>3</v>
      </c>
      <c r="C251" s="2">
        <v>900</v>
      </c>
      <c r="D251" s="2">
        <f>C251*B251</f>
        <v>2700</v>
      </c>
      <c r="G251" s="3"/>
    </row>
    <row r="252" spans="1:10" x14ac:dyDescent="0.25">
      <c r="A252" s="2" t="s">
        <v>2222</v>
      </c>
      <c r="B252" s="2">
        <v>9</v>
      </c>
      <c r="C252" s="2">
        <v>900</v>
      </c>
      <c r="D252" s="178">
        <f t="shared" ref="D252:D262" si="10">C252*B252</f>
        <v>8100</v>
      </c>
      <c r="E252" s="1"/>
      <c r="G252" s="3"/>
    </row>
    <row r="253" spans="1:10" x14ac:dyDescent="0.25">
      <c r="A253" s="2" t="s">
        <v>2116</v>
      </c>
      <c r="B253" s="2">
        <v>28</v>
      </c>
      <c r="C253" s="2">
        <v>850</v>
      </c>
      <c r="D253" s="178">
        <f t="shared" si="10"/>
        <v>23800</v>
      </c>
      <c r="G253" s="3"/>
    </row>
    <row r="254" spans="1:10" x14ac:dyDescent="0.25">
      <c r="A254" s="2" t="s">
        <v>265</v>
      </c>
      <c r="B254" s="2">
        <v>1</v>
      </c>
      <c r="C254" s="2">
        <v>450</v>
      </c>
      <c r="D254" s="178">
        <f t="shared" si="10"/>
        <v>450</v>
      </c>
      <c r="G254" s="3"/>
    </row>
    <row r="255" spans="1:10" x14ac:dyDescent="0.25">
      <c r="A255" s="54" t="s">
        <v>266</v>
      </c>
      <c r="B255" s="2">
        <v>10</v>
      </c>
      <c r="C255" s="2">
        <v>250</v>
      </c>
      <c r="D255" s="178">
        <f t="shared" si="10"/>
        <v>2500</v>
      </c>
      <c r="G255" s="3"/>
    </row>
    <row r="256" spans="1:10" x14ac:dyDescent="0.25">
      <c r="A256" s="2" t="s">
        <v>1724</v>
      </c>
      <c r="B256" s="2">
        <v>4</v>
      </c>
      <c r="C256" s="2">
        <v>1900</v>
      </c>
      <c r="D256" s="178">
        <f t="shared" si="10"/>
        <v>7600</v>
      </c>
      <c r="G256" s="3"/>
    </row>
    <row r="257" spans="1:10" x14ac:dyDescent="0.25">
      <c r="A257" s="2" t="s">
        <v>1725</v>
      </c>
      <c r="B257" s="2">
        <v>6</v>
      </c>
      <c r="C257" s="2">
        <v>1900</v>
      </c>
      <c r="D257" s="178">
        <f t="shared" si="10"/>
        <v>11400</v>
      </c>
      <c r="G257" s="3"/>
    </row>
    <row r="258" spans="1:10" x14ac:dyDescent="0.25">
      <c r="A258" s="178" t="s">
        <v>2117</v>
      </c>
      <c r="B258" s="178">
        <v>4</v>
      </c>
      <c r="C258" s="178">
        <v>2800</v>
      </c>
      <c r="D258" s="178">
        <f t="shared" si="10"/>
        <v>11200</v>
      </c>
      <c r="G258" s="3"/>
    </row>
    <row r="259" spans="1:10" x14ac:dyDescent="0.25">
      <c r="A259" s="2" t="s">
        <v>1620</v>
      </c>
      <c r="B259" s="2">
        <v>10</v>
      </c>
      <c r="C259" s="2">
        <v>250</v>
      </c>
      <c r="D259" s="178">
        <f t="shared" si="10"/>
        <v>2500</v>
      </c>
      <c r="G259" s="3"/>
    </row>
    <row r="260" spans="1:10" x14ac:dyDescent="0.25">
      <c r="A260" s="2" t="s">
        <v>384</v>
      </c>
      <c r="B260" s="2">
        <v>1</v>
      </c>
      <c r="C260" s="2">
        <v>1760</v>
      </c>
      <c r="D260" s="178">
        <f t="shared" si="10"/>
        <v>1760</v>
      </c>
      <c r="G260" s="3"/>
    </row>
    <row r="261" spans="1:10" x14ac:dyDescent="0.25">
      <c r="A261" s="2" t="s">
        <v>1903</v>
      </c>
      <c r="B261" s="2">
        <v>1</v>
      </c>
      <c r="C261" s="2">
        <v>500</v>
      </c>
      <c r="D261" s="178">
        <f t="shared" si="10"/>
        <v>500</v>
      </c>
      <c r="G261" s="3"/>
    </row>
    <row r="262" spans="1:10" ht="15" x14ac:dyDescent="0.4">
      <c r="A262" s="2" t="s">
        <v>385</v>
      </c>
      <c r="B262" s="2">
        <v>1</v>
      </c>
      <c r="C262" s="2">
        <v>500</v>
      </c>
      <c r="D262" s="189">
        <f t="shared" si="10"/>
        <v>500</v>
      </c>
      <c r="G262" s="3"/>
    </row>
    <row r="263" spans="1:10" x14ac:dyDescent="0.25">
      <c r="A263" s="26" t="s">
        <v>1279</v>
      </c>
      <c r="D263" s="2">
        <f>SUM(D251:D262)</f>
        <v>73010</v>
      </c>
      <c r="G263" s="3"/>
    </row>
    <row r="264" spans="1:10" x14ac:dyDescent="0.25">
      <c r="G264" s="3"/>
    </row>
    <row r="265" spans="1:10" ht="13.8" x14ac:dyDescent="0.3">
      <c r="A265" s="55" t="s">
        <v>973</v>
      </c>
      <c r="E265" s="2">
        <v>391</v>
      </c>
      <c r="F265" s="2">
        <v>500</v>
      </c>
      <c r="G265" s="3">
        <v>500</v>
      </c>
      <c r="H265" s="2">
        <v>500</v>
      </c>
      <c r="I265" s="2">
        <v>500</v>
      </c>
      <c r="J265" s="2">
        <v>500</v>
      </c>
    </row>
    <row r="266" spans="1:10" x14ac:dyDescent="0.25">
      <c r="A266" s="2" t="s">
        <v>1726</v>
      </c>
      <c r="D266" s="2">
        <v>400</v>
      </c>
    </row>
    <row r="267" spans="1:10" ht="15" x14ac:dyDescent="0.4">
      <c r="A267" s="2" t="s">
        <v>386</v>
      </c>
      <c r="D267" s="12">
        <v>100</v>
      </c>
      <c r="G267" s="3"/>
    </row>
    <row r="268" spans="1:10" x14ac:dyDescent="0.25">
      <c r="A268" s="26" t="s">
        <v>1279</v>
      </c>
      <c r="D268" s="2">
        <f>SUM(D266:D267)</f>
        <v>500</v>
      </c>
      <c r="G268" s="3"/>
    </row>
    <row r="269" spans="1:10" ht="13.8" x14ac:dyDescent="0.3">
      <c r="A269" s="55" t="s">
        <v>655</v>
      </c>
      <c r="E269" s="2">
        <v>165</v>
      </c>
      <c r="F269" s="2">
        <v>125</v>
      </c>
      <c r="G269" s="3">
        <v>175</v>
      </c>
      <c r="H269" s="2">
        <v>175</v>
      </c>
      <c r="I269" s="2">
        <v>175</v>
      </c>
      <c r="J269" s="2">
        <v>175</v>
      </c>
    </row>
    <row r="270" spans="1:10" x14ac:dyDescent="0.25">
      <c r="A270" s="2" t="s">
        <v>1588</v>
      </c>
      <c r="B270" s="2" t="s">
        <v>417</v>
      </c>
      <c r="D270" s="2">
        <v>175</v>
      </c>
      <c r="G270" s="3"/>
    </row>
    <row r="271" spans="1:10" x14ac:dyDescent="0.25">
      <c r="G271" s="3"/>
    </row>
    <row r="272" spans="1:10" ht="13.8" x14ac:dyDescent="0.3">
      <c r="A272" s="55" t="s">
        <v>988</v>
      </c>
      <c r="C272" s="5"/>
      <c r="E272" s="2">
        <v>22572</v>
      </c>
      <c r="F272" s="2">
        <v>25000</v>
      </c>
      <c r="G272" s="3">
        <v>27875</v>
      </c>
      <c r="H272" s="2">
        <v>27875</v>
      </c>
      <c r="I272" s="2">
        <v>27875</v>
      </c>
      <c r="J272" s="2">
        <v>27875</v>
      </c>
    </row>
    <row r="273" spans="1:10" x14ac:dyDescent="0.25">
      <c r="A273" s="2" t="s">
        <v>387</v>
      </c>
      <c r="C273" s="13"/>
      <c r="D273" s="2">
        <v>1675</v>
      </c>
      <c r="G273" s="3"/>
    </row>
    <row r="274" spans="1:10" x14ac:dyDescent="0.25">
      <c r="A274" s="2" t="s">
        <v>122</v>
      </c>
      <c r="C274" s="13"/>
      <c r="D274" s="2">
        <v>5300</v>
      </c>
      <c r="G274" s="3"/>
    </row>
    <row r="275" spans="1:10" ht="15" x14ac:dyDescent="0.4">
      <c r="A275" s="2" t="s">
        <v>123</v>
      </c>
      <c r="B275" s="12"/>
      <c r="C275" s="13"/>
      <c r="D275" s="12">
        <v>20900</v>
      </c>
      <c r="G275" s="3"/>
    </row>
    <row r="276" spans="1:10" x14ac:dyDescent="0.25">
      <c r="A276" s="26" t="s">
        <v>1279</v>
      </c>
      <c r="B276" s="1"/>
      <c r="C276" s="13"/>
      <c r="D276" s="2">
        <f>SUM(D273:D275)</f>
        <v>27875</v>
      </c>
      <c r="G276" s="3"/>
    </row>
    <row r="277" spans="1:10" x14ac:dyDescent="0.25">
      <c r="C277" s="13"/>
      <c r="G277" s="3"/>
    </row>
    <row r="278" spans="1:10" ht="13.8" x14ac:dyDescent="0.3">
      <c r="A278" s="55" t="s">
        <v>1062</v>
      </c>
      <c r="C278" s="38"/>
      <c r="E278" s="2">
        <v>14307</v>
      </c>
      <c r="F278" s="2">
        <v>20509</v>
      </c>
      <c r="G278" s="3">
        <v>15800</v>
      </c>
      <c r="H278" s="2">
        <v>15800</v>
      </c>
      <c r="I278" s="2">
        <v>15800</v>
      </c>
      <c r="J278" s="2">
        <v>15800</v>
      </c>
    </row>
    <row r="279" spans="1:10" x14ac:dyDescent="0.25">
      <c r="A279" s="2" t="s">
        <v>387</v>
      </c>
      <c r="C279" s="13"/>
      <c r="D279" s="2">
        <v>2850</v>
      </c>
      <c r="G279" s="3"/>
    </row>
    <row r="280" spans="1:10" x14ac:dyDescent="0.25">
      <c r="A280" s="2" t="s">
        <v>122</v>
      </c>
      <c r="C280" s="13"/>
      <c r="D280" s="2">
        <v>2900</v>
      </c>
      <c r="G280" s="3"/>
    </row>
    <row r="281" spans="1:10" ht="15" x14ac:dyDescent="0.4">
      <c r="A281" s="2" t="s">
        <v>123</v>
      </c>
      <c r="C281" s="13"/>
      <c r="D281" s="12">
        <v>10050</v>
      </c>
      <c r="G281" s="3"/>
    </row>
    <row r="282" spans="1:10" x14ac:dyDescent="0.25">
      <c r="A282" s="26" t="s">
        <v>1279</v>
      </c>
      <c r="D282" s="2">
        <f>SUM(D279:D281)</f>
        <v>15800</v>
      </c>
      <c r="G282" s="3"/>
    </row>
    <row r="283" spans="1:10" x14ac:dyDescent="0.25">
      <c r="C283" s="13"/>
      <c r="G283" s="3"/>
    </row>
    <row r="284" spans="1:10" ht="13.8" x14ac:dyDescent="0.3">
      <c r="A284" s="55" t="s">
        <v>1313</v>
      </c>
      <c r="C284" s="13"/>
      <c r="E284" s="2">
        <v>3103</v>
      </c>
      <c r="F284" s="2">
        <v>2750</v>
      </c>
      <c r="G284" s="3">
        <v>2830</v>
      </c>
      <c r="H284" s="2">
        <v>2830</v>
      </c>
      <c r="I284" s="2">
        <v>2830</v>
      </c>
      <c r="J284" s="2">
        <v>2830</v>
      </c>
    </row>
    <row r="285" spans="1:10" x14ac:dyDescent="0.25">
      <c r="A285" s="2" t="s">
        <v>345</v>
      </c>
      <c r="C285" s="13"/>
      <c r="D285" s="2">
        <v>2830</v>
      </c>
      <c r="G285" s="3"/>
    </row>
    <row r="286" spans="1:10" x14ac:dyDescent="0.25">
      <c r="C286" s="13"/>
      <c r="G286" s="3"/>
    </row>
    <row r="287" spans="1:10" ht="13.8" x14ac:dyDescent="0.3">
      <c r="A287" s="55" t="s">
        <v>1314</v>
      </c>
      <c r="C287" s="13"/>
      <c r="E287" s="2">
        <v>565</v>
      </c>
      <c r="F287" s="2">
        <v>678</v>
      </c>
      <c r="G287" s="3">
        <v>726</v>
      </c>
      <c r="H287" s="2">
        <v>726</v>
      </c>
      <c r="I287" s="2">
        <v>726</v>
      </c>
      <c r="J287" s="2">
        <v>726</v>
      </c>
    </row>
    <row r="288" spans="1:10" x14ac:dyDescent="0.25">
      <c r="A288" s="2" t="s">
        <v>387</v>
      </c>
      <c r="C288" s="13"/>
      <c r="D288" s="2">
        <v>242</v>
      </c>
      <c r="G288" s="3"/>
    </row>
    <row r="289" spans="1:10" x14ac:dyDescent="0.25">
      <c r="A289" s="2" t="s">
        <v>122</v>
      </c>
      <c r="C289" s="13"/>
      <c r="D289" s="2">
        <v>242</v>
      </c>
      <c r="G289" s="3"/>
    </row>
    <row r="290" spans="1:10" ht="15" x14ac:dyDescent="0.4">
      <c r="A290" s="2" t="s">
        <v>123</v>
      </c>
      <c r="C290" s="13"/>
      <c r="D290" s="12">
        <v>242</v>
      </c>
      <c r="G290" s="3"/>
    </row>
    <row r="291" spans="1:10" x14ac:dyDescent="0.25">
      <c r="A291" s="26" t="s">
        <v>1279</v>
      </c>
      <c r="C291" s="13"/>
      <c r="D291" s="2">
        <f>SUM(D288:D290)</f>
        <v>726</v>
      </c>
      <c r="G291" s="3"/>
    </row>
    <row r="292" spans="1:10" x14ac:dyDescent="0.25">
      <c r="C292" s="13"/>
      <c r="G292" s="3"/>
    </row>
    <row r="293" spans="1:10" ht="13.8" x14ac:dyDescent="0.3">
      <c r="A293" s="55" t="s">
        <v>1315</v>
      </c>
      <c r="B293" s="5" t="s">
        <v>620</v>
      </c>
      <c r="C293" s="38" t="s">
        <v>621</v>
      </c>
      <c r="D293" s="5" t="s">
        <v>1279</v>
      </c>
      <c r="E293" s="2">
        <v>31085</v>
      </c>
      <c r="F293" s="2">
        <v>34736</v>
      </c>
      <c r="G293" s="3">
        <v>36958</v>
      </c>
      <c r="H293" s="2">
        <v>36958</v>
      </c>
      <c r="I293" s="2">
        <v>36958</v>
      </c>
      <c r="J293" s="2">
        <v>36958</v>
      </c>
    </row>
    <row r="294" spans="1:10" x14ac:dyDescent="0.25">
      <c r="A294" s="2" t="s">
        <v>1316</v>
      </c>
      <c r="B294" s="2">
        <v>11235</v>
      </c>
      <c r="C294" s="13">
        <v>2.8</v>
      </c>
      <c r="D294" s="2">
        <f>+C294*B294</f>
        <v>31457.999999999996</v>
      </c>
      <c r="G294" s="3"/>
    </row>
    <row r="295" spans="1:10" ht="15" x14ac:dyDescent="0.4">
      <c r="A295" s="2" t="s">
        <v>346</v>
      </c>
      <c r="B295" s="2">
        <v>2200</v>
      </c>
      <c r="C295" s="13">
        <v>2.5</v>
      </c>
      <c r="D295" s="12">
        <f>+C295*B295</f>
        <v>5500</v>
      </c>
      <c r="G295" s="3"/>
    </row>
    <row r="296" spans="1:10" x14ac:dyDescent="0.25">
      <c r="A296" s="26" t="s">
        <v>1279</v>
      </c>
      <c r="C296" s="13"/>
      <c r="D296" s="2">
        <f>SUM(D294:D295)</f>
        <v>36958</v>
      </c>
      <c r="G296" s="3"/>
    </row>
    <row r="297" spans="1:10" x14ac:dyDescent="0.25">
      <c r="A297" s="26"/>
      <c r="C297" s="13"/>
      <c r="G297" s="3"/>
    </row>
    <row r="298" spans="1:10" x14ac:dyDescent="0.25">
      <c r="G298" s="3"/>
    </row>
    <row r="299" spans="1:10" ht="13.8" x14ac:dyDescent="0.3">
      <c r="A299" s="55" t="s">
        <v>545</v>
      </c>
      <c r="E299" s="2">
        <v>13492</v>
      </c>
      <c r="F299" s="2">
        <v>18396</v>
      </c>
      <c r="G299" s="3">
        <v>19641</v>
      </c>
      <c r="H299" s="2">
        <v>15801</v>
      </c>
      <c r="I299" s="2">
        <v>15801</v>
      </c>
      <c r="J299" s="2">
        <v>15801</v>
      </c>
    </row>
    <row r="300" spans="1:10" x14ac:dyDescent="0.25">
      <c r="A300" s="2" t="s">
        <v>1904</v>
      </c>
      <c r="D300" s="2">
        <v>4920</v>
      </c>
    </row>
    <row r="301" spans="1:10" x14ac:dyDescent="0.25">
      <c r="A301" s="2" t="s">
        <v>1727</v>
      </c>
      <c r="B301" s="2">
        <v>2</v>
      </c>
      <c r="C301" s="2">
        <v>165</v>
      </c>
      <c r="D301" s="2">
        <f>C301*B301</f>
        <v>330</v>
      </c>
    </row>
    <row r="302" spans="1:10" x14ac:dyDescent="0.25">
      <c r="A302" s="2" t="s">
        <v>1728</v>
      </c>
      <c r="B302" s="2">
        <v>1</v>
      </c>
      <c r="C302" s="2">
        <v>1161</v>
      </c>
      <c r="D302" s="2">
        <f>C302*B302</f>
        <v>1161</v>
      </c>
    </row>
    <row r="303" spans="1:10" x14ac:dyDescent="0.25">
      <c r="A303" s="2" t="s">
        <v>1575</v>
      </c>
      <c r="B303" s="2">
        <v>1</v>
      </c>
      <c r="C303" s="2">
        <v>1020</v>
      </c>
      <c r="D303" s="2">
        <f t="shared" ref="D303:D312" si="11">C303*B303</f>
        <v>1020</v>
      </c>
    </row>
    <row r="304" spans="1:10" x14ac:dyDescent="0.25">
      <c r="A304" s="2" t="s">
        <v>1576</v>
      </c>
      <c r="B304" s="2">
        <v>2</v>
      </c>
      <c r="C304" s="2">
        <v>1020</v>
      </c>
      <c r="D304" s="2">
        <f t="shared" si="11"/>
        <v>2040</v>
      </c>
    </row>
    <row r="305" spans="1:10" x14ac:dyDescent="0.25">
      <c r="A305" s="2" t="s">
        <v>1905</v>
      </c>
      <c r="B305" s="2">
        <v>0</v>
      </c>
      <c r="C305" s="2">
        <v>480</v>
      </c>
      <c r="D305" s="2">
        <f t="shared" si="11"/>
        <v>0</v>
      </c>
    </row>
    <row r="306" spans="1:10" x14ac:dyDescent="0.25">
      <c r="A306" s="2" t="s">
        <v>910</v>
      </c>
      <c r="B306" s="2">
        <v>1</v>
      </c>
      <c r="C306" s="2">
        <v>480</v>
      </c>
      <c r="D306" s="2">
        <f t="shared" si="11"/>
        <v>480</v>
      </c>
    </row>
    <row r="307" spans="1:10" x14ac:dyDescent="0.25">
      <c r="A307" s="2" t="s">
        <v>911</v>
      </c>
      <c r="B307" s="2">
        <v>1</v>
      </c>
      <c r="C307" s="2">
        <v>480</v>
      </c>
      <c r="D307" s="2">
        <f t="shared" si="11"/>
        <v>480</v>
      </c>
    </row>
    <row r="308" spans="1:10" x14ac:dyDescent="0.25">
      <c r="A308" s="2" t="s">
        <v>1729</v>
      </c>
      <c r="B308" s="2">
        <v>3</v>
      </c>
      <c r="C308" s="2">
        <v>630</v>
      </c>
      <c r="D308" s="2">
        <f t="shared" si="11"/>
        <v>1890</v>
      </c>
    </row>
    <row r="309" spans="1:10" x14ac:dyDescent="0.25">
      <c r="A309" s="2" t="s">
        <v>1730</v>
      </c>
      <c r="B309" s="2">
        <v>2</v>
      </c>
      <c r="C309" s="2">
        <v>1020</v>
      </c>
      <c r="D309" s="2">
        <f t="shared" si="11"/>
        <v>2040</v>
      </c>
    </row>
    <row r="310" spans="1:10" x14ac:dyDescent="0.25">
      <c r="A310" s="2" t="s">
        <v>1731</v>
      </c>
      <c r="B310" s="2">
        <v>1</v>
      </c>
      <c r="C310" s="2">
        <v>480</v>
      </c>
      <c r="D310" s="2">
        <f t="shared" si="11"/>
        <v>480</v>
      </c>
    </row>
    <row r="311" spans="1:10" x14ac:dyDescent="0.25">
      <c r="A311" s="2" t="s">
        <v>1732</v>
      </c>
      <c r="B311" s="2">
        <v>1</v>
      </c>
      <c r="C311" s="2">
        <v>480</v>
      </c>
      <c r="D311" s="2">
        <f t="shared" si="11"/>
        <v>480</v>
      </c>
      <c r="G311" s="3"/>
    </row>
    <row r="312" spans="1:10" ht="15" x14ac:dyDescent="0.4">
      <c r="A312" s="2" t="s">
        <v>1733</v>
      </c>
      <c r="B312" s="2">
        <v>1</v>
      </c>
      <c r="C312" s="2">
        <v>480</v>
      </c>
      <c r="D312" s="12">
        <f t="shared" si="11"/>
        <v>480</v>
      </c>
      <c r="G312" s="3"/>
    </row>
    <row r="313" spans="1:10" x14ac:dyDescent="0.25">
      <c r="A313" s="26" t="s">
        <v>1279</v>
      </c>
      <c r="D313" s="2">
        <f>SUM(D300:D312)</f>
        <v>15801</v>
      </c>
      <c r="G313" s="3"/>
    </row>
    <row r="314" spans="1:10" x14ac:dyDescent="0.25">
      <c r="G314" s="3"/>
    </row>
    <row r="315" spans="1:10" ht="13.8" x14ac:dyDescent="0.3">
      <c r="A315" s="55" t="s">
        <v>1099</v>
      </c>
      <c r="B315" s="9"/>
      <c r="C315" s="9"/>
      <c r="D315" s="9"/>
      <c r="E315" s="2">
        <v>6328</v>
      </c>
      <c r="F315" s="2">
        <v>7715</v>
      </c>
      <c r="G315" s="3">
        <v>7715</v>
      </c>
      <c r="H315" s="2">
        <v>7715</v>
      </c>
      <c r="I315" s="2">
        <v>7715</v>
      </c>
      <c r="J315" s="2">
        <v>7715</v>
      </c>
    </row>
    <row r="316" spans="1:10" x14ac:dyDescent="0.25">
      <c r="A316" s="2" t="s">
        <v>1541</v>
      </c>
      <c r="B316" s="2">
        <v>75</v>
      </c>
      <c r="C316" s="2">
        <v>15</v>
      </c>
      <c r="D316" s="2">
        <f>C316*B316</f>
        <v>1125</v>
      </c>
      <c r="G316" s="3"/>
    </row>
    <row r="317" spans="1:10" x14ac:dyDescent="0.25">
      <c r="A317" s="2" t="s">
        <v>101</v>
      </c>
      <c r="D317" s="2">
        <f t="shared" ref="D317:D329" si="12">C317*B317</f>
        <v>0</v>
      </c>
      <c r="G317" s="3"/>
    </row>
    <row r="318" spans="1:10" x14ac:dyDescent="0.25">
      <c r="A318" s="2" t="s">
        <v>1621</v>
      </c>
      <c r="B318" s="2">
        <v>46</v>
      </c>
      <c r="C318" s="2">
        <v>15</v>
      </c>
      <c r="D318" s="2">
        <f t="shared" si="12"/>
        <v>690</v>
      </c>
      <c r="G318" s="3"/>
    </row>
    <row r="319" spans="1:10" x14ac:dyDescent="0.25">
      <c r="A319" s="17" t="s">
        <v>102</v>
      </c>
      <c r="D319" s="2">
        <f t="shared" si="12"/>
        <v>0</v>
      </c>
      <c r="G319" s="3"/>
    </row>
    <row r="320" spans="1:10" x14ac:dyDescent="0.25">
      <c r="A320" s="2" t="s">
        <v>396</v>
      </c>
      <c r="B320" s="2">
        <v>10</v>
      </c>
      <c r="C320" s="2">
        <v>20</v>
      </c>
      <c r="D320" s="2">
        <f t="shared" si="12"/>
        <v>200</v>
      </c>
      <c r="G320" s="3"/>
    </row>
    <row r="321" spans="1:10" x14ac:dyDescent="0.25">
      <c r="A321" s="2" t="s">
        <v>1460</v>
      </c>
      <c r="B321" s="2">
        <v>3</v>
      </c>
      <c r="C321" s="2">
        <v>300</v>
      </c>
      <c r="D321" s="2">
        <f t="shared" si="12"/>
        <v>900</v>
      </c>
      <c r="G321" s="3"/>
    </row>
    <row r="322" spans="1:10" x14ac:dyDescent="0.25">
      <c r="A322" s="2" t="s">
        <v>397</v>
      </c>
      <c r="B322" s="2">
        <v>2</v>
      </c>
      <c r="C322" s="2">
        <v>50</v>
      </c>
      <c r="D322" s="2">
        <f t="shared" si="12"/>
        <v>100</v>
      </c>
      <c r="G322" s="3"/>
    </row>
    <row r="323" spans="1:10" x14ac:dyDescent="0.25">
      <c r="A323" s="2" t="s">
        <v>398</v>
      </c>
      <c r="B323" s="2">
        <v>1</v>
      </c>
      <c r="C323" s="2">
        <v>150</v>
      </c>
      <c r="D323" s="2">
        <f t="shared" si="12"/>
        <v>150</v>
      </c>
      <c r="G323" s="3"/>
    </row>
    <row r="324" spans="1:10" x14ac:dyDescent="0.25">
      <c r="A324" s="2" t="s">
        <v>1413</v>
      </c>
      <c r="B324" s="2">
        <v>1</v>
      </c>
      <c r="C324" s="2">
        <v>500</v>
      </c>
      <c r="D324" s="2">
        <f t="shared" si="12"/>
        <v>500</v>
      </c>
      <c r="G324" s="3"/>
    </row>
    <row r="325" spans="1:10" x14ac:dyDescent="0.25">
      <c r="A325" s="2" t="s">
        <v>1414</v>
      </c>
      <c r="B325" s="2">
        <v>1</v>
      </c>
      <c r="C325" s="2">
        <v>100</v>
      </c>
      <c r="D325" s="2">
        <f t="shared" si="12"/>
        <v>100</v>
      </c>
      <c r="G325" s="3"/>
    </row>
    <row r="326" spans="1:10" x14ac:dyDescent="0.25">
      <c r="A326" s="2" t="s">
        <v>1906</v>
      </c>
      <c r="B326" s="2">
        <v>1</v>
      </c>
      <c r="C326" s="2">
        <v>50</v>
      </c>
      <c r="D326" s="2">
        <f t="shared" si="12"/>
        <v>50</v>
      </c>
      <c r="G326" s="3"/>
    </row>
    <row r="327" spans="1:10" x14ac:dyDescent="0.25">
      <c r="A327" s="2" t="s">
        <v>1415</v>
      </c>
      <c r="B327" s="2">
        <v>1</v>
      </c>
      <c r="C327" s="2">
        <v>3400</v>
      </c>
      <c r="D327" s="2">
        <f t="shared" si="12"/>
        <v>3400</v>
      </c>
      <c r="G327" s="3"/>
    </row>
    <row r="328" spans="1:10" x14ac:dyDescent="0.25">
      <c r="A328" s="2" t="s">
        <v>1907</v>
      </c>
      <c r="B328" s="2">
        <v>0</v>
      </c>
      <c r="C328" s="2">
        <v>300</v>
      </c>
      <c r="D328" s="2">
        <f t="shared" si="12"/>
        <v>0</v>
      </c>
      <c r="G328" s="3"/>
    </row>
    <row r="329" spans="1:10" ht="15" x14ac:dyDescent="0.4">
      <c r="A329" s="2" t="s">
        <v>41</v>
      </c>
      <c r="B329" s="2">
        <v>1</v>
      </c>
      <c r="C329" s="2">
        <v>500</v>
      </c>
      <c r="D329" s="12">
        <f t="shared" si="12"/>
        <v>500</v>
      </c>
      <c r="G329" s="3"/>
    </row>
    <row r="330" spans="1:10" x14ac:dyDescent="0.25">
      <c r="A330" s="26" t="s">
        <v>1279</v>
      </c>
      <c r="D330" s="2">
        <f>SUM(D316:D329)</f>
        <v>7715</v>
      </c>
      <c r="G330" s="3"/>
    </row>
    <row r="331" spans="1:10" x14ac:dyDescent="0.25">
      <c r="G331" s="3"/>
    </row>
    <row r="332" spans="1:10" ht="13.8" x14ac:dyDescent="0.3">
      <c r="A332" s="55" t="s">
        <v>667</v>
      </c>
      <c r="E332" s="2">
        <v>39826</v>
      </c>
      <c r="F332" s="2">
        <v>39774</v>
      </c>
      <c r="G332" s="3">
        <v>46876</v>
      </c>
      <c r="H332" s="2">
        <v>44063</v>
      </c>
      <c r="I332" s="2">
        <v>44063</v>
      </c>
      <c r="J332" s="2">
        <v>44063</v>
      </c>
    </row>
    <row r="333" spans="1:10" x14ac:dyDescent="0.25">
      <c r="A333" s="2" t="s">
        <v>1085</v>
      </c>
      <c r="D333" s="2">
        <v>44063</v>
      </c>
      <c r="G333" s="3"/>
    </row>
    <row r="334" spans="1:10" x14ac:dyDescent="0.25">
      <c r="G334" s="3"/>
    </row>
    <row r="335" spans="1:10" ht="13.8" x14ac:dyDescent="0.3">
      <c r="A335" s="55" t="s">
        <v>1338</v>
      </c>
      <c r="B335" s="20"/>
      <c r="C335" s="20"/>
      <c r="D335" s="20"/>
      <c r="E335" s="2">
        <v>1111</v>
      </c>
      <c r="F335" s="2">
        <v>2250</v>
      </c>
      <c r="G335" s="3">
        <v>2250</v>
      </c>
      <c r="H335" s="2">
        <v>2250</v>
      </c>
      <c r="I335" s="2">
        <v>2250</v>
      </c>
      <c r="J335" s="2">
        <v>2250</v>
      </c>
    </row>
    <row r="336" spans="1:10" x14ac:dyDescent="0.25">
      <c r="A336" s="2" t="s">
        <v>129</v>
      </c>
      <c r="B336" s="2">
        <v>1</v>
      </c>
      <c r="C336" s="2">
        <v>250</v>
      </c>
      <c r="D336" s="2">
        <f>C336*B336</f>
        <v>250</v>
      </c>
      <c r="G336" s="3"/>
    </row>
    <row r="337" spans="1:10" ht="15" x14ac:dyDescent="0.4">
      <c r="A337" s="2" t="s">
        <v>1622</v>
      </c>
      <c r="B337" s="2">
        <v>2</v>
      </c>
      <c r="C337" s="12">
        <v>1000</v>
      </c>
      <c r="D337" s="12">
        <f>C337*B337</f>
        <v>2000</v>
      </c>
      <c r="G337" s="3"/>
    </row>
    <row r="338" spans="1:10" x14ac:dyDescent="0.25">
      <c r="A338" s="26" t="s">
        <v>1279</v>
      </c>
      <c r="D338" s="2">
        <f>SUM(D336:D337)</f>
        <v>2250</v>
      </c>
      <c r="G338" s="3"/>
    </row>
    <row r="339" spans="1:10" x14ac:dyDescent="0.25">
      <c r="A339" s="2" t="s">
        <v>417</v>
      </c>
      <c r="G339" s="3"/>
    </row>
    <row r="340" spans="1:10" ht="13.8" x14ac:dyDescent="0.3">
      <c r="A340" s="55" t="s">
        <v>1339</v>
      </c>
      <c r="B340" s="9"/>
      <c r="C340" s="9"/>
      <c r="D340" s="9"/>
      <c r="E340" s="2">
        <v>12037</v>
      </c>
      <c r="F340" s="2">
        <v>12355</v>
      </c>
      <c r="G340" s="3">
        <v>47355</v>
      </c>
      <c r="H340" s="2">
        <v>12355</v>
      </c>
      <c r="I340" s="2">
        <v>12355</v>
      </c>
      <c r="J340" s="2">
        <v>12355</v>
      </c>
    </row>
    <row r="341" spans="1:10" ht="13.8" x14ac:dyDescent="0.3">
      <c r="A341" s="56" t="s">
        <v>42</v>
      </c>
      <c r="C341" s="9"/>
      <c r="D341" s="9"/>
      <c r="G341" s="3"/>
    </row>
    <row r="342" spans="1:10" x14ac:dyDescent="0.25">
      <c r="A342" s="2" t="s">
        <v>383</v>
      </c>
      <c r="B342" s="2">
        <v>1</v>
      </c>
      <c r="C342" s="9">
        <v>1800</v>
      </c>
      <c r="D342" s="9">
        <f>C342*B342</f>
        <v>1800</v>
      </c>
      <c r="G342" s="3"/>
    </row>
    <row r="343" spans="1:10" x14ac:dyDescent="0.25">
      <c r="A343" s="2" t="s">
        <v>43</v>
      </c>
      <c r="B343" s="2">
        <v>1</v>
      </c>
      <c r="C343" s="9">
        <v>1630</v>
      </c>
      <c r="D343" s="9">
        <f t="shared" ref="D343:D350" si="13">C343*B343</f>
        <v>1630</v>
      </c>
      <c r="G343" s="3"/>
    </row>
    <row r="344" spans="1:10" x14ac:dyDescent="0.25">
      <c r="A344" s="2" t="s">
        <v>44</v>
      </c>
      <c r="B344" s="2">
        <v>1</v>
      </c>
      <c r="C344" s="9">
        <v>1800</v>
      </c>
      <c r="D344" s="9">
        <f t="shared" si="13"/>
        <v>1800</v>
      </c>
      <c r="G344" s="3"/>
    </row>
    <row r="345" spans="1:10" x14ac:dyDescent="0.25">
      <c r="A345" s="2" t="s">
        <v>1734</v>
      </c>
      <c r="B345" s="2">
        <v>1</v>
      </c>
      <c r="C345" s="9">
        <v>500</v>
      </c>
      <c r="D345" s="9">
        <f t="shared" si="13"/>
        <v>500</v>
      </c>
      <c r="G345" s="3"/>
    </row>
    <row r="346" spans="1:10" x14ac:dyDescent="0.25">
      <c r="A346" s="2" t="s">
        <v>262</v>
      </c>
      <c r="B346" s="2">
        <v>1</v>
      </c>
      <c r="C346" s="9">
        <v>500</v>
      </c>
      <c r="D346" s="9">
        <f t="shared" si="13"/>
        <v>500</v>
      </c>
      <c r="G346" s="3"/>
    </row>
    <row r="347" spans="1:10" x14ac:dyDescent="0.25">
      <c r="A347" s="2" t="s">
        <v>401</v>
      </c>
      <c r="B347" s="2">
        <v>1</v>
      </c>
      <c r="C347" s="9">
        <v>375</v>
      </c>
      <c r="D347" s="9">
        <f t="shared" si="13"/>
        <v>375</v>
      </c>
      <c r="G347" s="3"/>
    </row>
    <row r="348" spans="1:10" x14ac:dyDescent="0.25">
      <c r="A348" s="178" t="s">
        <v>2118</v>
      </c>
      <c r="B348" s="178">
        <v>0</v>
      </c>
      <c r="C348" s="188">
        <v>35000</v>
      </c>
      <c r="D348" s="9">
        <f t="shared" si="13"/>
        <v>0</v>
      </c>
      <c r="G348" s="3"/>
    </row>
    <row r="349" spans="1:10" x14ac:dyDescent="0.25">
      <c r="A349" s="2" t="s">
        <v>1623</v>
      </c>
      <c r="B349" s="2">
        <v>12</v>
      </c>
      <c r="C349" s="9">
        <v>200</v>
      </c>
      <c r="D349" s="9">
        <f t="shared" si="13"/>
        <v>2400</v>
      </c>
      <c r="G349" s="3"/>
    </row>
    <row r="350" spans="1:10" x14ac:dyDescent="0.25">
      <c r="A350" s="2" t="s">
        <v>580</v>
      </c>
      <c r="B350" s="2">
        <v>12</v>
      </c>
      <c r="C350" s="9">
        <v>200</v>
      </c>
      <c r="D350" s="9">
        <f t="shared" si="13"/>
        <v>2400</v>
      </c>
      <c r="G350" s="3"/>
    </row>
    <row r="351" spans="1:10" ht="13.8" x14ac:dyDescent="0.3">
      <c r="A351" s="56" t="s">
        <v>581</v>
      </c>
      <c r="D351" s="9"/>
      <c r="G351" s="3"/>
    </row>
    <row r="352" spans="1:10" x14ac:dyDescent="0.25">
      <c r="A352" s="2" t="s">
        <v>864</v>
      </c>
      <c r="B352" s="2">
        <v>1</v>
      </c>
      <c r="C352" s="2">
        <v>450</v>
      </c>
      <c r="D352" s="9">
        <f>C352*B352</f>
        <v>450</v>
      </c>
      <c r="G352" s="3"/>
    </row>
    <row r="353" spans="1:10" ht="13.8" x14ac:dyDescent="0.3">
      <c r="A353" s="56" t="s">
        <v>780</v>
      </c>
      <c r="C353" s="9"/>
      <c r="D353" s="9"/>
      <c r="G353" s="3"/>
    </row>
    <row r="354" spans="1:10" ht="15" x14ac:dyDescent="0.4">
      <c r="A354" s="2" t="s">
        <v>1735</v>
      </c>
      <c r="B354" s="2">
        <v>1</v>
      </c>
      <c r="C354" s="9">
        <v>500</v>
      </c>
      <c r="D354" s="10">
        <f>C354*B354</f>
        <v>500</v>
      </c>
      <c r="G354" s="3"/>
    </row>
    <row r="355" spans="1:10" x14ac:dyDescent="0.25">
      <c r="A355" s="26" t="s">
        <v>1279</v>
      </c>
      <c r="C355" s="9"/>
      <c r="D355" s="9">
        <f>SUM(D342:D354)</f>
        <v>12355</v>
      </c>
      <c r="G355" s="3"/>
    </row>
    <row r="356" spans="1:10" x14ac:dyDescent="0.25">
      <c r="C356" s="9"/>
      <c r="D356" s="9"/>
      <c r="G356" s="3"/>
    </row>
    <row r="357" spans="1:10" ht="13.8" x14ac:dyDescent="0.3">
      <c r="A357" s="55" t="s">
        <v>679</v>
      </c>
      <c r="E357" s="2">
        <v>5075</v>
      </c>
      <c r="F357" s="2">
        <v>6800</v>
      </c>
      <c r="G357" s="3">
        <v>6800</v>
      </c>
      <c r="H357" s="2">
        <v>6800</v>
      </c>
      <c r="I357" s="2">
        <v>6800</v>
      </c>
      <c r="J357" s="2">
        <v>6800</v>
      </c>
    </row>
    <row r="358" spans="1:10" x14ac:dyDescent="0.25">
      <c r="A358" s="2" t="s">
        <v>560</v>
      </c>
      <c r="G358" s="3"/>
    </row>
    <row r="359" spans="1:10" x14ac:dyDescent="0.25">
      <c r="A359" s="2" t="s">
        <v>561</v>
      </c>
      <c r="D359" s="2">
        <v>2500</v>
      </c>
      <c r="G359" s="3"/>
    </row>
    <row r="360" spans="1:10" x14ac:dyDescent="0.25">
      <c r="A360" s="2" t="s">
        <v>1736</v>
      </c>
      <c r="D360" s="2">
        <v>1300</v>
      </c>
      <c r="G360" s="3"/>
    </row>
    <row r="361" spans="1:10" x14ac:dyDescent="0.25">
      <c r="A361" s="2" t="s">
        <v>562</v>
      </c>
      <c r="D361" s="2">
        <v>1000</v>
      </c>
      <c r="G361" s="3"/>
    </row>
    <row r="362" spans="1:10" ht="15" x14ac:dyDescent="0.4">
      <c r="A362" s="2" t="s">
        <v>1737</v>
      </c>
      <c r="C362" s="12"/>
      <c r="D362" s="12">
        <v>2000</v>
      </c>
      <c r="G362" s="3"/>
    </row>
    <row r="363" spans="1:10" x14ac:dyDescent="0.25">
      <c r="A363" s="26" t="s">
        <v>1279</v>
      </c>
      <c r="D363" s="2">
        <f>SUM(D359:D362)</f>
        <v>6800</v>
      </c>
      <c r="G363" s="3"/>
    </row>
    <row r="364" spans="1:10" x14ac:dyDescent="0.25">
      <c r="G364" s="3"/>
    </row>
    <row r="365" spans="1:10" ht="13.8" x14ac:dyDescent="0.3">
      <c r="A365" s="55" t="s">
        <v>292</v>
      </c>
      <c r="E365" s="2">
        <v>86004</v>
      </c>
      <c r="F365" s="2">
        <v>100000</v>
      </c>
      <c r="G365" s="3">
        <v>107000</v>
      </c>
      <c r="H365" s="2">
        <v>90000</v>
      </c>
      <c r="I365" s="2">
        <v>90000</v>
      </c>
      <c r="J365" s="2">
        <v>90000</v>
      </c>
    </row>
    <row r="366" spans="1:10" x14ac:dyDescent="0.25">
      <c r="A366" s="2" t="s">
        <v>563</v>
      </c>
      <c r="G366" s="3"/>
    </row>
    <row r="367" spans="1:10" x14ac:dyDescent="0.25">
      <c r="A367" s="2" t="s">
        <v>103</v>
      </c>
      <c r="D367" s="2">
        <v>63700</v>
      </c>
      <c r="G367" s="3"/>
    </row>
    <row r="368" spans="1:10" x14ac:dyDescent="0.25">
      <c r="A368" s="2" t="s">
        <v>1908</v>
      </c>
      <c r="D368" s="2">
        <v>8500</v>
      </c>
      <c r="G368" s="3"/>
    </row>
    <row r="369" spans="1:10" x14ac:dyDescent="0.25">
      <c r="A369" s="2" t="s">
        <v>1909</v>
      </c>
      <c r="D369" s="2">
        <v>5500</v>
      </c>
      <c r="G369" s="3"/>
    </row>
    <row r="370" spans="1:10" x14ac:dyDescent="0.25">
      <c r="A370" s="2" t="s">
        <v>1910</v>
      </c>
      <c r="D370" s="2">
        <v>5000</v>
      </c>
      <c r="G370" s="3"/>
    </row>
    <row r="371" spans="1:10" x14ac:dyDescent="0.25">
      <c r="A371" s="2" t="s">
        <v>1738</v>
      </c>
      <c r="B371" s="2">
        <v>1</v>
      </c>
      <c r="C371" s="2">
        <v>3800</v>
      </c>
      <c r="D371" s="2">
        <f>C371*B371</f>
        <v>3800</v>
      </c>
      <c r="G371" s="3"/>
    </row>
    <row r="372" spans="1:10" x14ac:dyDescent="0.25">
      <c r="A372" s="2" t="s">
        <v>1624</v>
      </c>
      <c r="B372" s="2">
        <v>5</v>
      </c>
      <c r="C372" s="2">
        <v>500</v>
      </c>
      <c r="D372" s="2">
        <f>C372*B372</f>
        <v>2500</v>
      </c>
      <c r="G372" s="3"/>
    </row>
    <row r="373" spans="1:10" ht="15" x14ac:dyDescent="0.4">
      <c r="A373" s="2" t="s">
        <v>30</v>
      </c>
      <c r="B373" s="2">
        <v>1</v>
      </c>
      <c r="C373" s="2">
        <v>1000</v>
      </c>
      <c r="D373" s="12">
        <f>C373*B373</f>
        <v>1000</v>
      </c>
      <c r="G373" s="3"/>
    </row>
    <row r="374" spans="1:10" x14ac:dyDescent="0.25">
      <c r="A374" s="26" t="s">
        <v>1279</v>
      </c>
      <c r="D374" s="2">
        <f>SUM(D367:D373)</f>
        <v>90000</v>
      </c>
      <c r="G374" s="3"/>
    </row>
    <row r="375" spans="1:10" x14ac:dyDescent="0.25">
      <c r="G375" s="3"/>
    </row>
    <row r="376" spans="1:10" ht="13.8" x14ac:dyDescent="0.3">
      <c r="A376" s="55" t="s">
        <v>293</v>
      </c>
      <c r="B376" s="20"/>
      <c r="C376" s="20"/>
      <c r="D376" s="20"/>
      <c r="E376" s="2">
        <v>5943</v>
      </c>
      <c r="F376" s="2">
        <v>11715</v>
      </c>
      <c r="G376" s="3">
        <v>11715</v>
      </c>
      <c r="H376" s="2">
        <v>11715</v>
      </c>
      <c r="I376" s="2">
        <v>11715</v>
      </c>
      <c r="J376" s="2">
        <v>11715</v>
      </c>
    </row>
    <row r="377" spans="1:10" x14ac:dyDescent="0.25">
      <c r="A377" s="2" t="s">
        <v>1384</v>
      </c>
      <c r="D377" s="2">
        <v>200</v>
      </c>
      <c r="G377" s="3"/>
    </row>
    <row r="378" spans="1:10" x14ac:dyDescent="0.25">
      <c r="A378" s="2" t="s">
        <v>1581</v>
      </c>
      <c r="D378" s="2">
        <v>2915</v>
      </c>
      <c r="G378" s="3"/>
    </row>
    <row r="379" spans="1:10" x14ac:dyDescent="0.25">
      <c r="A379" s="2" t="s">
        <v>1739</v>
      </c>
      <c r="D379" s="2">
        <v>2600</v>
      </c>
      <c r="G379" s="3"/>
    </row>
    <row r="380" spans="1:10" x14ac:dyDescent="0.25">
      <c r="A380" s="2" t="s">
        <v>1582</v>
      </c>
      <c r="B380" s="2">
        <v>2200</v>
      </c>
      <c r="D380" s="2">
        <v>4500</v>
      </c>
      <c r="G380" s="3"/>
    </row>
    <row r="381" spans="1:10" ht="15" x14ac:dyDescent="0.4">
      <c r="A381" s="2" t="s">
        <v>1625</v>
      </c>
      <c r="C381" s="12"/>
      <c r="D381" s="12">
        <v>1500</v>
      </c>
      <c r="G381" s="3"/>
    </row>
    <row r="382" spans="1:10" x14ac:dyDescent="0.25">
      <c r="A382" s="26" t="s">
        <v>1279</v>
      </c>
      <c r="D382" s="2">
        <f>SUM(D377:D381)</f>
        <v>11715</v>
      </c>
      <c r="G382" s="3"/>
    </row>
    <row r="383" spans="1:10" x14ac:dyDescent="0.25">
      <c r="G383" s="3"/>
    </row>
    <row r="384" spans="1:10" ht="13.8" x14ac:dyDescent="0.3">
      <c r="A384" s="55" t="s">
        <v>746</v>
      </c>
      <c r="B384" s="9"/>
      <c r="C384" s="9"/>
      <c r="D384" s="9"/>
      <c r="E384" s="2">
        <v>3877</v>
      </c>
      <c r="F384" s="2">
        <v>4460</v>
      </c>
      <c r="G384" s="3">
        <v>4460</v>
      </c>
      <c r="H384" s="2">
        <v>4460</v>
      </c>
      <c r="I384" s="2">
        <v>4460</v>
      </c>
      <c r="J384" s="2">
        <v>4460</v>
      </c>
    </row>
    <row r="385" spans="1:10" x14ac:dyDescent="0.25">
      <c r="A385" s="2" t="s">
        <v>1544</v>
      </c>
      <c r="B385" s="2">
        <v>1</v>
      </c>
      <c r="C385" s="2">
        <v>3500</v>
      </c>
      <c r="D385" s="2">
        <f>C385*B385</f>
        <v>3500</v>
      </c>
      <c r="G385" s="3"/>
    </row>
    <row r="386" spans="1:10" x14ac:dyDescent="0.25">
      <c r="G386" s="3"/>
    </row>
    <row r="387" spans="1:10" ht="15" x14ac:dyDescent="0.4">
      <c r="A387" s="2" t="s">
        <v>1583</v>
      </c>
      <c r="B387" s="2">
        <v>1</v>
      </c>
      <c r="C387" s="12">
        <v>960</v>
      </c>
      <c r="D387" s="12">
        <f>C387*B387</f>
        <v>960</v>
      </c>
      <c r="G387" s="3"/>
    </row>
    <row r="388" spans="1:10" x14ac:dyDescent="0.25">
      <c r="A388" s="26" t="s">
        <v>1279</v>
      </c>
      <c r="D388" s="2">
        <f>SUM(D385:D387)</f>
        <v>4460</v>
      </c>
      <c r="G388" s="3"/>
    </row>
    <row r="389" spans="1:10" x14ac:dyDescent="0.25">
      <c r="A389" s="26"/>
      <c r="G389" s="3"/>
    </row>
    <row r="390" spans="1:10" x14ac:dyDescent="0.25">
      <c r="G390" s="3"/>
    </row>
    <row r="391" spans="1:10" ht="13.8" x14ac:dyDescent="0.3">
      <c r="A391" s="55" t="s">
        <v>294</v>
      </c>
      <c r="E391" s="2">
        <v>22976</v>
      </c>
      <c r="F391" s="2">
        <v>19100</v>
      </c>
      <c r="G391" s="3">
        <v>19420</v>
      </c>
      <c r="H391" s="2">
        <v>19420</v>
      </c>
      <c r="I391" s="2">
        <v>19420</v>
      </c>
      <c r="J391" s="2">
        <v>19420</v>
      </c>
    </row>
    <row r="392" spans="1:10" x14ac:dyDescent="0.25">
      <c r="B392" s="9"/>
      <c r="C392" s="9"/>
      <c r="D392" s="9"/>
      <c r="G392" s="3"/>
    </row>
    <row r="393" spans="1:10" x14ac:dyDescent="0.25">
      <c r="A393" s="2" t="s">
        <v>104</v>
      </c>
      <c r="B393" s="2">
        <v>1</v>
      </c>
      <c r="C393" s="2">
        <v>400</v>
      </c>
      <c r="D393" s="2">
        <f>C393*B393</f>
        <v>400</v>
      </c>
      <c r="G393" s="3"/>
    </row>
    <row r="394" spans="1:10" x14ac:dyDescent="0.25">
      <c r="A394" s="2" t="s">
        <v>1626</v>
      </c>
      <c r="B394" s="2">
        <v>1</v>
      </c>
      <c r="C394" s="2">
        <v>500</v>
      </c>
      <c r="D394" s="2">
        <f t="shared" ref="D394:D403" si="14">C394*B394</f>
        <v>500</v>
      </c>
      <c r="G394" s="3"/>
    </row>
    <row r="395" spans="1:10" x14ac:dyDescent="0.25">
      <c r="A395" s="2" t="s">
        <v>105</v>
      </c>
      <c r="B395" s="2">
        <v>1</v>
      </c>
      <c r="C395" s="2">
        <v>400</v>
      </c>
      <c r="D395" s="2">
        <f t="shared" si="14"/>
        <v>400</v>
      </c>
      <c r="G395" s="3"/>
    </row>
    <row r="396" spans="1:10" x14ac:dyDescent="0.25">
      <c r="A396" s="2" t="s">
        <v>1740</v>
      </c>
      <c r="B396" s="2">
        <v>1</v>
      </c>
      <c r="C396" s="2">
        <v>4500</v>
      </c>
      <c r="D396" s="2">
        <f t="shared" si="14"/>
        <v>4500</v>
      </c>
      <c r="G396" s="3"/>
    </row>
    <row r="397" spans="1:10" x14ac:dyDescent="0.25">
      <c r="A397" s="2" t="s">
        <v>1558</v>
      </c>
      <c r="B397" s="2">
        <v>1</v>
      </c>
      <c r="C397" s="2">
        <v>1500</v>
      </c>
      <c r="D397" s="2">
        <f t="shared" si="14"/>
        <v>1500</v>
      </c>
      <c r="G397" s="3"/>
    </row>
    <row r="398" spans="1:10" x14ac:dyDescent="0.25">
      <c r="A398" s="2" t="s">
        <v>1559</v>
      </c>
      <c r="B398" s="2">
        <v>12</v>
      </c>
      <c r="C398" s="2">
        <v>50</v>
      </c>
      <c r="D398" s="2">
        <f t="shared" si="14"/>
        <v>600</v>
      </c>
      <c r="G398" s="3"/>
    </row>
    <row r="399" spans="1:10" x14ac:dyDescent="0.25">
      <c r="A399" s="2" t="s">
        <v>1257</v>
      </c>
      <c r="B399" s="2">
        <v>4</v>
      </c>
      <c r="C399" s="2">
        <v>550</v>
      </c>
      <c r="D399" s="2">
        <f t="shared" si="14"/>
        <v>2200</v>
      </c>
      <c r="G399" s="3"/>
    </row>
    <row r="400" spans="1:10" x14ac:dyDescent="0.25">
      <c r="A400" s="178" t="s">
        <v>2119</v>
      </c>
      <c r="B400" s="178">
        <v>4</v>
      </c>
      <c r="C400" s="178">
        <v>80</v>
      </c>
      <c r="D400" s="2">
        <f t="shared" si="14"/>
        <v>320</v>
      </c>
      <c r="G400" s="3"/>
    </row>
    <row r="401" spans="1:10" x14ac:dyDescent="0.25">
      <c r="A401" s="178" t="s">
        <v>2120</v>
      </c>
      <c r="B401" s="2">
        <v>3</v>
      </c>
      <c r="C401" s="2">
        <v>300</v>
      </c>
      <c r="D401" s="2">
        <f t="shared" si="14"/>
        <v>900</v>
      </c>
      <c r="G401" s="3"/>
    </row>
    <row r="402" spans="1:10" x14ac:dyDescent="0.25">
      <c r="A402" s="2" t="s">
        <v>1741</v>
      </c>
      <c r="B402" s="2">
        <v>7</v>
      </c>
      <c r="C402" s="2">
        <v>300</v>
      </c>
      <c r="D402" s="2">
        <f t="shared" si="14"/>
        <v>2100</v>
      </c>
      <c r="G402" s="3"/>
    </row>
    <row r="403" spans="1:10" ht="15" x14ac:dyDescent="0.4">
      <c r="A403" s="2" t="s">
        <v>1742</v>
      </c>
      <c r="B403" s="2">
        <v>3</v>
      </c>
      <c r="C403" s="2">
        <v>2000</v>
      </c>
      <c r="D403" s="12">
        <f t="shared" si="14"/>
        <v>6000</v>
      </c>
      <c r="G403" s="3"/>
    </row>
    <row r="404" spans="1:10" x14ac:dyDescent="0.25">
      <c r="A404" s="26" t="s">
        <v>1279</v>
      </c>
      <c r="D404" s="2">
        <f>SUM(D393:D403)</f>
        <v>19420</v>
      </c>
      <c r="G404" s="3"/>
    </row>
    <row r="405" spans="1:10" x14ac:dyDescent="0.25">
      <c r="G405" s="3"/>
    </row>
    <row r="406" spans="1:10" ht="13.8" x14ac:dyDescent="0.3">
      <c r="A406" s="55" t="s">
        <v>295</v>
      </c>
      <c r="B406" s="9"/>
      <c r="C406" s="9"/>
      <c r="D406" s="9"/>
      <c r="E406" s="2">
        <v>37297</v>
      </c>
      <c r="F406" s="2">
        <v>59950</v>
      </c>
      <c r="G406" s="3">
        <v>69900</v>
      </c>
      <c r="H406" s="2">
        <v>60300</v>
      </c>
      <c r="I406" s="2">
        <v>60300</v>
      </c>
      <c r="J406" s="2">
        <v>60300</v>
      </c>
    </row>
    <row r="407" spans="1:10" ht="13.8" x14ac:dyDescent="0.3">
      <c r="A407" s="56" t="s">
        <v>1584</v>
      </c>
      <c r="B407" s="9"/>
      <c r="C407" s="9"/>
      <c r="D407" s="9"/>
      <c r="G407" s="3"/>
    </row>
    <row r="408" spans="1:10" x14ac:dyDescent="0.25">
      <c r="A408" s="53" t="s">
        <v>937</v>
      </c>
      <c r="B408" s="2">
        <v>1</v>
      </c>
      <c r="C408" s="2">
        <v>12000</v>
      </c>
      <c r="D408" s="2">
        <f>B408*C408</f>
        <v>12000</v>
      </c>
      <c r="G408" s="3"/>
    </row>
    <row r="409" spans="1:10" x14ac:dyDescent="0.25">
      <c r="A409" s="53" t="s">
        <v>938</v>
      </c>
      <c r="B409" s="2">
        <v>1</v>
      </c>
      <c r="C409" s="2">
        <v>2500</v>
      </c>
      <c r="D409" s="2">
        <f>C409*B409</f>
        <v>2500</v>
      </c>
      <c r="G409" s="3"/>
    </row>
    <row r="410" spans="1:10" ht="13.8" x14ac:dyDescent="0.3">
      <c r="A410" s="56" t="s">
        <v>1560</v>
      </c>
      <c r="D410" s="2">
        <f t="shared" ref="D410:D434" si="15">C410*B410</f>
        <v>0</v>
      </c>
      <c r="G410" s="3"/>
    </row>
    <row r="411" spans="1:10" x14ac:dyDescent="0.25">
      <c r="A411" s="2" t="s">
        <v>1627</v>
      </c>
      <c r="B411" s="2">
        <v>1</v>
      </c>
      <c r="C411" s="2">
        <v>9000</v>
      </c>
      <c r="D411" s="2">
        <f t="shared" si="15"/>
        <v>9000</v>
      </c>
      <c r="G411" s="3"/>
    </row>
    <row r="412" spans="1:10" x14ac:dyDescent="0.25">
      <c r="A412" s="2" t="s">
        <v>1628</v>
      </c>
      <c r="B412" s="2">
        <v>1</v>
      </c>
      <c r="C412" s="2">
        <v>1550</v>
      </c>
      <c r="D412" s="2">
        <f t="shared" si="15"/>
        <v>1550</v>
      </c>
      <c r="G412" s="3"/>
    </row>
    <row r="413" spans="1:10" x14ac:dyDescent="0.25">
      <c r="A413" s="2" t="s">
        <v>1629</v>
      </c>
      <c r="B413" s="2">
        <v>1</v>
      </c>
      <c r="C413" s="2">
        <v>750</v>
      </c>
      <c r="D413" s="2">
        <f t="shared" si="15"/>
        <v>750</v>
      </c>
      <c r="G413" s="3"/>
    </row>
    <row r="414" spans="1:10" x14ac:dyDescent="0.25">
      <c r="A414" s="2" t="s">
        <v>1630</v>
      </c>
      <c r="B414" s="2">
        <v>1</v>
      </c>
      <c r="C414" s="2">
        <v>2350</v>
      </c>
      <c r="D414" s="2">
        <f t="shared" si="15"/>
        <v>2350</v>
      </c>
      <c r="G414" s="3"/>
    </row>
    <row r="415" spans="1:10" hidden="1" x14ac:dyDescent="0.25">
      <c r="A415" s="2" t="s">
        <v>1631</v>
      </c>
      <c r="B415" s="2">
        <v>0</v>
      </c>
      <c r="C415" s="2">
        <v>750</v>
      </c>
      <c r="D415" s="2">
        <f t="shared" si="15"/>
        <v>0</v>
      </c>
      <c r="G415" s="3"/>
    </row>
    <row r="416" spans="1:10" hidden="1" x14ac:dyDescent="0.25">
      <c r="A416" s="2" t="s">
        <v>865</v>
      </c>
      <c r="B416" s="2">
        <v>4</v>
      </c>
      <c r="C416" s="2">
        <v>750</v>
      </c>
      <c r="D416" s="2">
        <f t="shared" si="15"/>
        <v>3000</v>
      </c>
      <c r="G416" s="3"/>
    </row>
    <row r="417" spans="1:7" ht="13.8" x14ac:dyDescent="0.3">
      <c r="A417" s="56" t="s">
        <v>1360</v>
      </c>
      <c r="D417" s="2">
        <f t="shared" si="15"/>
        <v>0</v>
      </c>
      <c r="G417" s="3"/>
    </row>
    <row r="418" spans="1:7" x14ac:dyDescent="0.25">
      <c r="A418" s="2" t="s">
        <v>866</v>
      </c>
      <c r="B418" s="2">
        <v>4</v>
      </c>
      <c r="C418" s="2">
        <v>950</v>
      </c>
      <c r="D418" s="2">
        <f t="shared" si="15"/>
        <v>3800</v>
      </c>
      <c r="G418" s="3"/>
    </row>
    <row r="419" spans="1:7" x14ac:dyDescent="0.25">
      <c r="A419" s="2" t="s">
        <v>1632</v>
      </c>
      <c r="B419" s="2">
        <v>20</v>
      </c>
      <c r="C419" s="2">
        <v>375</v>
      </c>
      <c r="D419" s="2">
        <f t="shared" si="15"/>
        <v>7500</v>
      </c>
      <c r="G419" s="3"/>
    </row>
    <row r="420" spans="1:7" x14ac:dyDescent="0.25">
      <c r="A420" s="2" t="s">
        <v>1633</v>
      </c>
      <c r="B420" s="2">
        <v>3</v>
      </c>
      <c r="C420" s="2">
        <v>1000</v>
      </c>
      <c r="D420" s="2">
        <f t="shared" si="15"/>
        <v>3000</v>
      </c>
      <c r="G420" s="3"/>
    </row>
    <row r="421" spans="1:7" x14ac:dyDescent="0.25">
      <c r="A421" s="178" t="s">
        <v>2121</v>
      </c>
      <c r="B421" s="178">
        <v>0</v>
      </c>
      <c r="C421" s="178">
        <v>25000</v>
      </c>
      <c r="D421" s="2">
        <f t="shared" si="15"/>
        <v>0</v>
      </c>
      <c r="G421" s="3"/>
    </row>
    <row r="422" spans="1:7" x14ac:dyDescent="0.25">
      <c r="A422" s="54" t="s">
        <v>1743</v>
      </c>
      <c r="B422" s="2">
        <v>1</v>
      </c>
      <c r="C422" s="2">
        <v>10800</v>
      </c>
      <c r="D422" s="2">
        <f t="shared" si="15"/>
        <v>10800</v>
      </c>
      <c r="G422" s="3"/>
    </row>
    <row r="423" spans="1:7" x14ac:dyDescent="0.25">
      <c r="A423" s="2" t="s">
        <v>1634</v>
      </c>
      <c r="B423" s="2">
        <v>3</v>
      </c>
      <c r="C423" s="2">
        <v>300</v>
      </c>
      <c r="D423" s="2">
        <f t="shared" si="15"/>
        <v>900</v>
      </c>
      <c r="G423" s="3"/>
    </row>
    <row r="424" spans="1:7" x14ac:dyDescent="0.25">
      <c r="A424" s="2" t="s">
        <v>939</v>
      </c>
      <c r="B424" s="2">
        <v>1</v>
      </c>
      <c r="C424" s="2">
        <v>800</v>
      </c>
      <c r="D424" s="2">
        <f t="shared" si="15"/>
        <v>800</v>
      </c>
      <c r="G424" s="3"/>
    </row>
    <row r="425" spans="1:7" ht="13.8" x14ac:dyDescent="0.3">
      <c r="A425" s="193" t="s">
        <v>2086</v>
      </c>
      <c r="B425" s="178"/>
      <c r="C425" s="178"/>
      <c r="D425" s="2">
        <f t="shared" si="15"/>
        <v>0</v>
      </c>
      <c r="G425" s="3"/>
    </row>
    <row r="426" spans="1:7" x14ac:dyDescent="0.25">
      <c r="A426" s="187" t="s">
        <v>2122</v>
      </c>
      <c r="B426" s="178">
        <v>0</v>
      </c>
      <c r="C426" s="178">
        <v>300</v>
      </c>
      <c r="D426" s="2">
        <f t="shared" si="15"/>
        <v>0</v>
      </c>
      <c r="G426" s="3"/>
    </row>
    <row r="427" spans="1:7" x14ac:dyDescent="0.25">
      <c r="A427" s="187" t="s">
        <v>2123</v>
      </c>
      <c r="B427" s="178">
        <v>0</v>
      </c>
      <c r="C427" s="178">
        <v>100</v>
      </c>
      <c r="D427" s="2">
        <f t="shared" si="15"/>
        <v>0</v>
      </c>
      <c r="G427" s="3"/>
    </row>
    <row r="428" spans="1:7" ht="13.8" x14ac:dyDescent="0.3">
      <c r="A428" s="56" t="s">
        <v>185</v>
      </c>
      <c r="D428" s="2">
        <f t="shared" si="15"/>
        <v>0</v>
      </c>
      <c r="G428" s="3"/>
    </row>
    <row r="429" spans="1:7" x14ac:dyDescent="0.25">
      <c r="A429" s="2" t="s">
        <v>940</v>
      </c>
      <c r="B429" s="2">
        <v>1</v>
      </c>
      <c r="C429" s="2">
        <v>500</v>
      </c>
      <c r="D429" s="2">
        <f t="shared" si="15"/>
        <v>500</v>
      </c>
      <c r="G429" s="3"/>
    </row>
    <row r="430" spans="1:7" x14ac:dyDescent="0.25">
      <c r="A430" s="2" t="s">
        <v>640</v>
      </c>
      <c r="B430" s="2">
        <v>1</v>
      </c>
      <c r="C430" s="2">
        <v>300</v>
      </c>
      <c r="D430" s="2">
        <f t="shared" si="15"/>
        <v>300</v>
      </c>
      <c r="G430" s="3"/>
    </row>
    <row r="431" spans="1:7" x14ac:dyDescent="0.25">
      <c r="A431" s="2" t="s">
        <v>641</v>
      </c>
      <c r="B431" s="2">
        <v>1</v>
      </c>
      <c r="C431" s="2">
        <v>300</v>
      </c>
      <c r="D431" s="2">
        <f t="shared" si="15"/>
        <v>300</v>
      </c>
      <c r="G431" s="3"/>
    </row>
    <row r="432" spans="1:7" x14ac:dyDescent="0.25">
      <c r="A432" s="2" t="s">
        <v>642</v>
      </c>
      <c r="B432" s="2">
        <v>1</v>
      </c>
      <c r="C432" s="2">
        <v>500</v>
      </c>
      <c r="D432" s="2">
        <f t="shared" si="15"/>
        <v>500</v>
      </c>
      <c r="G432" s="3"/>
    </row>
    <row r="433" spans="1:10" x14ac:dyDescent="0.25">
      <c r="A433" s="2" t="s">
        <v>1221</v>
      </c>
      <c r="B433" s="2">
        <v>1</v>
      </c>
      <c r="C433" s="2">
        <v>500</v>
      </c>
      <c r="D433" s="2">
        <f t="shared" si="15"/>
        <v>500</v>
      </c>
      <c r="G433" s="3"/>
    </row>
    <row r="434" spans="1:10" ht="15" x14ac:dyDescent="0.4">
      <c r="A434" s="2" t="s">
        <v>186</v>
      </c>
      <c r="B434" s="2">
        <v>1</v>
      </c>
      <c r="C434" s="2">
        <v>250</v>
      </c>
      <c r="D434" s="12">
        <f t="shared" si="15"/>
        <v>250</v>
      </c>
      <c r="G434" s="3"/>
    </row>
    <row r="435" spans="1:10" x14ac:dyDescent="0.25">
      <c r="A435" s="26" t="s">
        <v>1279</v>
      </c>
      <c r="D435" s="2">
        <f>SUM(D408:D434)</f>
        <v>60300</v>
      </c>
      <c r="G435" s="3"/>
    </row>
    <row r="436" spans="1:10" x14ac:dyDescent="0.25">
      <c r="G436" s="3"/>
    </row>
    <row r="437" spans="1:10" ht="13.8" x14ac:dyDescent="0.3">
      <c r="A437" s="55" t="s">
        <v>1454</v>
      </c>
      <c r="E437" s="2">
        <v>999</v>
      </c>
      <c r="F437" s="2">
        <v>1800</v>
      </c>
      <c r="G437" s="3">
        <v>1800</v>
      </c>
      <c r="H437" s="2">
        <v>1800</v>
      </c>
      <c r="I437" s="2">
        <v>1800</v>
      </c>
      <c r="J437" s="2">
        <v>1800</v>
      </c>
    </row>
    <row r="438" spans="1:10" ht="15" x14ac:dyDescent="0.4">
      <c r="A438" s="2" t="s">
        <v>1744</v>
      </c>
      <c r="B438" s="2">
        <v>1</v>
      </c>
      <c r="C438" s="2">
        <v>1800</v>
      </c>
      <c r="D438" s="12">
        <f>C438*B438</f>
        <v>1800</v>
      </c>
      <c r="G438" s="3"/>
    </row>
    <row r="439" spans="1:10" x14ac:dyDescent="0.25">
      <c r="A439" s="26" t="s">
        <v>1279</v>
      </c>
      <c r="D439" s="2">
        <f>SUM(D438)</f>
        <v>1800</v>
      </c>
      <c r="G439" s="3"/>
    </row>
    <row r="440" spans="1:10" x14ac:dyDescent="0.25">
      <c r="A440" s="26"/>
      <c r="G440" s="3"/>
    </row>
    <row r="441" spans="1:10" ht="13.8" x14ac:dyDescent="0.3">
      <c r="A441" s="55" t="s">
        <v>664</v>
      </c>
      <c r="B441" s="9"/>
      <c r="C441" s="9"/>
      <c r="D441" s="9"/>
      <c r="E441" s="2">
        <v>5009</v>
      </c>
      <c r="F441" s="2">
        <v>6880</v>
      </c>
      <c r="G441" s="3">
        <v>9217.2000000000007</v>
      </c>
      <c r="H441" s="2">
        <v>9217.2000000000007</v>
      </c>
      <c r="I441" s="2">
        <v>9217.2000000000007</v>
      </c>
      <c r="J441" s="2">
        <v>9217.2000000000007</v>
      </c>
    </row>
    <row r="442" spans="1:10" x14ac:dyDescent="0.25">
      <c r="A442" s="1" t="s">
        <v>708</v>
      </c>
      <c r="G442" s="3"/>
    </row>
    <row r="443" spans="1:10" x14ac:dyDescent="0.25">
      <c r="A443" s="2" t="s">
        <v>1430</v>
      </c>
      <c r="B443" s="2">
        <v>1</v>
      </c>
      <c r="C443" s="2">
        <v>430</v>
      </c>
      <c r="D443" s="2">
        <f>C443*B443</f>
        <v>430</v>
      </c>
      <c r="G443" s="3"/>
    </row>
    <row r="444" spans="1:10" x14ac:dyDescent="0.25">
      <c r="A444" s="2" t="s">
        <v>1911</v>
      </c>
      <c r="B444" s="2">
        <v>2</v>
      </c>
      <c r="C444" s="2">
        <v>200</v>
      </c>
      <c r="D444" s="2">
        <f t="shared" ref="D444:D452" si="16">C444*B444</f>
        <v>400</v>
      </c>
      <c r="G444" s="3"/>
    </row>
    <row r="445" spans="1:10" x14ac:dyDescent="0.25">
      <c r="A445" s="2" t="s">
        <v>2124</v>
      </c>
      <c r="B445" s="2">
        <v>2</v>
      </c>
      <c r="C445" s="2">
        <v>200</v>
      </c>
      <c r="D445" s="2">
        <f t="shared" si="16"/>
        <v>400</v>
      </c>
      <c r="G445" s="3"/>
    </row>
    <row r="446" spans="1:10" x14ac:dyDescent="0.25">
      <c r="A446" s="178" t="s">
        <v>2125</v>
      </c>
      <c r="B446" s="178">
        <v>26</v>
      </c>
      <c r="C446" s="178">
        <v>52</v>
      </c>
      <c r="D446" s="2">
        <f t="shared" si="16"/>
        <v>1352</v>
      </c>
      <c r="G446" s="3"/>
    </row>
    <row r="447" spans="1:10" x14ac:dyDescent="0.25">
      <c r="A447" s="178" t="s">
        <v>2126</v>
      </c>
      <c r="B447" s="178">
        <v>26</v>
      </c>
      <c r="C447" s="178">
        <v>9.6</v>
      </c>
      <c r="D447" s="2">
        <f t="shared" si="16"/>
        <v>249.6</v>
      </c>
      <c r="G447" s="3"/>
    </row>
    <row r="448" spans="1:10" x14ac:dyDescent="0.25">
      <c r="A448" s="178" t="s">
        <v>2127</v>
      </c>
      <c r="B448" s="178">
        <v>26</v>
      </c>
      <c r="C448" s="178">
        <v>45.6</v>
      </c>
      <c r="D448" s="2">
        <f t="shared" si="16"/>
        <v>1185.6000000000001</v>
      </c>
      <c r="G448" s="3"/>
    </row>
    <row r="449" spans="1:10" x14ac:dyDescent="0.25">
      <c r="A449" s="178" t="s">
        <v>2128</v>
      </c>
      <c r="B449" s="178">
        <v>1</v>
      </c>
      <c r="C449" s="178">
        <v>200</v>
      </c>
      <c r="D449" s="2">
        <f t="shared" si="16"/>
        <v>200</v>
      </c>
      <c r="G449" s="3"/>
    </row>
    <row r="450" spans="1:10" x14ac:dyDescent="0.25">
      <c r="A450" s="2" t="s">
        <v>1884</v>
      </c>
      <c r="B450" s="1">
        <v>0</v>
      </c>
      <c r="C450" s="9">
        <v>25000</v>
      </c>
      <c r="D450" s="2">
        <f t="shared" si="16"/>
        <v>0</v>
      </c>
      <c r="G450" s="3"/>
    </row>
    <row r="451" spans="1:10" ht="26.4" x14ac:dyDescent="0.25">
      <c r="A451" s="157" t="s">
        <v>1912</v>
      </c>
      <c r="B451" s="2">
        <v>1</v>
      </c>
      <c r="C451" s="2">
        <v>2000</v>
      </c>
      <c r="D451" s="2">
        <f t="shared" si="16"/>
        <v>2000</v>
      </c>
      <c r="G451" s="3"/>
    </row>
    <row r="452" spans="1:10" ht="15" x14ac:dyDescent="0.4">
      <c r="A452" s="2" t="s">
        <v>643</v>
      </c>
      <c r="B452" s="2">
        <v>1</v>
      </c>
      <c r="C452" s="2">
        <v>3000</v>
      </c>
      <c r="D452" s="12">
        <f t="shared" si="16"/>
        <v>3000</v>
      </c>
      <c r="G452" s="3"/>
    </row>
    <row r="453" spans="1:10" x14ac:dyDescent="0.25">
      <c r="A453" s="26" t="s">
        <v>1279</v>
      </c>
      <c r="D453" s="1">
        <f>SUM(D443:D452)</f>
        <v>9217.2000000000007</v>
      </c>
      <c r="G453" s="3"/>
    </row>
    <row r="454" spans="1:10" x14ac:dyDescent="0.25">
      <c r="G454" s="3"/>
    </row>
    <row r="455" spans="1:10" ht="13.8" x14ac:dyDescent="0.3">
      <c r="A455" s="55" t="s">
        <v>968</v>
      </c>
      <c r="E455" s="2">
        <v>1359</v>
      </c>
      <c r="F455" s="2">
        <v>3000</v>
      </c>
      <c r="G455" s="3">
        <v>3000</v>
      </c>
      <c r="H455" s="2">
        <v>3000</v>
      </c>
      <c r="I455" s="2">
        <v>3000</v>
      </c>
      <c r="J455" s="2">
        <v>3000</v>
      </c>
    </row>
    <row r="456" spans="1:10" x14ac:dyDescent="0.25">
      <c r="A456" s="2" t="s">
        <v>1913</v>
      </c>
      <c r="B456" s="2">
        <v>1</v>
      </c>
      <c r="C456" s="2">
        <v>3000</v>
      </c>
      <c r="D456" s="2">
        <f>C456*B456</f>
        <v>3000</v>
      </c>
      <c r="G456" s="3"/>
    </row>
    <row r="457" spans="1:10" x14ac:dyDescent="0.25">
      <c r="G457" s="3"/>
    </row>
    <row r="458" spans="1:10" ht="13.8" x14ac:dyDescent="0.3">
      <c r="A458" s="55" t="s">
        <v>552</v>
      </c>
      <c r="E458" s="2">
        <v>0</v>
      </c>
      <c r="F458" s="2">
        <v>750</v>
      </c>
      <c r="G458" s="3">
        <v>750</v>
      </c>
      <c r="H458" s="2">
        <v>750</v>
      </c>
      <c r="I458" s="2">
        <v>750</v>
      </c>
      <c r="J458" s="2">
        <v>750</v>
      </c>
    </row>
    <row r="459" spans="1:10" x14ac:dyDescent="0.25">
      <c r="A459" s="2" t="s">
        <v>106</v>
      </c>
      <c r="B459" s="2">
        <v>1</v>
      </c>
      <c r="C459" s="2">
        <v>750</v>
      </c>
      <c r="D459" s="2">
        <f>C459*B459</f>
        <v>750</v>
      </c>
      <c r="G459" s="3"/>
    </row>
    <row r="460" spans="1:10" ht="15" x14ac:dyDescent="0.4">
      <c r="D460" s="12">
        <v>0</v>
      </c>
      <c r="G460" s="3"/>
    </row>
    <row r="461" spans="1:10" x14ac:dyDescent="0.25">
      <c r="A461" s="9" t="s">
        <v>1279</v>
      </c>
      <c r="D461" s="2">
        <f>SUM(D459:D460)</f>
        <v>750</v>
      </c>
      <c r="G461" s="3"/>
    </row>
    <row r="462" spans="1:10" x14ac:dyDescent="0.25">
      <c r="G462" s="3"/>
    </row>
    <row r="463" spans="1:10" ht="13.8" x14ac:dyDescent="0.3">
      <c r="A463" s="55" t="s">
        <v>553</v>
      </c>
      <c r="B463" s="9"/>
      <c r="C463" s="9"/>
      <c r="D463" s="9"/>
      <c r="E463" s="2">
        <v>12471</v>
      </c>
      <c r="F463" s="2">
        <v>16493</v>
      </c>
      <c r="G463" s="3">
        <v>16493</v>
      </c>
      <c r="H463" s="2">
        <v>16493</v>
      </c>
      <c r="I463" s="2">
        <v>16493</v>
      </c>
      <c r="J463" s="2">
        <v>16493</v>
      </c>
    </row>
    <row r="464" spans="1:10" x14ac:dyDescent="0.25">
      <c r="A464" s="2" t="s">
        <v>1635</v>
      </c>
      <c r="B464" s="2">
        <v>32</v>
      </c>
      <c r="C464" s="2">
        <v>351</v>
      </c>
      <c r="D464" s="2">
        <f>C464*B464</f>
        <v>11232</v>
      </c>
      <c r="G464" s="3"/>
    </row>
    <row r="465" spans="1:10" x14ac:dyDescent="0.25">
      <c r="A465" s="2" t="s">
        <v>1636</v>
      </c>
      <c r="B465" s="2">
        <v>5</v>
      </c>
      <c r="C465" s="2">
        <v>631</v>
      </c>
      <c r="D465" s="2">
        <f>C465*B465</f>
        <v>3155</v>
      </c>
      <c r="F465" s="3"/>
      <c r="G465" s="3"/>
      <c r="H465" s="3"/>
      <c r="I465" s="3"/>
      <c r="J465" s="3"/>
    </row>
    <row r="466" spans="1:10" ht="15" x14ac:dyDescent="0.4">
      <c r="A466" s="2" t="s">
        <v>1637</v>
      </c>
      <c r="B466" s="2">
        <v>6</v>
      </c>
      <c r="C466" s="2">
        <v>351</v>
      </c>
      <c r="D466" s="12">
        <f>C466*B466</f>
        <v>2106</v>
      </c>
      <c r="G466" s="3"/>
    </row>
    <row r="467" spans="1:10" x14ac:dyDescent="0.25">
      <c r="A467" s="26" t="s">
        <v>1279</v>
      </c>
      <c r="D467" s="9">
        <f>SUM(D464:D466)</f>
        <v>16493</v>
      </c>
      <c r="G467" s="3"/>
    </row>
    <row r="468" spans="1:10" x14ac:dyDescent="0.25">
      <c r="G468" s="3"/>
    </row>
    <row r="469" spans="1:10" ht="13.8" x14ac:dyDescent="0.3">
      <c r="A469" s="55" t="s">
        <v>554</v>
      </c>
      <c r="B469" s="9"/>
      <c r="C469" s="9"/>
      <c r="D469" s="9"/>
      <c r="E469" s="2">
        <v>36549</v>
      </c>
      <c r="F469" s="2">
        <v>65000</v>
      </c>
      <c r="G469" s="3">
        <v>65000</v>
      </c>
      <c r="H469" s="2">
        <v>25000</v>
      </c>
      <c r="I469" s="2">
        <v>25000</v>
      </c>
      <c r="J469" s="2">
        <v>25000</v>
      </c>
    </row>
    <row r="470" spans="1:10" ht="13.8" x14ac:dyDescent="0.3">
      <c r="A470" s="55" t="s">
        <v>818</v>
      </c>
      <c r="B470" s="9"/>
      <c r="C470" s="9"/>
      <c r="D470" s="9"/>
      <c r="G470" s="3"/>
    </row>
    <row r="471" spans="1:10" ht="13.8" x14ac:dyDescent="0.3">
      <c r="A471" s="56" t="s">
        <v>819</v>
      </c>
      <c r="C471" s="9"/>
      <c r="D471" s="9"/>
      <c r="G471" s="3"/>
    </row>
    <row r="472" spans="1:10" x14ac:dyDescent="0.25">
      <c r="A472" s="2" t="s">
        <v>1745</v>
      </c>
      <c r="B472" s="2">
        <v>1</v>
      </c>
      <c r="C472" s="9">
        <v>8000</v>
      </c>
      <c r="D472" s="9">
        <f>C472*B472</f>
        <v>8000</v>
      </c>
      <c r="G472" s="3"/>
    </row>
    <row r="473" spans="1:10" x14ac:dyDescent="0.25">
      <c r="A473" s="2" t="s">
        <v>1746</v>
      </c>
      <c r="B473" s="2">
        <v>1</v>
      </c>
      <c r="C473" s="9">
        <v>10000</v>
      </c>
      <c r="D473" s="9">
        <v>10000</v>
      </c>
      <c r="G473" s="3"/>
    </row>
    <row r="474" spans="1:10" x14ac:dyDescent="0.25">
      <c r="A474" s="2" t="s">
        <v>1914</v>
      </c>
      <c r="B474" s="2">
        <v>1</v>
      </c>
      <c r="C474" s="9">
        <v>5000</v>
      </c>
      <c r="D474" s="9">
        <v>5000</v>
      </c>
      <c r="G474" s="3"/>
    </row>
    <row r="475" spans="1:10" x14ac:dyDescent="0.25">
      <c r="A475" s="2" t="s">
        <v>2199</v>
      </c>
      <c r="B475" s="2">
        <v>0</v>
      </c>
      <c r="C475" s="9">
        <v>40000</v>
      </c>
      <c r="D475" s="9">
        <f>C475*B475</f>
        <v>0</v>
      </c>
      <c r="G475" s="3"/>
    </row>
    <row r="476" spans="1:10" ht="15" x14ac:dyDescent="0.4">
      <c r="A476" s="2" t="s">
        <v>1747</v>
      </c>
      <c r="B476" s="2">
        <v>1</v>
      </c>
      <c r="C476" s="9">
        <v>2000</v>
      </c>
      <c r="D476" s="10">
        <f>C476*B476</f>
        <v>2000</v>
      </c>
      <c r="E476" s="75"/>
      <c r="G476" s="3"/>
    </row>
    <row r="477" spans="1:10" x14ac:dyDescent="0.25">
      <c r="A477" s="26" t="s">
        <v>1279</v>
      </c>
      <c r="C477" s="9"/>
      <c r="D477" s="9">
        <f>SUM(D472:D476)</f>
        <v>25000</v>
      </c>
      <c r="E477" s="74"/>
      <c r="G477" s="3"/>
    </row>
    <row r="478" spans="1:10" x14ac:dyDescent="0.25">
      <c r="A478" s="26"/>
      <c r="C478" s="9"/>
      <c r="D478" s="9"/>
      <c r="E478" s="74"/>
      <c r="G478" s="3"/>
    </row>
    <row r="479" spans="1:10" x14ac:dyDescent="0.25">
      <c r="A479" s="43"/>
      <c r="B479" s="47"/>
      <c r="C479" s="3"/>
      <c r="D479" s="3"/>
      <c r="G479" s="3"/>
    </row>
    <row r="480" spans="1:10" ht="13.8" x14ac:dyDescent="0.3">
      <c r="A480" s="55" t="s">
        <v>1049</v>
      </c>
      <c r="B480" s="9"/>
      <c r="C480" s="9"/>
      <c r="D480" s="9"/>
      <c r="E480" s="2">
        <v>799</v>
      </c>
      <c r="F480" s="2">
        <v>4560</v>
      </c>
      <c r="G480" s="3">
        <v>4560</v>
      </c>
      <c r="H480" s="2">
        <v>4560</v>
      </c>
      <c r="I480" s="2">
        <v>4560</v>
      </c>
      <c r="J480" s="2">
        <v>4560</v>
      </c>
    </row>
    <row r="481" spans="1:10" x14ac:dyDescent="0.25">
      <c r="A481" s="2" t="s">
        <v>1638</v>
      </c>
      <c r="B481" s="2">
        <v>2</v>
      </c>
      <c r="C481" s="2">
        <v>1280</v>
      </c>
      <c r="D481" s="2">
        <f>C481*B481</f>
        <v>2560</v>
      </c>
      <c r="G481" s="3"/>
    </row>
    <row r="482" spans="1:10" ht="15" x14ac:dyDescent="0.4">
      <c r="A482" s="2" t="s">
        <v>1915</v>
      </c>
      <c r="B482" s="2">
        <v>2</v>
      </c>
      <c r="C482" s="2">
        <v>1000</v>
      </c>
      <c r="D482" s="12">
        <f>C482*B482</f>
        <v>2000</v>
      </c>
      <c r="G482" s="3"/>
    </row>
    <row r="483" spans="1:10" x14ac:dyDescent="0.25">
      <c r="A483" s="26" t="s">
        <v>1279</v>
      </c>
      <c r="D483" s="2">
        <f>SUM(D481:D482)</f>
        <v>4560</v>
      </c>
      <c r="G483" s="3"/>
    </row>
    <row r="484" spans="1:10" x14ac:dyDescent="0.25">
      <c r="A484" s="53"/>
      <c r="G484" s="3"/>
    </row>
    <row r="485" spans="1:10" ht="13.8" x14ac:dyDescent="0.3">
      <c r="A485" s="55" t="s">
        <v>1050</v>
      </c>
      <c r="B485" s="9"/>
      <c r="C485" s="9"/>
      <c r="D485" s="9"/>
      <c r="E485" s="2">
        <v>4086</v>
      </c>
      <c r="F485" s="2">
        <v>19500</v>
      </c>
      <c r="G485" s="3">
        <v>16500</v>
      </c>
      <c r="H485" s="2">
        <v>19500</v>
      </c>
      <c r="I485" s="2">
        <v>19500</v>
      </c>
      <c r="J485" s="2">
        <v>19500</v>
      </c>
    </row>
    <row r="486" spans="1:10" x14ac:dyDescent="0.25">
      <c r="A486" s="2" t="s">
        <v>1639</v>
      </c>
      <c r="B486" s="2">
        <v>1</v>
      </c>
      <c r="C486" s="2">
        <v>1000</v>
      </c>
      <c r="D486" s="2">
        <v>1000</v>
      </c>
      <c r="G486" s="3"/>
    </row>
    <row r="487" spans="1:10" x14ac:dyDescent="0.25">
      <c r="A487" s="2" t="s">
        <v>1748</v>
      </c>
      <c r="B487" s="2">
        <v>1</v>
      </c>
      <c r="C487" s="2">
        <v>2200</v>
      </c>
      <c r="D487" s="2">
        <v>2200</v>
      </c>
      <c r="G487" s="3"/>
    </row>
    <row r="488" spans="1:10" x14ac:dyDescent="0.25">
      <c r="A488" s="2" t="s">
        <v>1640</v>
      </c>
      <c r="B488" s="2">
        <v>1</v>
      </c>
      <c r="C488" s="2">
        <v>2800</v>
      </c>
      <c r="D488" s="2">
        <f>C488*B488</f>
        <v>2800</v>
      </c>
      <c r="G488" s="3"/>
    </row>
    <row r="489" spans="1:10" ht="15" x14ac:dyDescent="0.4">
      <c r="A489" s="2" t="s">
        <v>1749</v>
      </c>
      <c r="B489" s="2">
        <v>3</v>
      </c>
      <c r="C489" s="2">
        <v>4500</v>
      </c>
      <c r="D489" s="12">
        <f>C489*B489</f>
        <v>13500</v>
      </c>
      <c r="G489" s="3"/>
    </row>
    <row r="490" spans="1:10" x14ac:dyDescent="0.25">
      <c r="A490" s="26" t="s">
        <v>1279</v>
      </c>
      <c r="D490" s="2">
        <f>SUM(D486:D489)</f>
        <v>19500</v>
      </c>
      <c r="G490" s="3"/>
    </row>
    <row r="491" spans="1:10" x14ac:dyDescent="0.25">
      <c r="G491" s="3"/>
    </row>
    <row r="492" spans="1:10" ht="13.8" x14ac:dyDescent="0.3">
      <c r="A492" s="55" t="s">
        <v>1200</v>
      </c>
      <c r="B492" s="20"/>
      <c r="C492" s="20"/>
      <c r="D492" s="20"/>
      <c r="E492" s="2">
        <v>3124</v>
      </c>
      <c r="F492" s="2">
        <v>2900</v>
      </c>
      <c r="G492" s="3">
        <v>18300</v>
      </c>
      <c r="H492" s="2">
        <v>18300</v>
      </c>
      <c r="I492" s="2">
        <v>18300</v>
      </c>
      <c r="J492" s="2">
        <v>18300</v>
      </c>
    </row>
    <row r="493" spans="1:10" x14ac:dyDescent="0.25">
      <c r="A493" s="178" t="s">
        <v>2129</v>
      </c>
      <c r="B493" s="178">
        <v>1</v>
      </c>
      <c r="C493" s="188">
        <v>1800</v>
      </c>
      <c r="D493" s="188">
        <f>C493*B493</f>
        <v>1800</v>
      </c>
    </row>
    <row r="494" spans="1:10" x14ac:dyDescent="0.25">
      <c r="A494" s="178" t="s">
        <v>2130</v>
      </c>
      <c r="B494" s="178">
        <v>1</v>
      </c>
      <c r="C494" s="188">
        <v>15000</v>
      </c>
      <c r="D494" s="188">
        <f>C494*B494</f>
        <v>15000</v>
      </c>
    </row>
    <row r="495" spans="1:10" ht="15" x14ac:dyDescent="0.4">
      <c r="A495" s="2" t="s">
        <v>1419</v>
      </c>
      <c r="B495" s="2">
        <v>1</v>
      </c>
      <c r="C495" s="9">
        <v>1500</v>
      </c>
      <c r="D495" s="10">
        <f>C495*B495</f>
        <v>1500</v>
      </c>
    </row>
    <row r="496" spans="1:10" x14ac:dyDescent="0.25">
      <c r="A496" s="26" t="s">
        <v>1279</v>
      </c>
      <c r="D496" s="2">
        <f>SUM(D493:D495)</f>
        <v>18300</v>
      </c>
    </row>
    <row r="498" spans="1:10" ht="13.8" x14ac:dyDescent="0.3">
      <c r="A498" s="55" t="s">
        <v>3</v>
      </c>
      <c r="B498" s="20"/>
      <c r="C498" s="20"/>
      <c r="D498" s="20"/>
      <c r="E498" s="2">
        <v>155000</v>
      </c>
      <c r="F498" s="2">
        <v>245000</v>
      </c>
      <c r="G498" s="2">
        <v>307000</v>
      </c>
      <c r="H498" s="2">
        <v>307000</v>
      </c>
      <c r="I498" s="2">
        <v>307000</v>
      </c>
      <c r="J498" s="2">
        <v>307000</v>
      </c>
    </row>
    <row r="499" spans="1:10" x14ac:dyDescent="0.25">
      <c r="A499" s="2" t="s">
        <v>576</v>
      </c>
      <c r="D499" s="2">
        <v>192000</v>
      </c>
    </row>
    <row r="500" spans="1:10" ht="15" x14ac:dyDescent="0.4">
      <c r="A500" s="2" t="s">
        <v>31</v>
      </c>
      <c r="C500" s="12"/>
      <c r="D500" s="12">
        <v>115000</v>
      </c>
    </row>
    <row r="501" spans="1:10" x14ac:dyDescent="0.25">
      <c r="A501" s="2" t="s">
        <v>1279</v>
      </c>
      <c r="D501" s="2">
        <f>SUM(D499:D500)</f>
        <v>307000</v>
      </c>
    </row>
    <row r="504" spans="1:10" ht="15" x14ac:dyDescent="0.4">
      <c r="A504" s="55" t="s">
        <v>1356</v>
      </c>
      <c r="E504" s="12">
        <v>0</v>
      </c>
      <c r="F504" s="19">
        <v>140000</v>
      </c>
      <c r="G504" s="19">
        <v>288000</v>
      </c>
      <c r="H504" s="19">
        <v>288000</v>
      </c>
      <c r="I504" s="19">
        <v>288000</v>
      </c>
      <c r="J504" s="19">
        <v>288000</v>
      </c>
    </row>
    <row r="505" spans="1:10" ht="15" x14ac:dyDescent="0.4">
      <c r="A505" s="55"/>
      <c r="B505" s="83" t="s">
        <v>1684</v>
      </c>
      <c r="C505" s="83" t="s">
        <v>1874</v>
      </c>
      <c r="D505" s="83" t="s">
        <v>1944</v>
      </c>
      <c r="E505" s="12"/>
      <c r="F505" s="19"/>
      <c r="G505" s="19"/>
      <c r="H505" s="19"/>
      <c r="I505" s="19"/>
      <c r="J505" s="19"/>
    </row>
    <row r="506" spans="1:10" ht="15" x14ac:dyDescent="0.4">
      <c r="A506" s="45" t="s">
        <v>1750</v>
      </c>
      <c r="B506" s="9">
        <v>200000</v>
      </c>
      <c r="C506" s="9">
        <v>0</v>
      </c>
      <c r="D506" s="9">
        <v>235000</v>
      </c>
      <c r="E506" s="12"/>
      <c r="F506" s="19"/>
      <c r="G506" s="19"/>
      <c r="H506" s="19"/>
      <c r="I506" s="19"/>
      <c r="J506" s="19"/>
    </row>
    <row r="507" spans="1:10" ht="15" x14ac:dyDescent="0.4">
      <c r="A507" s="45" t="s">
        <v>2131</v>
      </c>
      <c r="B507" s="9">
        <v>0</v>
      </c>
      <c r="C507" s="9">
        <v>0</v>
      </c>
      <c r="D507" s="9">
        <v>13000</v>
      </c>
      <c r="E507" s="12"/>
      <c r="F507" s="19"/>
      <c r="G507" s="19"/>
      <c r="H507" s="19"/>
      <c r="I507" s="19"/>
      <c r="J507" s="19"/>
    </row>
    <row r="508" spans="1:10" ht="15" x14ac:dyDescent="0.4">
      <c r="A508" s="45" t="s">
        <v>1751</v>
      </c>
      <c r="B508" s="9">
        <v>82334</v>
      </c>
      <c r="C508" s="9">
        <v>0</v>
      </c>
      <c r="D508" s="9">
        <v>0</v>
      </c>
      <c r="E508" s="12"/>
      <c r="F508" s="19"/>
      <c r="G508" s="19"/>
      <c r="H508" s="19"/>
      <c r="I508" s="19"/>
      <c r="J508" s="19"/>
    </row>
    <row r="509" spans="1:10" ht="15" x14ac:dyDescent="0.4">
      <c r="A509" s="45" t="s">
        <v>1941</v>
      </c>
      <c r="B509" s="9">
        <v>0</v>
      </c>
      <c r="C509" s="9">
        <v>85000</v>
      </c>
      <c r="D509" s="9">
        <v>0</v>
      </c>
      <c r="E509" s="12"/>
      <c r="F509" s="19"/>
      <c r="G509" s="19"/>
      <c r="H509" s="19"/>
      <c r="I509" s="19"/>
      <c r="J509" s="19"/>
    </row>
    <row r="510" spans="1:10" ht="15" x14ac:dyDescent="0.4">
      <c r="A510" s="45" t="s">
        <v>1942</v>
      </c>
      <c r="B510" s="9">
        <v>0</v>
      </c>
      <c r="C510" s="9">
        <v>15000</v>
      </c>
      <c r="D510" s="9">
        <v>0</v>
      </c>
      <c r="E510" s="12"/>
      <c r="F510" s="19"/>
      <c r="G510" s="19"/>
      <c r="H510" s="19"/>
      <c r="I510" s="19"/>
      <c r="J510" s="19"/>
    </row>
    <row r="511" spans="1:10" ht="15" x14ac:dyDescent="0.4">
      <c r="A511" s="45" t="s">
        <v>2200</v>
      </c>
      <c r="B511" s="10">
        <v>0</v>
      </c>
      <c r="C511" s="10">
        <v>40000</v>
      </c>
      <c r="D511" s="10">
        <v>40000</v>
      </c>
      <c r="E511" s="12"/>
      <c r="F511" s="19"/>
      <c r="G511" s="19"/>
      <c r="H511" s="19"/>
      <c r="I511" s="19"/>
      <c r="J511" s="19"/>
    </row>
    <row r="512" spans="1:10" x14ac:dyDescent="0.25">
      <c r="A512" s="2" t="s">
        <v>1279</v>
      </c>
      <c r="B512" s="2">
        <f>SUM(B506:B511)</f>
        <v>282334</v>
      </c>
      <c r="C512" s="2">
        <f>SUM(C506:C511)</f>
        <v>140000</v>
      </c>
      <c r="D512" s="2">
        <f>SUM(D506:D511)</f>
        <v>288000</v>
      </c>
    </row>
    <row r="514" spans="1:10" x14ac:dyDescent="0.25">
      <c r="A514" s="1" t="s">
        <v>1366</v>
      </c>
      <c r="E514" s="2">
        <f t="shared" ref="E514:I514" si="17">SUM(E6:E504)</f>
        <v>5004127.2</v>
      </c>
      <c r="F514" s="2">
        <f t="shared" si="17"/>
        <v>5870717</v>
      </c>
      <c r="G514" s="2">
        <f t="shared" si="17"/>
        <v>6891903.9053739607</v>
      </c>
      <c r="H514" s="2">
        <f t="shared" si="17"/>
        <v>6302053.2000000002</v>
      </c>
      <c r="I514" s="2">
        <f t="shared" si="17"/>
        <v>6430053.2000000002</v>
      </c>
      <c r="J514" s="2">
        <f t="shared" ref="J514" si="18">SUM(J6:J504)</f>
        <v>6437661.2000000002</v>
      </c>
    </row>
    <row r="516" spans="1:10" x14ac:dyDescent="0.25">
      <c r="A516" s="2" t="s">
        <v>1561</v>
      </c>
      <c r="E516" s="2">
        <f t="shared" ref="E516:I516" si="19">SUM(E6:E213)</f>
        <v>4380794.6000000006</v>
      </c>
      <c r="F516" s="2">
        <f t="shared" si="19"/>
        <v>4911791</v>
      </c>
      <c r="G516" s="2">
        <f t="shared" si="19"/>
        <v>5592722.5053739604</v>
      </c>
      <c r="H516" s="2">
        <f t="shared" si="19"/>
        <v>5134580</v>
      </c>
      <c r="I516" s="2">
        <f t="shared" si="19"/>
        <v>5262580</v>
      </c>
      <c r="J516" s="2">
        <f t="shared" ref="J516" si="20">SUM(J6:J213)</f>
        <v>5270188</v>
      </c>
    </row>
    <row r="517" spans="1:10" x14ac:dyDescent="0.25">
      <c r="A517" s="2" t="s">
        <v>1562</v>
      </c>
      <c r="E517" s="2">
        <f t="shared" ref="E517:I517" si="21">SUM(E214:E463)</f>
        <v>423774.6</v>
      </c>
      <c r="F517" s="2">
        <f t="shared" si="21"/>
        <v>481966</v>
      </c>
      <c r="G517" s="2">
        <f t="shared" si="21"/>
        <v>599821.39999999991</v>
      </c>
      <c r="H517" s="2">
        <f t="shared" si="21"/>
        <v>505113.2</v>
      </c>
      <c r="I517" s="2">
        <f t="shared" si="21"/>
        <v>505113.2</v>
      </c>
      <c r="J517" s="2">
        <f t="shared" ref="J517" si="22">SUM(J214:J463)</f>
        <v>505113.2</v>
      </c>
    </row>
    <row r="518" spans="1:10" ht="15" x14ac:dyDescent="0.4">
      <c r="A518" s="2" t="s">
        <v>1563</v>
      </c>
      <c r="E518" s="12">
        <f t="shared" ref="E518:I518" si="23">SUM(E469:E504)</f>
        <v>199558</v>
      </c>
      <c r="F518" s="12">
        <f t="shared" si="23"/>
        <v>476960</v>
      </c>
      <c r="G518" s="12">
        <f t="shared" si="23"/>
        <v>699360</v>
      </c>
      <c r="H518" s="12">
        <f t="shared" si="23"/>
        <v>662360</v>
      </c>
      <c r="I518" s="12">
        <f t="shared" si="23"/>
        <v>662360</v>
      </c>
      <c r="J518" s="12">
        <f t="shared" ref="J518" si="24">SUM(J469:J504)</f>
        <v>662360</v>
      </c>
    </row>
    <row r="519" spans="1:10" x14ac:dyDescent="0.25">
      <c r="A519" s="2" t="s">
        <v>1279</v>
      </c>
      <c r="E519" s="2">
        <f t="shared" ref="E519:I519" si="25">SUM(E516:E518)</f>
        <v>5004127.2</v>
      </c>
      <c r="F519" s="2">
        <f t="shared" si="25"/>
        <v>5870717</v>
      </c>
      <c r="G519" s="2">
        <f t="shared" si="25"/>
        <v>6891903.9053739607</v>
      </c>
      <c r="H519" s="2">
        <f t="shared" si="25"/>
        <v>6302053.2000000002</v>
      </c>
      <c r="I519" s="2">
        <f t="shared" si="25"/>
        <v>6430053.2000000002</v>
      </c>
      <c r="J519" s="2">
        <f t="shared" ref="J519" si="26">SUM(J516:J518)</f>
        <v>6437661.2000000002</v>
      </c>
    </row>
    <row r="520" spans="1:10" x14ac:dyDescent="0.25">
      <c r="G520" s="8"/>
    </row>
    <row r="521" spans="1:10" x14ac:dyDescent="0.25">
      <c r="G521" s="8"/>
    </row>
    <row r="522" spans="1:10" x14ac:dyDescent="0.25">
      <c r="G522" s="8"/>
      <c r="H522" s="2">
        <f>-12000+140000</f>
        <v>128000</v>
      </c>
    </row>
    <row r="523" spans="1:10" x14ac:dyDescent="0.25">
      <c r="G523" s="8"/>
      <c r="H523" s="2">
        <f>+H522+H519</f>
        <v>6430053.2000000002</v>
      </c>
      <c r="I523" s="2">
        <f>+I522+I519</f>
        <v>6430053.2000000002</v>
      </c>
      <c r="J523" s="2">
        <f>+J522+J519</f>
        <v>6437661.2000000002</v>
      </c>
    </row>
    <row r="524" spans="1:10" x14ac:dyDescent="0.25">
      <c r="G524" s="8"/>
      <c r="I524" s="2">
        <f>+I523-H523</f>
        <v>0</v>
      </c>
      <c r="J524" s="2">
        <f>+J523-I523</f>
        <v>7608</v>
      </c>
    </row>
    <row r="525" spans="1:10" x14ac:dyDescent="0.25">
      <c r="G525" s="8"/>
    </row>
    <row r="526" spans="1:10" x14ac:dyDescent="0.25">
      <c r="G526" s="8"/>
    </row>
    <row r="527" spans="1:10" x14ac:dyDescent="0.25">
      <c r="G527" s="8"/>
    </row>
    <row r="528" spans="1:10" x14ac:dyDescent="0.25">
      <c r="G528" s="8"/>
    </row>
    <row r="529" spans="7:7" x14ac:dyDescent="0.25">
      <c r="G529" s="8"/>
    </row>
    <row r="530" spans="7:7" x14ac:dyDescent="0.25">
      <c r="G530" s="8"/>
    </row>
    <row r="531" spans="7:7" x14ac:dyDescent="0.25">
      <c r="G531" s="8"/>
    </row>
    <row r="532" spans="7:7" x14ac:dyDescent="0.25">
      <c r="G532" s="8"/>
    </row>
    <row r="533" spans="7:7" x14ac:dyDescent="0.25">
      <c r="G533" s="8"/>
    </row>
    <row r="534" spans="7:7" x14ac:dyDescent="0.25">
      <c r="G534" s="8"/>
    </row>
    <row r="535" spans="7:7" x14ac:dyDescent="0.25">
      <c r="G535" s="8"/>
    </row>
    <row r="536" spans="7:7" x14ac:dyDescent="0.25">
      <c r="G536" s="8"/>
    </row>
    <row r="537" spans="7:7" x14ac:dyDescent="0.25">
      <c r="G537" s="8"/>
    </row>
    <row r="538" spans="7:7" x14ac:dyDescent="0.25">
      <c r="G538" s="8"/>
    </row>
    <row r="539" spans="7:7" x14ac:dyDescent="0.25">
      <c r="G539" s="8"/>
    </row>
    <row r="540" spans="7:7" x14ac:dyDescent="0.25">
      <c r="G540" s="8"/>
    </row>
    <row r="541" spans="7:7" x14ac:dyDescent="0.25">
      <c r="G541" s="8"/>
    </row>
    <row r="542" spans="7:7" x14ac:dyDescent="0.25">
      <c r="G542" s="8"/>
    </row>
    <row r="543" spans="7:7" x14ac:dyDescent="0.25">
      <c r="G543" s="8"/>
    </row>
    <row r="544" spans="7:7" x14ac:dyDescent="0.25">
      <c r="G544" s="8"/>
    </row>
    <row r="545" spans="7:7" x14ac:dyDescent="0.25">
      <c r="G545" s="8"/>
    </row>
    <row r="546" spans="7:7" x14ac:dyDescent="0.25">
      <c r="G546" s="8"/>
    </row>
    <row r="547" spans="7:7" x14ac:dyDescent="0.25">
      <c r="G547" s="8"/>
    </row>
    <row r="548" spans="7:7" x14ac:dyDescent="0.25">
      <c r="G548" s="8"/>
    </row>
    <row r="549" spans="7:7" x14ac:dyDescent="0.25">
      <c r="G549" s="8"/>
    </row>
    <row r="550" spans="7:7" x14ac:dyDescent="0.25">
      <c r="G550" s="8"/>
    </row>
    <row r="551" spans="7:7" x14ac:dyDescent="0.25">
      <c r="G551" s="8"/>
    </row>
    <row r="552" spans="7:7" x14ac:dyDescent="0.25">
      <c r="G552" s="8"/>
    </row>
    <row r="553" spans="7:7" x14ac:dyDescent="0.25">
      <c r="G553" s="8"/>
    </row>
    <row r="554" spans="7:7" x14ac:dyDescent="0.25">
      <c r="G554" s="8"/>
    </row>
    <row r="555" spans="7:7" x14ac:dyDescent="0.25">
      <c r="G555" s="8"/>
    </row>
    <row r="556" spans="7:7" x14ac:dyDescent="0.25">
      <c r="G556" s="8"/>
    </row>
    <row r="557" spans="7:7" x14ac:dyDescent="0.25">
      <c r="G557" s="8"/>
    </row>
    <row r="558" spans="7:7" x14ac:dyDescent="0.25">
      <c r="G558" s="8"/>
    </row>
    <row r="559" spans="7:7" x14ac:dyDescent="0.25">
      <c r="G559" s="8"/>
    </row>
    <row r="560" spans="7:7" x14ac:dyDescent="0.25">
      <c r="G560" s="8"/>
    </row>
    <row r="561" spans="7:7" x14ac:dyDescent="0.25">
      <c r="G561" s="8"/>
    </row>
    <row r="562" spans="7:7" x14ac:dyDescent="0.25">
      <c r="G562" s="8"/>
    </row>
    <row r="563" spans="7:7" x14ac:dyDescent="0.25">
      <c r="G563" s="8"/>
    </row>
    <row r="564" spans="7:7" x14ac:dyDescent="0.25">
      <c r="G564" s="8"/>
    </row>
    <row r="565" spans="7:7" x14ac:dyDescent="0.25">
      <c r="G565" s="8"/>
    </row>
    <row r="566" spans="7:7" x14ac:dyDescent="0.25">
      <c r="G566" s="8"/>
    </row>
    <row r="567" spans="7:7" x14ac:dyDescent="0.25">
      <c r="G567" s="8"/>
    </row>
    <row r="568" spans="7:7" x14ac:dyDescent="0.25">
      <c r="G568" s="8"/>
    </row>
    <row r="569" spans="7:7" x14ac:dyDescent="0.25">
      <c r="G569" s="8"/>
    </row>
    <row r="570" spans="7:7" x14ac:dyDescent="0.25">
      <c r="G570" s="8"/>
    </row>
    <row r="571" spans="7:7" x14ac:dyDescent="0.25">
      <c r="G571" s="8"/>
    </row>
    <row r="572" spans="7:7" x14ac:dyDescent="0.25">
      <c r="G572" s="8"/>
    </row>
    <row r="573" spans="7:7" x14ac:dyDescent="0.25">
      <c r="G573" s="8"/>
    </row>
    <row r="574" spans="7:7" x14ac:dyDescent="0.25">
      <c r="G574" s="8"/>
    </row>
  </sheetData>
  <mergeCells count="1">
    <mergeCell ref="A1:H1"/>
  </mergeCells>
  <phoneticPr fontId="0" type="noConversion"/>
  <printOptions verticalCentered="1" gridLines="1"/>
  <pageMargins left="0.75" right="0.16" top="0.51" bottom="0.22" header="0.5" footer="0.17"/>
  <pageSetup scale="81" fitToHeight="23" orientation="landscape" r:id="rId1"/>
  <headerFooter alignWithMargins="0"/>
  <rowBreaks count="6" manualBreakCount="6">
    <brk id="42" max="9" man="1"/>
    <brk id="248" max="9" man="1"/>
    <brk id="298" max="9" man="1"/>
    <brk id="339" max="9" man="1"/>
    <brk id="388" max="9" man="1"/>
    <brk id="484" max="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J311"/>
  <sheetViews>
    <sheetView view="pageBreakPreview" zoomScale="115" zoomScaleNormal="100" zoomScaleSheetLayoutView="115" workbookViewId="0">
      <selection sqref="A1:J1"/>
    </sheetView>
  </sheetViews>
  <sheetFormatPr defaultColWidth="9.109375" defaultRowHeight="13.2" x14ac:dyDescent="0.25"/>
  <cols>
    <col min="1" max="1" width="60" style="63" bestFit="1" customWidth="1"/>
    <col min="2" max="2" width="10.21875" style="63" bestFit="1" customWidth="1"/>
    <col min="3" max="3" width="11.44140625" style="63" customWidth="1"/>
    <col min="4" max="4" width="11.33203125" style="63" bestFit="1" customWidth="1"/>
    <col min="5" max="5" width="13.6640625" style="63" customWidth="1"/>
    <col min="6" max="6" width="10.5546875" style="63" bestFit="1" customWidth="1"/>
    <col min="7" max="7" width="11.44140625" style="63" bestFit="1" customWidth="1"/>
    <col min="8" max="8" width="14" style="63" bestFit="1" customWidth="1"/>
    <col min="9" max="9" width="10.21875" style="63" bestFit="1" customWidth="1"/>
    <col min="10" max="10" width="9.5546875" style="63" customWidth="1"/>
    <col min="11" max="16384" width="9.109375" style="63"/>
  </cols>
  <sheetData>
    <row r="1" spans="1:10" x14ac:dyDescent="0.25">
      <c r="A1" s="217" t="s">
        <v>1972</v>
      </c>
      <c r="B1" s="218"/>
      <c r="C1" s="218"/>
      <c r="D1" s="218"/>
      <c r="E1" s="218"/>
      <c r="F1" s="218"/>
      <c r="G1" s="218"/>
      <c r="H1" s="218"/>
      <c r="I1" s="218"/>
      <c r="J1" s="218"/>
    </row>
    <row r="2" spans="1:10" ht="17.399999999999999" x14ac:dyDescent="0.3">
      <c r="A2" s="205" t="s">
        <v>2242</v>
      </c>
      <c r="B2" s="205"/>
      <c r="C2" s="205"/>
      <c r="D2" s="205"/>
      <c r="E2" s="205"/>
      <c r="F2" s="205"/>
      <c r="I2" s="3"/>
    </row>
    <row r="3" spans="1:10" x14ac:dyDescent="0.25">
      <c r="B3" s="3"/>
      <c r="C3" s="3"/>
      <c r="D3" s="3"/>
      <c r="E3" s="3"/>
      <c r="F3" s="3"/>
      <c r="I3" s="3"/>
    </row>
    <row r="4" spans="1:10" x14ac:dyDescent="0.25">
      <c r="B4" s="3"/>
      <c r="C4" s="3"/>
      <c r="D4" s="3"/>
      <c r="E4" s="9" t="s">
        <v>251</v>
      </c>
      <c r="F4" s="9" t="s">
        <v>252</v>
      </c>
      <c r="G4" s="9" t="s">
        <v>73</v>
      </c>
      <c r="H4" s="9" t="s">
        <v>430</v>
      </c>
      <c r="I4" s="2" t="s">
        <v>330</v>
      </c>
      <c r="J4" s="2" t="s">
        <v>364</v>
      </c>
    </row>
    <row r="5" spans="1:10" ht="15" x14ac:dyDescent="0.4">
      <c r="B5" s="3"/>
      <c r="C5" s="3"/>
      <c r="D5" s="3"/>
      <c r="E5" s="10" t="s">
        <v>1684</v>
      </c>
      <c r="F5" s="10" t="s">
        <v>1874</v>
      </c>
      <c r="G5" s="10" t="s">
        <v>1944</v>
      </c>
      <c r="H5" s="10" t="s">
        <v>1944</v>
      </c>
      <c r="I5" s="10" t="s">
        <v>1944</v>
      </c>
      <c r="J5" s="10" t="s">
        <v>1944</v>
      </c>
    </row>
    <row r="6" spans="1:10" ht="13.8" x14ac:dyDescent="0.3">
      <c r="A6" s="64" t="s">
        <v>957</v>
      </c>
      <c r="B6" s="3"/>
      <c r="C6" s="3"/>
      <c r="D6" s="3"/>
      <c r="E6" s="3">
        <v>143983</v>
      </c>
      <c r="F6" s="3">
        <v>156738</v>
      </c>
      <c r="G6" s="3">
        <v>156915</v>
      </c>
      <c r="H6" s="3">
        <v>156915</v>
      </c>
      <c r="I6" s="3">
        <v>156915</v>
      </c>
      <c r="J6" s="3">
        <v>157955</v>
      </c>
    </row>
    <row r="7" spans="1:10" x14ac:dyDescent="0.25">
      <c r="A7" s="63" t="s">
        <v>762</v>
      </c>
      <c r="B7" s="3">
        <v>52</v>
      </c>
      <c r="C7" s="3">
        <v>995</v>
      </c>
      <c r="D7" s="3">
        <f>ROUND(B7*C7,0)</f>
        <v>51740</v>
      </c>
      <c r="E7" s="3"/>
      <c r="F7" s="3"/>
      <c r="G7" s="3"/>
      <c r="H7" s="3"/>
      <c r="I7" s="3"/>
      <c r="J7" s="3"/>
    </row>
    <row r="8" spans="1:10" x14ac:dyDescent="0.25">
      <c r="A8" s="63" t="s">
        <v>460</v>
      </c>
      <c r="B8" s="3">
        <v>52</v>
      </c>
      <c r="C8" s="3">
        <v>708</v>
      </c>
      <c r="D8" s="3">
        <f>ROUND(B8*C8,0)</f>
        <v>36816</v>
      </c>
      <c r="E8" s="3"/>
      <c r="F8" s="3"/>
      <c r="G8" s="3"/>
      <c r="H8" s="3"/>
      <c r="I8" s="3"/>
      <c r="J8" s="3"/>
    </row>
    <row r="9" spans="1:10" x14ac:dyDescent="0.25">
      <c r="A9" s="63" t="s">
        <v>460</v>
      </c>
      <c r="B9" s="3">
        <v>52</v>
      </c>
      <c r="C9" s="3">
        <v>708</v>
      </c>
      <c r="D9" s="3">
        <f>ROUND(B9*C9,0)</f>
        <v>36816</v>
      </c>
      <c r="E9" s="3"/>
      <c r="F9" s="3"/>
      <c r="G9" s="3"/>
      <c r="H9" s="3"/>
      <c r="I9" s="3"/>
      <c r="J9" s="3"/>
    </row>
    <row r="10" spans="1:10" x14ac:dyDescent="0.25">
      <c r="A10" s="63" t="s">
        <v>342</v>
      </c>
      <c r="B10" s="3">
        <v>52</v>
      </c>
      <c r="C10" s="3">
        <v>612</v>
      </c>
      <c r="D10" s="3">
        <f>ROUND(B10*C10,0)</f>
        <v>31824</v>
      </c>
      <c r="E10" s="3"/>
      <c r="F10" s="3"/>
      <c r="G10" s="3"/>
      <c r="H10" s="3"/>
      <c r="I10" s="3"/>
      <c r="J10" s="3"/>
    </row>
    <row r="11" spans="1:10" ht="15" x14ac:dyDescent="0.4">
      <c r="A11" s="63" t="s">
        <v>995</v>
      </c>
      <c r="B11" s="3"/>
      <c r="C11" s="3"/>
      <c r="D11" s="33">
        <v>759</v>
      </c>
      <c r="E11" s="3"/>
      <c r="F11" s="3"/>
      <c r="G11" s="3"/>
      <c r="H11" s="3"/>
      <c r="I11" s="3"/>
      <c r="J11" s="3"/>
    </row>
    <row r="12" spans="1:10" x14ac:dyDescent="0.25">
      <c r="A12" s="63" t="s">
        <v>1279</v>
      </c>
      <c r="B12" s="3"/>
      <c r="C12" s="3"/>
      <c r="D12" s="3">
        <f>SUM(D7:D11)</f>
        <v>157955</v>
      </c>
      <c r="F12" s="3"/>
      <c r="G12" s="3"/>
      <c r="H12" s="3"/>
      <c r="I12" s="3"/>
      <c r="J12" s="3"/>
    </row>
    <row r="13" spans="1:10" x14ac:dyDescent="0.25">
      <c r="B13" s="3"/>
      <c r="C13" s="3"/>
      <c r="D13" s="3"/>
      <c r="E13" s="3"/>
      <c r="F13" s="3"/>
      <c r="G13" s="3"/>
      <c r="H13" s="3"/>
      <c r="I13" s="3"/>
      <c r="J13" s="3"/>
    </row>
    <row r="14" spans="1:10" ht="13.8" x14ac:dyDescent="0.3">
      <c r="A14" s="64" t="s">
        <v>604</v>
      </c>
      <c r="B14" s="3"/>
      <c r="C14" s="3"/>
      <c r="D14" s="3"/>
      <c r="E14" s="3">
        <v>718354</v>
      </c>
      <c r="F14" s="3">
        <v>795309</v>
      </c>
      <c r="G14" s="3">
        <v>795588</v>
      </c>
      <c r="H14" s="3">
        <v>795588</v>
      </c>
      <c r="I14" s="3">
        <v>795588</v>
      </c>
      <c r="J14" s="3">
        <v>799124</v>
      </c>
    </row>
    <row r="15" spans="1:10" x14ac:dyDescent="0.25">
      <c r="A15" s="63" t="s">
        <v>368</v>
      </c>
      <c r="B15" s="3">
        <v>52</v>
      </c>
      <c r="C15" s="3">
        <v>2029</v>
      </c>
      <c r="D15" s="3">
        <f t="shared" ref="D15:D23" si="0">ROUND(B15*C15,0)</f>
        <v>105508</v>
      </c>
      <c r="E15" s="3"/>
      <c r="F15" s="3"/>
      <c r="G15" s="3"/>
      <c r="H15" s="3"/>
      <c r="I15" s="3"/>
      <c r="J15" s="3"/>
    </row>
    <row r="16" spans="1:10" x14ac:dyDescent="0.25">
      <c r="A16" s="63" t="s">
        <v>1492</v>
      </c>
      <c r="B16" s="3">
        <v>52</v>
      </c>
      <c r="C16" s="3">
        <v>1442</v>
      </c>
      <c r="D16" s="3">
        <f t="shared" si="0"/>
        <v>74984</v>
      </c>
      <c r="E16" s="3"/>
      <c r="F16" s="3"/>
      <c r="G16" s="3"/>
      <c r="H16" s="3"/>
      <c r="I16" s="3"/>
      <c r="J16" s="3"/>
    </row>
    <row r="17" spans="1:10" x14ac:dyDescent="0.25">
      <c r="A17" s="63" t="s">
        <v>471</v>
      </c>
      <c r="B17" s="3">
        <v>52</v>
      </c>
      <c r="C17" s="3">
        <v>1743</v>
      </c>
      <c r="D17" s="3">
        <f t="shared" si="0"/>
        <v>90636</v>
      </c>
      <c r="E17" s="3"/>
      <c r="F17" s="3"/>
      <c r="G17" s="3"/>
      <c r="H17" s="3"/>
      <c r="I17" s="3"/>
      <c r="J17" s="3"/>
    </row>
    <row r="18" spans="1:10" x14ac:dyDescent="0.25">
      <c r="A18" s="63" t="s">
        <v>471</v>
      </c>
      <c r="B18" s="3">
        <v>52</v>
      </c>
      <c r="C18" s="3">
        <v>1757</v>
      </c>
      <c r="D18" s="3">
        <f t="shared" si="0"/>
        <v>91364</v>
      </c>
      <c r="E18" s="3"/>
      <c r="F18" s="3"/>
      <c r="G18" s="3"/>
      <c r="H18" s="3"/>
      <c r="I18" s="3"/>
      <c r="J18" s="3"/>
    </row>
    <row r="19" spans="1:10" x14ac:dyDescent="0.25">
      <c r="A19" s="63" t="s">
        <v>1404</v>
      </c>
      <c r="B19" s="3">
        <v>52</v>
      </c>
      <c r="C19" s="3">
        <v>1547</v>
      </c>
      <c r="D19" s="3">
        <f t="shared" si="0"/>
        <v>80444</v>
      </c>
      <c r="E19" s="3"/>
      <c r="F19" s="3"/>
      <c r="G19" s="3"/>
      <c r="H19" s="3"/>
      <c r="I19" s="3"/>
      <c r="J19" s="3"/>
    </row>
    <row r="20" spans="1:10" x14ac:dyDescent="0.25">
      <c r="A20" s="63" t="s">
        <v>107</v>
      </c>
      <c r="B20" s="3">
        <v>52</v>
      </c>
      <c r="C20" s="3">
        <v>1547</v>
      </c>
      <c r="D20" s="3">
        <f t="shared" si="0"/>
        <v>80444</v>
      </c>
      <c r="E20" s="3"/>
      <c r="F20" s="3"/>
      <c r="G20" s="3"/>
      <c r="H20" s="3"/>
      <c r="I20" s="3"/>
      <c r="J20" s="3"/>
    </row>
    <row r="21" spans="1:10" x14ac:dyDescent="0.25">
      <c r="A21" s="63" t="s">
        <v>1405</v>
      </c>
      <c r="B21" s="3">
        <v>52</v>
      </c>
      <c r="C21" s="3">
        <v>1547</v>
      </c>
      <c r="D21" s="3">
        <f t="shared" si="0"/>
        <v>80444</v>
      </c>
      <c r="E21" s="3"/>
      <c r="F21" s="3"/>
      <c r="G21" s="3"/>
      <c r="H21" s="3"/>
      <c r="I21" s="3"/>
      <c r="J21" s="3"/>
    </row>
    <row r="22" spans="1:10" x14ac:dyDescent="0.25">
      <c r="A22" s="63" t="s">
        <v>1405</v>
      </c>
      <c r="B22" s="3">
        <v>52</v>
      </c>
      <c r="C22" s="3">
        <v>1547</v>
      </c>
      <c r="D22" s="3">
        <f t="shared" si="0"/>
        <v>80444</v>
      </c>
      <c r="E22" s="3"/>
      <c r="F22" s="3"/>
      <c r="G22" s="3"/>
      <c r="H22" s="3"/>
      <c r="I22" s="3"/>
      <c r="J22" s="3"/>
    </row>
    <row r="23" spans="1:10" x14ac:dyDescent="0.25">
      <c r="A23" s="3" t="s">
        <v>1405</v>
      </c>
      <c r="B23" s="3">
        <v>52</v>
      </c>
      <c r="C23" s="3">
        <v>1547</v>
      </c>
      <c r="D23" s="3">
        <f t="shared" si="0"/>
        <v>80444</v>
      </c>
      <c r="E23" s="3"/>
      <c r="F23" s="3"/>
      <c r="G23" s="3"/>
      <c r="H23" s="3"/>
      <c r="I23" s="3"/>
      <c r="J23" s="3"/>
    </row>
    <row r="24" spans="1:10" x14ac:dyDescent="0.25">
      <c r="A24" s="3" t="s">
        <v>473</v>
      </c>
      <c r="B24" s="3"/>
      <c r="C24" s="3"/>
      <c r="D24" s="3"/>
      <c r="E24" s="3"/>
      <c r="F24" s="3"/>
      <c r="G24" s="3"/>
      <c r="H24" s="3"/>
      <c r="I24" s="3"/>
      <c r="J24" s="3"/>
    </row>
    <row r="25" spans="1:10" x14ac:dyDescent="0.25">
      <c r="A25" s="3" t="s">
        <v>474</v>
      </c>
      <c r="B25" s="3">
        <v>1</v>
      </c>
      <c r="C25" s="3">
        <v>750</v>
      </c>
      <c r="D25" s="3">
        <f>ROUND(B25*C25,0)</f>
        <v>750</v>
      </c>
      <c r="E25" s="3"/>
      <c r="F25" s="3"/>
      <c r="G25" s="3"/>
      <c r="H25" s="3"/>
      <c r="I25" s="3"/>
      <c r="J25" s="3"/>
    </row>
    <row r="26" spans="1:10" x14ac:dyDescent="0.25">
      <c r="A26" s="3" t="s">
        <v>475</v>
      </c>
      <c r="B26" s="3">
        <v>3</v>
      </c>
      <c r="C26" s="3">
        <v>1000</v>
      </c>
      <c r="D26" s="3">
        <f>ROUND(B26*C26,0)</f>
        <v>3000</v>
      </c>
      <c r="E26" s="3"/>
      <c r="F26" s="3"/>
      <c r="G26" s="3"/>
      <c r="H26" s="3"/>
      <c r="I26" s="3"/>
      <c r="J26" s="3"/>
    </row>
    <row r="27" spans="1:10" x14ac:dyDescent="0.25">
      <c r="A27" s="3" t="s">
        <v>1406</v>
      </c>
      <c r="B27" s="3">
        <v>2</v>
      </c>
      <c r="C27" s="3">
        <v>1280</v>
      </c>
      <c r="D27" s="3">
        <f>ROUND(B27*C27,0)</f>
        <v>2560</v>
      </c>
      <c r="E27" s="3"/>
      <c r="F27" s="3"/>
      <c r="G27" s="3"/>
      <c r="H27" s="3"/>
      <c r="I27" s="3"/>
      <c r="J27" s="3"/>
    </row>
    <row r="28" spans="1:10" x14ac:dyDescent="0.25">
      <c r="A28" s="3" t="s">
        <v>1407</v>
      </c>
      <c r="B28" s="3">
        <v>7</v>
      </c>
      <c r="C28" s="3">
        <v>925</v>
      </c>
      <c r="D28" s="3">
        <f>ROUND(B28*C28,0)</f>
        <v>6475</v>
      </c>
      <c r="E28" s="3"/>
      <c r="F28" s="3"/>
      <c r="G28" s="3"/>
      <c r="H28" s="3"/>
      <c r="I28" s="3"/>
      <c r="J28" s="3"/>
    </row>
    <row r="29" spans="1:10" x14ac:dyDescent="0.25">
      <c r="A29" s="3" t="s">
        <v>548</v>
      </c>
      <c r="B29" s="3"/>
      <c r="C29" s="3"/>
      <c r="D29" s="3"/>
      <c r="E29" s="3"/>
      <c r="F29" s="3"/>
      <c r="G29" s="3"/>
      <c r="H29" s="3"/>
      <c r="I29" s="3"/>
      <c r="J29" s="3"/>
    </row>
    <row r="30" spans="1:10" x14ac:dyDescent="0.25">
      <c r="A30" s="3" t="s">
        <v>550</v>
      </c>
      <c r="B30" s="3">
        <v>2</v>
      </c>
      <c r="C30" s="3">
        <v>1400</v>
      </c>
      <c r="D30" s="3">
        <f>ROUND(B30*C30,0)</f>
        <v>2800</v>
      </c>
      <c r="E30" s="3"/>
      <c r="F30" s="3"/>
      <c r="G30" s="3"/>
      <c r="H30" s="3"/>
      <c r="I30" s="3"/>
      <c r="J30" s="3"/>
    </row>
    <row r="31" spans="1:10" x14ac:dyDescent="0.25">
      <c r="A31" s="3" t="s">
        <v>551</v>
      </c>
      <c r="B31" s="3">
        <v>2</v>
      </c>
      <c r="C31" s="3">
        <v>1700</v>
      </c>
      <c r="D31" s="3">
        <f>ROUND(B31*C31,0)</f>
        <v>3400</v>
      </c>
      <c r="E31" s="3"/>
      <c r="F31" s="3"/>
      <c r="G31" s="3"/>
      <c r="H31" s="3"/>
      <c r="I31" s="3"/>
      <c r="J31" s="3"/>
    </row>
    <row r="32" spans="1:10" x14ac:dyDescent="0.25">
      <c r="A32" s="3" t="s">
        <v>1340</v>
      </c>
      <c r="B32" s="3">
        <v>3</v>
      </c>
      <c r="C32" s="3">
        <v>2000</v>
      </c>
      <c r="D32" s="3">
        <f>ROUND(B32*C32,0)</f>
        <v>6000</v>
      </c>
      <c r="E32" s="3"/>
      <c r="F32" s="3"/>
      <c r="G32" s="3"/>
      <c r="H32" s="3"/>
      <c r="I32" s="3"/>
      <c r="J32" s="3"/>
    </row>
    <row r="33" spans="1:10" ht="15" x14ac:dyDescent="0.4">
      <c r="A33" s="3" t="s">
        <v>995</v>
      </c>
      <c r="B33" s="3"/>
      <c r="C33" s="3"/>
      <c r="D33" s="33">
        <v>9427</v>
      </c>
      <c r="E33" s="3"/>
      <c r="F33" s="3"/>
      <c r="G33" s="3"/>
      <c r="H33" s="3"/>
      <c r="I33" s="3"/>
      <c r="J33" s="3"/>
    </row>
    <row r="34" spans="1:10" x14ac:dyDescent="0.25">
      <c r="A34" s="3" t="s">
        <v>1279</v>
      </c>
      <c r="B34" s="3"/>
      <c r="C34" s="3"/>
      <c r="D34" s="3">
        <f>SUM(D15:D33)</f>
        <v>799124</v>
      </c>
      <c r="F34" s="3"/>
      <c r="G34" s="3"/>
      <c r="H34" s="3"/>
      <c r="I34" s="3"/>
      <c r="J34" s="3"/>
    </row>
    <row r="35" spans="1:10" x14ac:dyDescent="0.25">
      <c r="A35" s="3"/>
      <c r="B35" s="3"/>
      <c r="C35" s="3"/>
      <c r="D35" s="3"/>
      <c r="E35" s="3"/>
      <c r="F35" s="3"/>
      <c r="G35" s="3"/>
      <c r="H35" s="3"/>
      <c r="I35" s="3"/>
      <c r="J35" s="3"/>
    </row>
    <row r="36" spans="1:10" ht="13.8" x14ac:dyDescent="0.3">
      <c r="A36" s="64" t="s">
        <v>857</v>
      </c>
      <c r="B36" s="3"/>
      <c r="C36" s="3"/>
      <c r="D36" s="3"/>
      <c r="E36" s="3">
        <v>1840202</v>
      </c>
      <c r="F36" s="3">
        <v>2131702</v>
      </c>
      <c r="G36" s="3">
        <v>2077033</v>
      </c>
      <c r="H36" s="3">
        <v>2077033</v>
      </c>
      <c r="I36" s="3">
        <v>2048994</v>
      </c>
      <c r="J36" s="3">
        <v>2187239</v>
      </c>
    </row>
    <row r="37" spans="1:10" x14ac:dyDescent="0.25">
      <c r="A37" t="s">
        <v>94</v>
      </c>
      <c r="B37" s="3">
        <v>52</v>
      </c>
      <c r="C37" s="3">
        <v>1346</v>
      </c>
      <c r="D37" s="3">
        <f t="shared" ref="D37:D69" si="1">ROUND(B37*C37,0)</f>
        <v>69992</v>
      </c>
      <c r="E37" s="3"/>
      <c r="F37" s="138"/>
      <c r="G37" s="138"/>
      <c r="H37" s="138"/>
      <c r="I37" s="138"/>
      <c r="J37" s="138"/>
    </row>
    <row r="38" spans="1:10" x14ac:dyDescent="0.25">
      <c r="A38" t="s">
        <v>859</v>
      </c>
      <c r="B38" s="3">
        <v>52</v>
      </c>
      <c r="C38" s="3">
        <v>1337</v>
      </c>
      <c r="D38" s="3">
        <f t="shared" si="1"/>
        <v>69524</v>
      </c>
      <c r="E38" s="3"/>
      <c r="F38" s="138"/>
      <c r="G38" s="138"/>
      <c r="H38" s="138"/>
      <c r="I38" s="138"/>
      <c r="J38" s="138"/>
    </row>
    <row r="39" spans="1:10" x14ac:dyDescent="0.25">
      <c r="A39" t="s">
        <v>859</v>
      </c>
      <c r="B39" s="3">
        <v>52</v>
      </c>
      <c r="C39" s="3">
        <v>1338</v>
      </c>
      <c r="D39" s="3">
        <f t="shared" si="1"/>
        <v>69576</v>
      </c>
      <c r="E39" s="3"/>
      <c r="F39" s="138"/>
      <c r="G39" s="138"/>
      <c r="H39" s="138"/>
      <c r="I39" s="138"/>
      <c r="J39" s="138"/>
    </row>
    <row r="40" spans="1:10" x14ac:dyDescent="0.25">
      <c r="A40" t="s">
        <v>859</v>
      </c>
      <c r="B40" s="3">
        <v>52</v>
      </c>
      <c r="C40" s="3">
        <v>1338</v>
      </c>
      <c r="D40" s="3">
        <f t="shared" si="1"/>
        <v>69576</v>
      </c>
      <c r="E40" s="3"/>
      <c r="F40" s="138"/>
      <c r="G40" s="138"/>
      <c r="H40" s="138"/>
      <c r="I40" s="138"/>
      <c r="J40" s="138"/>
    </row>
    <row r="41" spans="1:10" x14ac:dyDescent="0.25">
      <c r="A41" t="s">
        <v>859</v>
      </c>
      <c r="B41" s="3">
        <v>52</v>
      </c>
      <c r="C41" s="3">
        <v>1350</v>
      </c>
      <c r="D41" s="3">
        <f t="shared" si="1"/>
        <v>70200</v>
      </c>
      <c r="E41" s="3"/>
      <c r="F41" s="138"/>
      <c r="G41" s="138"/>
      <c r="H41" s="138"/>
      <c r="I41" s="138"/>
      <c r="J41" s="138"/>
    </row>
    <row r="42" spans="1:10" x14ac:dyDescent="0.25">
      <c r="A42" t="s">
        <v>95</v>
      </c>
      <c r="B42" s="3">
        <v>52</v>
      </c>
      <c r="C42" s="3">
        <v>1252</v>
      </c>
      <c r="D42" s="3">
        <f t="shared" si="1"/>
        <v>65104</v>
      </c>
      <c r="E42" s="3"/>
      <c r="F42" s="138"/>
      <c r="G42" s="138"/>
      <c r="H42" s="138"/>
      <c r="I42" s="138"/>
      <c r="J42" s="138"/>
    </row>
    <row r="43" spans="1:10" x14ac:dyDescent="0.25">
      <c r="A43" t="s">
        <v>95</v>
      </c>
      <c r="B43" s="3">
        <v>52</v>
      </c>
      <c r="C43" s="3">
        <v>1252</v>
      </c>
      <c r="D43" s="3">
        <f t="shared" si="1"/>
        <v>65104</v>
      </c>
      <c r="E43" s="3"/>
      <c r="F43" s="138"/>
      <c r="G43" s="138"/>
      <c r="H43" s="138"/>
      <c r="I43" s="138"/>
      <c r="J43" s="138"/>
    </row>
    <row r="44" spans="1:10" x14ac:dyDescent="0.25">
      <c r="A44" t="s">
        <v>95</v>
      </c>
      <c r="B44" s="3">
        <v>52</v>
      </c>
      <c r="C44" s="3">
        <v>1252</v>
      </c>
      <c r="D44" s="3">
        <f t="shared" si="1"/>
        <v>65104</v>
      </c>
      <c r="E44" s="3"/>
      <c r="F44" s="138"/>
      <c r="G44" s="138"/>
      <c r="H44" s="138"/>
      <c r="I44" s="138"/>
      <c r="J44" s="138"/>
    </row>
    <row r="45" spans="1:10" x14ac:dyDescent="0.25">
      <c r="A45" t="s">
        <v>95</v>
      </c>
      <c r="B45" s="3">
        <v>52</v>
      </c>
      <c r="C45" s="3">
        <v>1252</v>
      </c>
      <c r="D45" s="3">
        <f t="shared" si="1"/>
        <v>65104</v>
      </c>
      <c r="E45" s="3"/>
      <c r="F45" s="138"/>
      <c r="G45" s="138"/>
      <c r="H45" s="138"/>
      <c r="I45" s="138"/>
      <c r="J45" s="138"/>
    </row>
    <row r="46" spans="1:10" x14ac:dyDescent="0.25">
      <c r="A46" t="s">
        <v>95</v>
      </c>
      <c r="B46" s="3">
        <v>52</v>
      </c>
      <c r="C46" s="3">
        <v>1252</v>
      </c>
      <c r="D46" s="3">
        <f t="shared" si="1"/>
        <v>65104</v>
      </c>
      <c r="E46" s="3"/>
      <c r="F46" s="138"/>
      <c r="G46" s="138"/>
      <c r="H46" s="138"/>
      <c r="I46" s="138"/>
      <c r="J46" s="138"/>
    </row>
    <row r="47" spans="1:10" x14ac:dyDescent="0.25">
      <c r="A47" t="s">
        <v>95</v>
      </c>
      <c r="B47" s="3">
        <v>52</v>
      </c>
      <c r="C47" s="3">
        <v>1255</v>
      </c>
      <c r="D47" s="3">
        <f t="shared" si="1"/>
        <v>65260</v>
      </c>
      <c r="E47" s="3"/>
      <c r="F47" s="138"/>
      <c r="G47" s="138"/>
      <c r="H47" s="138"/>
      <c r="I47" s="138"/>
      <c r="J47" s="138"/>
    </row>
    <row r="48" spans="1:10" x14ac:dyDescent="0.25">
      <c r="A48" t="s">
        <v>95</v>
      </c>
      <c r="B48" s="3">
        <v>52</v>
      </c>
      <c r="C48" s="3">
        <v>1257</v>
      </c>
      <c r="D48" s="3">
        <f t="shared" si="1"/>
        <v>65364</v>
      </c>
      <c r="E48" s="3"/>
      <c r="F48" s="138"/>
      <c r="G48" s="138"/>
      <c r="H48" s="138"/>
      <c r="I48" s="138"/>
      <c r="J48" s="138"/>
    </row>
    <row r="49" spans="1:10" x14ac:dyDescent="0.25">
      <c r="A49" t="s">
        <v>95</v>
      </c>
      <c r="B49" s="3">
        <v>52</v>
      </c>
      <c r="C49" s="3">
        <v>1257</v>
      </c>
      <c r="D49" s="3">
        <f t="shared" si="1"/>
        <v>65364</v>
      </c>
      <c r="E49" s="3"/>
      <c r="F49" s="138"/>
      <c r="G49" s="138"/>
      <c r="H49" s="138"/>
      <c r="I49" s="138"/>
      <c r="J49" s="138"/>
    </row>
    <row r="50" spans="1:10" x14ac:dyDescent="0.25">
      <c r="A50" t="s">
        <v>95</v>
      </c>
      <c r="B50" s="3">
        <v>52</v>
      </c>
      <c r="C50" s="3">
        <v>1261</v>
      </c>
      <c r="D50" s="3">
        <f t="shared" si="1"/>
        <v>65572</v>
      </c>
      <c r="E50" s="3"/>
      <c r="F50" s="138"/>
      <c r="G50" s="138"/>
      <c r="H50" s="138"/>
      <c r="I50" s="138"/>
      <c r="J50" s="138"/>
    </row>
    <row r="51" spans="1:10" x14ac:dyDescent="0.25">
      <c r="A51" t="s">
        <v>95</v>
      </c>
      <c r="B51" s="3">
        <v>52</v>
      </c>
      <c r="C51" s="3">
        <v>1269</v>
      </c>
      <c r="D51" s="3">
        <f t="shared" si="1"/>
        <v>65988</v>
      </c>
      <c r="E51" s="3"/>
      <c r="F51" s="138"/>
      <c r="G51" s="138"/>
      <c r="H51" s="138"/>
      <c r="I51" s="138"/>
      <c r="J51" s="138"/>
    </row>
    <row r="52" spans="1:10" x14ac:dyDescent="0.25">
      <c r="A52" t="s">
        <v>858</v>
      </c>
      <c r="B52" s="3">
        <v>52</v>
      </c>
      <c r="C52" s="3">
        <v>1382</v>
      </c>
      <c r="D52" s="3">
        <f t="shared" si="1"/>
        <v>71864</v>
      </c>
      <c r="E52" s="3"/>
      <c r="F52" s="138"/>
      <c r="G52" s="138"/>
      <c r="H52" s="138"/>
      <c r="I52" s="138"/>
      <c r="J52" s="138"/>
    </row>
    <row r="53" spans="1:10" x14ac:dyDescent="0.25">
      <c r="A53" t="s">
        <v>858</v>
      </c>
      <c r="B53" s="3">
        <v>52</v>
      </c>
      <c r="C53" s="3">
        <v>1445</v>
      </c>
      <c r="D53" s="3">
        <f t="shared" si="1"/>
        <v>75140</v>
      </c>
      <c r="E53" s="3"/>
      <c r="F53" s="138"/>
      <c r="G53" s="138"/>
      <c r="H53" s="138"/>
      <c r="I53" s="138"/>
      <c r="J53" s="138"/>
    </row>
    <row r="54" spans="1:10" x14ac:dyDescent="0.25">
      <c r="A54" t="s">
        <v>858</v>
      </c>
      <c r="B54" s="3">
        <v>52</v>
      </c>
      <c r="C54" s="3">
        <v>1445</v>
      </c>
      <c r="D54" s="3">
        <f t="shared" si="1"/>
        <v>75140</v>
      </c>
      <c r="E54" s="3"/>
      <c r="F54" s="138"/>
      <c r="G54" s="138"/>
      <c r="H54" s="138"/>
      <c r="I54" s="138"/>
      <c r="J54" s="138"/>
    </row>
    <row r="55" spans="1:10" x14ac:dyDescent="0.25">
      <c r="A55" t="s">
        <v>858</v>
      </c>
      <c r="B55" s="3">
        <v>52</v>
      </c>
      <c r="C55" s="3">
        <v>1445</v>
      </c>
      <c r="D55" s="3">
        <f t="shared" si="1"/>
        <v>75140</v>
      </c>
      <c r="E55" s="3"/>
      <c r="F55" s="138"/>
      <c r="G55" s="138"/>
      <c r="H55" s="138"/>
      <c r="I55" s="138"/>
      <c r="J55" s="138"/>
    </row>
    <row r="56" spans="1:10" x14ac:dyDescent="0.25">
      <c r="A56" t="s">
        <v>858</v>
      </c>
      <c r="B56" s="3">
        <v>52</v>
      </c>
      <c r="C56" s="3">
        <v>1445</v>
      </c>
      <c r="D56" s="3">
        <f t="shared" si="1"/>
        <v>75140</v>
      </c>
      <c r="E56" s="3"/>
      <c r="F56" s="138"/>
      <c r="G56" s="138"/>
      <c r="H56" s="138"/>
      <c r="I56" s="138"/>
      <c r="J56" s="138"/>
    </row>
    <row r="57" spans="1:10" x14ac:dyDescent="0.25">
      <c r="A57" t="s">
        <v>507</v>
      </c>
      <c r="B57" s="3">
        <v>52</v>
      </c>
      <c r="C57" s="3">
        <v>1020</v>
      </c>
      <c r="D57" s="3">
        <f t="shared" si="1"/>
        <v>53040</v>
      </c>
      <c r="E57" s="3"/>
      <c r="F57" s="138"/>
      <c r="G57" s="138"/>
      <c r="H57" s="138"/>
      <c r="I57" s="138"/>
      <c r="J57" s="138"/>
    </row>
    <row r="58" spans="1:10" x14ac:dyDescent="0.25">
      <c r="A58" t="s">
        <v>507</v>
      </c>
      <c r="B58" s="3">
        <v>52</v>
      </c>
      <c r="C58" s="3">
        <v>1079</v>
      </c>
      <c r="D58" s="3">
        <f t="shared" si="1"/>
        <v>56108</v>
      </c>
      <c r="E58" s="3"/>
      <c r="F58" s="138"/>
      <c r="G58" s="138"/>
      <c r="H58" s="138"/>
      <c r="I58" s="138"/>
      <c r="J58" s="138"/>
    </row>
    <row r="59" spans="1:10" x14ac:dyDescent="0.25">
      <c r="A59" t="s">
        <v>507</v>
      </c>
      <c r="B59" s="3">
        <v>52</v>
      </c>
      <c r="C59" s="3">
        <v>1085</v>
      </c>
      <c r="D59" s="3">
        <f t="shared" si="1"/>
        <v>56420</v>
      </c>
      <c r="E59" s="3"/>
      <c r="F59" s="138"/>
      <c r="G59" s="138"/>
      <c r="H59" s="138"/>
      <c r="I59" s="138"/>
      <c r="J59" s="138"/>
    </row>
    <row r="60" spans="1:10" x14ac:dyDescent="0.25">
      <c r="A60" t="s">
        <v>507</v>
      </c>
      <c r="B60" s="3">
        <v>52</v>
      </c>
      <c r="C60" s="3">
        <v>1085</v>
      </c>
      <c r="D60" s="3">
        <f t="shared" si="1"/>
        <v>56420</v>
      </c>
      <c r="E60" s="3"/>
      <c r="F60" s="138"/>
      <c r="G60" s="138"/>
      <c r="H60" s="138"/>
      <c r="I60" s="138"/>
      <c r="J60" s="138"/>
    </row>
    <row r="61" spans="1:10" x14ac:dyDescent="0.25">
      <c r="A61" t="s">
        <v>507</v>
      </c>
      <c r="B61" s="3">
        <v>52</v>
      </c>
      <c r="C61" s="3">
        <v>1020</v>
      </c>
      <c r="D61" s="3">
        <f t="shared" si="1"/>
        <v>53040</v>
      </c>
      <c r="E61" s="3"/>
      <c r="F61" s="138"/>
      <c r="G61" s="138"/>
      <c r="H61" s="138"/>
      <c r="I61" s="138"/>
      <c r="J61" s="138"/>
    </row>
    <row r="62" spans="1:10" x14ac:dyDescent="0.25">
      <c r="A62" t="s">
        <v>507</v>
      </c>
      <c r="B62" s="3">
        <v>52</v>
      </c>
      <c r="C62" s="3">
        <v>1140</v>
      </c>
      <c r="D62" s="3">
        <f t="shared" si="1"/>
        <v>59280</v>
      </c>
      <c r="E62" s="3"/>
      <c r="F62" s="138"/>
      <c r="G62" s="138"/>
      <c r="H62" s="138"/>
      <c r="I62" s="138"/>
      <c r="J62" s="138"/>
    </row>
    <row r="63" spans="1:10" x14ac:dyDescent="0.25">
      <c r="A63" t="s">
        <v>507</v>
      </c>
      <c r="B63" s="3">
        <v>52</v>
      </c>
      <c r="C63" s="3">
        <v>1147</v>
      </c>
      <c r="D63" s="3">
        <f t="shared" si="1"/>
        <v>59644</v>
      </c>
      <c r="E63" s="3"/>
      <c r="F63" s="138"/>
      <c r="G63" s="138"/>
      <c r="H63" s="138"/>
      <c r="I63" s="138"/>
      <c r="J63" s="138"/>
    </row>
    <row r="64" spans="1:10" x14ac:dyDescent="0.25">
      <c r="A64" t="s">
        <v>507</v>
      </c>
      <c r="B64" s="3">
        <v>52</v>
      </c>
      <c r="C64" s="3">
        <v>1149</v>
      </c>
      <c r="D64" s="3">
        <f t="shared" si="1"/>
        <v>59748</v>
      </c>
      <c r="E64" s="3"/>
      <c r="F64" s="138"/>
      <c r="G64" s="138"/>
      <c r="H64" s="138"/>
      <c r="I64" s="138"/>
      <c r="J64" s="138"/>
    </row>
    <row r="65" spans="1:10" x14ac:dyDescent="0.25">
      <c r="A65" t="s">
        <v>507</v>
      </c>
      <c r="B65" s="3">
        <v>52</v>
      </c>
      <c r="C65" s="3">
        <v>1179</v>
      </c>
      <c r="D65" s="3">
        <f t="shared" si="1"/>
        <v>61308</v>
      </c>
      <c r="E65" s="3"/>
      <c r="F65" s="138"/>
      <c r="G65" s="138"/>
      <c r="H65" s="138"/>
      <c r="I65" s="138"/>
      <c r="J65" s="138"/>
    </row>
    <row r="66" spans="1:10" x14ac:dyDescent="0.25">
      <c r="A66" t="s">
        <v>507</v>
      </c>
      <c r="B66" s="3">
        <v>52</v>
      </c>
      <c r="C66" s="3">
        <v>1017</v>
      </c>
      <c r="D66" s="3">
        <f t="shared" si="1"/>
        <v>52884</v>
      </c>
      <c r="E66" s="3"/>
      <c r="F66" s="138"/>
      <c r="G66" s="138"/>
      <c r="H66" s="138"/>
      <c r="I66" s="138"/>
      <c r="J66" s="138"/>
    </row>
    <row r="67" spans="1:10" x14ac:dyDescent="0.25">
      <c r="A67" t="s">
        <v>96</v>
      </c>
      <c r="B67" s="3">
        <v>52</v>
      </c>
      <c r="C67" s="3">
        <v>1346</v>
      </c>
      <c r="D67" s="3">
        <f t="shared" si="1"/>
        <v>69992</v>
      </c>
      <c r="E67" s="3"/>
      <c r="F67" s="138"/>
      <c r="G67" s="138"/>
      <c r="H67" s="138"/>
      <c r="I67" s="138"/>
      <c r="J67" s="138"/>
    </row>
    <row r="68" spans="1:10" x14ac:dyDescent="0.25">
      <c r="A68" t="s">
        <v>96</v>
      </c>
      <c r="B68" s="3">
        <v>52</v>
      </c>
      <c r="C68" s="3">
        <v>1350</v>
      </c>
      <c r="D68" s="3">
        <f t="shared" si="1"/>
        <v>70200</v>
      </c>
      <c r="E68" s="3"/>
      <c r="F68" s="138"/>
      <c r="G68" s="138"/>
      <c r="H68" s="138"/>
      <c r="I68" s="138"/>
      <c r="J68" s="138"/>
    </row>
    <row r="69" spans="1:10" x14ac:dyDescent="0.25">
      <c r="A69" s="3" t="s">
        <v>1089</v>
      </c>
      <c r="B69" s="3">
        <v>2160</v>
      </c>
      <c r="C69" s="66">
        <f>SUM(C37:C68)/40/32</f>
        <v>31.286718749999999</v>
      </c>
      <c r="D69" s="3">
        <f t="shared" si="1"/>
        <v>67579</v>
      </c>
      <c r="E69" s="3"/>
      <c r="F69" s="3"/>
      <c r="G69" s="3"/>
      <c r="H69" s="3"/>
      <c r="I69" s="3"/>
      <c r="J69" s="3"/>
    </row>
    <row r="70" spans="1:10" x14ac:dyDescent="0.25">
      <c r="A70" s="3" t="s">
        <v>1270</v>
      </c>
      <c r="B70" s="3"/>
      <c r="C70" s="3"/>
      <c r="D70" s="3"/>
      <c r="E70" s="3"/>
      <c r="F70" s="3"/>
      <c r="G70" s="3"/>
      <c r="H70" s="3"/>
      <c r="I70" s="3"/>
      <c r="J70" s="3"/>
    </row>
    <row r="71" spans="1:10" x14ac:dyDescent="0.25">
      <c r="A71" s="3" t="s">
        <v>475</v>
      </c>
      <c r="B71" s="3">
        <v>11</v>
      </c>
      <c r="C71" s="3">
        <v>1000</v>
      </c>
      <c r="D71" s="3">
        <f t="shared" ref="D71:D76" si="2">ROUND(B71*C71,0)</f>
        <v>11000</v>
      </c>
      <c r="E71" s="3"/>
      <c r="F71" s="3"/>
      <c r="G71" s="3"/>
      <c r="H71" s="3"/>
      <c r="I71" s="3"/>
      <c r="J71" s="3"/>
    </row>
    <row r="72" spans="1:10" x14ac:dyDescent="0.25">
      <c r="A72" s="3" t="s">
        <v>434</v>
      </c>
      <c r="B72" s="3">
        <v>0</v>
      </c>
      <c r="C72" s="3">
        <v>800</v>
      </c>
      <c r="D72" s="3">
        <f t="shared" si="2"/>
        <v>0</v>
      </c>
      <c r="E72" s="3"/>
      <c r="F72" s="3"/>
      <c r="G72" s="3"/>
      <c r="H72" s="3"/>
      <c r="I72" s="3"/>
      <c r="J72" s="3"/>
    </row>
    <row r="73" spans="1:10" x14ac:dyDescent="0.25">
      <c r="A73" s="3" t="s">
        <v>474</v>
      </c>
      <c r="B73" s="3">
        <v>6</v>
      </c>
      <c r="C73" s="3">
        <v>600</v>
      </c>
      <c r="D73" s="3">
        <f t="shared" si="2"/>
        <v>3600</v>
      </c>
      <c r="E73" s="3"/>
      <c r="F73" s="3"/>
      <c r="G73" s="3"/>
      <c r="H73" s="3"/>
      <c r="I73" s="3"/>
      <c r="J73" s="3"/>
    </row>
    <row r="74" spans="1:10" x14ac:dyDescent="0.25">
      <c r="A74" s="3" t="s">
        <v>756</v>
      </c>
      <c r="B74" s="3">
        <v>2.5</v>
      </c>
      <c r="C74" s="3">
        <v>400</v>
      </c>
      <c r="D74" s="3">
        <f t="shared" si="2"/>
        <v>1000</v>
      </c>
      <c r="E74" s="3"/>
      <c r="F74" s="3"/>
      <c r="G74" s="3"/>
      <c r="H74" s="3"/>
      <c r="I74" s="3"/>
      <c r="J74" s="3"/>
    </row>
    <row r="75" spans="1:10" x14ac:dyDescent="0.25">
      <c r="A75" s="3" t="s">
        <v>1656</v>
      </c>
      <c r="B75" s="3">
        <v>2</v>
      </c>
      <c r="C75" s="3">
        <v>1200</v>
      </c>
      <c r="D75" s="3">
        <f t="shared" si="2"/>
        <v>2400</v>
      </c>
      <c r="E75" s="3"/>
      <c r="F75" s="3"/>
      <c r="G75" s="3"/>
      <c r="H75" s="3"/>
      <c r="I75" s="3"/>
      <c r="J75" s="3"/>
    </row>
    <row r="76" spans="1:10" x14ac:dyDescent="0.25">
      <c r="A76" s="3" t="s">
        <v>757</v>
      </c>
      <c r="B76" s="3">
        <v>5</v>
      </c>
      <c r="C76" s="3">
        <v>500</v>
      </c>
      <c r="D76" s="3">
        <f t="shared" si="2"/>
        <v>2500</v>
      </c>
      <c r="E76" s="3"/>
      <c r="F76" s="3"/>
      <c r="G76" s="3"/>
      <c r="H76" s="3"/>
      <c r="I76" s="3"/>
      <c r="J76" s="3"/>
    </row>
    <row r="77" spans="1:10" x14ac:dyDescent="0.25">
      <c r="A77" s="3" t="s">
        <v>2058</v>
      </c>
      <c r="B77" s="3"/>
      <c r="C77" s="3"/>
      <c r="D77" s="3">
        <v>0</v>
      </c>
      <c r="E77" s="3"/>
      <c r="F77" s="3"/>
      <c r="G77" s="3"/>
      <c r="H77" s="3"/>
      <c r="I77" s="3"/>
      <c r="J77" s="3"/>
    </row>
    <row r="78" spans="1:10" ht="15" x14ac:dyDescent="0.4">
      <c r="A78" s="3" t="s">
        <v>995</v>
      </c>
      <c r="B78" s="3" t="s">
        <v>417</v>
      </c>
      <c r="C78" s="3" t="s">
        <v>417</v>
      </c>
      <c r="D78" s="33">
        <v>16716</v>
      </c>
      <c r="E78" s="3"/>
      <c r="F78" s="3"/>
      <c r="G78" s="3"/>
      <c r="H78" s="3"/>
      <c r="I78" s="3"/>
      <c r="J78" s="3"/>
    </row>
    <row r="79" spans="1:10" x14ac:dyDescent="0.25">
      <c r="A79" s="3" t="s">
        <v>1279</v>
      </c>
      <c r="B79" s="3"/>
      <c r="C79" s="3"/>
      <c r="D79" s="3">
        <f>SUM(D37:D78)</f>
        <v>2187239</v>
      </c>
      <c r="F79" s="3"/>
      <c r="G79" s="3"/>
      <c r="H79" s="3"/>
      <c r="I79" s="3"/>
      <c r="J79" s="3"/>
    </row>
    <row r="80" spans="1:10" x14ac:dyDescent="0.25">
      <c r="A80" s="3"/>
      <c r="B80" s="3"/>
      <c r="C80" s="3"/>
      <c r="D80" s="3"/>
      <c r="E80" s="3"/>
      <c r="F80" s="3"/>
      <c r="G80" s="3"/>
      <c r="H80" s="3"/>
      <c r="I80" s="3"/>
      <c r="J80" s="3"/>
    </row>
    <row r="81" spans="1:10" ht="13.8" x14ac:dyDescent="0.3">
      <c r="A81" s="64" t="s">
        <v>974</v>
      </c>
      <c r="B81" s="3"/>
      <c r="C81" s="3"/>
      <c r="D81" s="3"/>
      <c r="E81" s="3">
        <v>15590</v>
      </c>
      <c r="F81" s="3">
        <v>18013</v>
      </c>
      <c r="G81" s="3">
        <v>23553</v>
      </c>
      <c r="H81" s="3">
        <v>21059</v>
      </c>
      <c r="I81" s="3">
        <v>21059</v>
      </c>
      <c r="J81" s="3">
        <v>21059</v>
      </c>
    </row>
    <row r="82" spans="1:10" x14ac:dyDescent="0.25">
      <c r="A82" s="3" t="s">
        <v>967</v>
      </c>
      <c r="B82" s="3" t="s">
        <v>417</v>
      </c>
      <c r="C82" s="3" t="s">
        <v>417</v>
      </c>
      <c r="D82" s="3" t="s">
        <v>417</v>
      </c>
      <c r="E82" s="3"/>
      <c r="F82" s="3"/>
      <c r="G82" s="3"/>
      <c r="H82" s="3"/>
      <c r="I82" s="3"/>
      <c r="J82" s="3"/>
    </row>
    <row r="83" spans="1:10" x14ac:dyDescent="0.25">
      <c r="A83" s="3" t="s">
        <v>501</v>
      </c>
      <c r="B83" s="3">
        <v>363</v>
      </c>
      <c r="C83" s="66">
        <f>+SUM(C19:C23)/40*1.5/5</f>
        <v>58.012500000000003</v>
      </c>
      <c r="D83" s="3">
        <f>ROUND(B83*C83,0)</f>
        <v>21059</v>
      </c>
      <c r="E83" s="3"/>
      <c r="F83" s="3"/>
      <c r="G83" s="3"/>
      <c r="H83" s="3"/>
      <c r="I83" s="3"/>
      <c r="J83" s="3"/>
    </row>
    <row r="84" spans="1:10" x14ac:dyDescent="0.25">
      <c r="A84" s="3"/>
      <c r="B84" s="3"/>
      <c r="C84" s="3"/>
      <c r="D84" s="3"/>
      <c r="E84" s="3"/>
      <c r="F84" s="3"/>
      <c r="G84" s="3"/>
      <c r="H84" s="3"/>
      <c r="I84" s="3"/>
      <c r="J84" s="3"/>
    </row>
    <row r="85" spans="1:10" ht="13.8" x14ac:dyDescent="0.3">
      <c r="A85" s="64" t="s">
        <v>1067</v>
      </c>
      <c r="B85" s="3"/>
      <c r="C85" s="3"/>
      <c r="D85" s="3"/>
      <c r="E85" s="3">
        <v>14630</v>
      </c>
      <c r="F85" s="3">
        <v>20829</v>
      </c>
      <c r="G85" s="3">
        <v>20436</v>
      </c>
      <c r="H85" s="3">
        <v>20436</v>
      </c>
      <c r="I85" s="3">
        <v>20436</v>
      </c>
      <c r="J85" s="3">
        <v>20852</v>
      </c>
    </row>
    <row r="86" spans="1:10" x14ac:dyDescent="0.25">
      <c r="A86" s="3" t="s">
        <v>1948</v>
      </c>
      <c r="B86" s="3">
        <v>52</v>
      </c>
      <c r="C86" s="3">
        <v>401</v>
      </c>
      <c r="D86" s="3">
        <f>ROUND(B86*C86,0)</f>
        <v>20852</v>
      </c>
      <c r="F86" s="3"/>
      <c r="G86" s="3"/>
      <c r="H86" s="3"/>
      <c r="I86" s="3"/>
      <c r="J86" s="3"/>
    </row>
    <row r="87" spans="1:10" x14ac:dyDescent="0.25">
      <c r="A87" s="3"/>
      <c r="B87" s="3"/>
      <c r="C87" s="3"/>
      <c r="D87" s="3"/>
      <c r="E87" s="3"/>
      <c r="F87" s="3"/>
      <c r="G87" s="3"/>
      <c r="H87" s="3"/>
      <c r="I87" s="3"/>
      <c r="J87" s="3"/>
    </row>
    <row r="88" spans="1:10" ht="13.8" x14ac:dyDescent="0.3">
      <c r="A88" s="64" t="s">
        <v>603</v>
      </c>
      <c r="B88" s="3"/>
      <c r="C88" s="3"/>
      <c r="D88" s="3"/>
      <c r="E88" s="3">
        <v>28219</v>
      </c>
      <c r="F88" s="3">
        <v>29937</v>
      </c>
      <c r="G88" s="3">
        <v>31184</v>
      </c>
      <c r="H88" s="3">
        <v>31184</v>
      </c>
      <c r="I88" s="3">
        <v>31184</v>
      </c>
      <c r="J88" s="3">
        <v>31184</v>
      </c>
    </row>
    <row r="89" spans="1:10" x14ac:dyDescent="0.25">
      <c r="A89" s="3" t="s">
        <v>1154</v>
      </c>
      <c r="B89" s="3">
        <v>571</v>
      </c>
      <c r="C89" s="66">
        <v>16</v>
      </c>
      <c r="D89" s="3">
        <f>ROUND(B89*C89,0)</f>
        <v>9136</v>
      </c>
      <c r="E89" s="3"/>
      <c r="F89" s="3"/>
      <c r="G89" s="3"/>
      <c r="H89" s="3"/>
      <c r="I89" s="3"/>
      <c r="J89" s="3"/>
    </row>
    <row r="90" spans="1:10" ht="15" x14ac:dyDescent="0.4">
      <c r="A90" s="3" t="s">
        <v>1445</v>
      </c>
      <c r="B90" s="3">
        <v>1378</v>
      </c>
      <c r="C90" s="66">
        <v>16</v>
      </c>
      <c r="D90" s="33">
        <f>ROUND(B90*C90,0)</f>
        <v>22048</v>
      </c>
      <c r="E90" s="3"/>
      <c r="F90" s="3"/>
      <c r="G90" s="3"/>
      <c r="H90" s="3"/>
      <c r="I90" s="3"/>
      <c r="J90" s="3"/>
    </row>
    <row r="91" spans="1:10" x14ac:dyDescent="0.25">
      <c r="A91" s="3" t="s">
        <v>1279</v>
      </c>
      <c r="B91" s="3"/>
      <c r="C91" s="3"/>
      <c r="D91" s="3">
        <f>SUM(D89:D90)</f>
        <v>31184</v>
      </c>
      <c r="F91" s="3"/>
      <c r="G91" s="3"/>
      <c r="H91" s="3"/>
      <c r="I91" s="3"/>
      <c r="J91" s="3"/>
    </row>
    <row r="92" spans="1:10" x14ac:dyDescent="0.25">
      <c r="A92" s="3"/>
      <c r="B92" s="3"/>
      <c r="C92" s="3"/>
      <c r="D92" s="3"/>
      <c r="E92" s="3"/>
      <c r="F92" s="3"/>
      <c r="G92" s="3"/>
      <c r="H92" s="3"/>
      <c r="I92" s="3"/>
      <c r="J92" s="3"/>
    </row>
    <row r="93" spans="1:10" ht="13.8" x14ac:dyDescent="0.3">
      <c r="A93" s="64" t="s">
        <v>1446</v>
      </c>
      <c r="B93" s="3"/>
      <c r="C93" s="3"/>
      <c r="D93" s="3"/>
      <c r="E93" s="3">
        <v>217160</v>
      </c>
      <c r="F93" s="3">
        <v>229493</v>
      </c>
      <c r="G93" s="3">
        <v>227793</v>
      </c>
      <c r="H93" s="3">
        <v>227793</v>
      </c>
      <c r="I93" s="3">
        <v>227793</v>
      </c>
      <c r="J93" s="3">
        <v>227617</v>
      </c>
    </row>
    <row r="94" spans="1:10" x14ac:dyDescent="0.25">
      <c r="A94" s="3" t="s">
        <v>130</v>
      </c>
      <c r="B94" s="3">
        <v>4675</v>
      </c>
      <c r="C94" s="66">
        <f>ROUND(C69*1.5,2)</f>
        <v>46.93</v>
      </c>
      <c r="D94" s="3">
        <f>ROUND(+C94*B94,0)</f>
        <v>219398</v>
      </c>
      <c r="E94" s="3"/>
      <c r="F94" s="3"/>
      <c r="G94" s="3"/>
      <c r="H94" s="3"/>
      <c r="I94" s="3"/>
      <c r="J94" s="3"/>
    </row>
    <row r="95" spans="1:10" ht="15" x14ac:dyDescent="0.4">
      <c r="A95" s="3" t="s">
        <v>1571</v>
      </c>
      <c r="B95" s="3"/>
      <c r="C95" s="3"/>
      <c r="D95" s="33">
        <f>-36+8255</f>
        <v>8219</v>
      </c>
      <c r="E95" s="3"/>
      <c r="F95" s="3"/>
      <c r="G95" s="3"/>
      <c r="H95" s="3"/>
      <c r="I95" s="3"/>
      <c r="J95" s="3"/>
    </row>
    <row r="96" spans="1:10" x14ac:dyDescent="0.25">
      <c r="A96" s="3" t="s">
        <v>1279</v>
      </c>
      <c r="B96" s="3"/>
      <c r="C96" s="3"/>
      <c r="D96" s="3">
        <f>SUM(D94:D95)</f>
        <v>227617</v>
      </c>
      <c r="F96" s="3"/>
      <c r="G96" s="3"/>
      <c r="H96" s="3"/>
      <c r="I96" s="3"/>
      <c r="J96" s="3"/>
    </row>
    <row r="97" spans="1:10" x14ac:dyDescent="0.25">
      <c r="A97" s="3" t="s">
        <v>417</v>
      </c>
      <c r="B97" s="3" t="s">
        <v>417</v>
      </c>
      <c r="C97" s="3" t="s">
        <v>417</v>
      </c>
      <c r="D97" s="3" t="s">
        <v>417</v>
      </c>
      <c r="E97" s="3"/>
      <c r="F97" s="3"/>
      <c r="G97" s="3"/>
      <c r="H97" s="3"/>
      <c r="I97" s="3"/>
      <c r="J97" s="3"/>
    </row>
    <row r="98" spans="1:10" ht="13.8" x14ac:dyDescent="0.3">
      <c r="A98" s="64" t="s">
        <v>1447</v>
      </c>
      <c r="B98" s="3"/>
      <c r="C98" s="3"/>
      <c r="D98" s="3"/>
      <c r="E98" s="3">
        <v>58551</v>
      </c>
      <c r="F98" s="3">
        <v>66573</v>
      </c>
      <c r="G98" s="3">
        <v>65810</v>
      </c>
      <c r="H98" s="3">
        <v>65773</v>
      </c>
      <c r="I98" s="3">
        <v>65366</v>
      </c>
      <c r="J98" s="3">
        <v>67621</v>
      </c>
    </row>
    <row r="99" spans="1:10" hidden="1" x14ac:dyDescent="0.25">
      <c r="A99" s="3" t="s">
        <v>923</v>
      </c>
      <c r="B99" s="3">
        <f>+D12</f>
        <v>157955</v>
      </c>
      <c r="C99" s="79">
        <v>7.6499999999999999E-2</v>
      </c>
      <c r="D99" s="3">
        <f t="shared" ref="D99:D106" si="3">ROUND(B99*C99,0)</f>
        <v>12084</v>
      </c>
      <c r="E99" s="3"/>
      <c r="F99" s="3"/>
      <c r="G99" s="3"/>
      <c r="H99" s="3"/>
      <c r="I99" s="3"/>
      <c r="J99" s="3"/>
    </row>
    <row r="100" spans="1:10" hidden="1" x14ac:dyDescent="0.25">
      <c r="A100" s="3" t="s">
        <v>1511</v>
      </c>
      <c r="B100" s="3">
        <f>+D34</f>
        <v>799124</v>
      </c>
      <c r="C100" s="79">
        <v>1.4500000000000001E-2</v>
      </c>
      <c r="D100" s="3">
        <f t="shared" si="3"/>
        <v>11587</v>
      </c>
      <c r="E100" s="3"/>
      <c r="F100" s="3"/>
      <c r="G100" s="3"/>
      <c r="H100" s="3"/>
      <c r="I100" s="3"/>
      <c r="J100" s="3"/>
    </row>
    <row r="101" spans="1:10" hidden="1" x14ac:dyDescent="0.25">
      <c r="A101" s="3" t="s">
        <v>1493</v>
      </c>
      <c r="B101" s="3">
        <f>+D16</f>
        <v>74984</v>
      </c>
      <c r="C101" s="79">
        <v>6.2E-2</v>
      </c>
      <c r="D101" s="3">
        <f t="shared" si="3"/>
        <v>4649</v>
      </c>
      <c r="E101" s="3"/>
      <c r="F101" s="3"/>
      <c r="G101" s="3"/>
      <c r="H101" s="3"/>
      <c r="I101" s="3"/>
      <c r="J101" s="3"/>
    </row>
    <row r="102" spans="1:10" hidden="1" x14ac:dyDescent="0.25">
      <c r="A102" s="3" t="s">
        <v>831</v>
      </c>
      <c r="B102" s="3">
        <f>+D79</f>
        <v>2187239</v>
      </c>
      <c r="C102" s="79">
        <v>1.4500000000000001E-2</v>
      </c>
      <c r="D102" s="3">
        <f t="shared" si="3"/>
        <v>31715</v>
      </c>
      <c r="E102" s="3"/>
      <c r="F102" s="3"/>
      <c r="G102" s="3"/>
      <c r="H102" s="3"/>
      <c r="I102" s="3"/>
      <c r="J102" s="3"/>
    </row>
    <row r="103" spans="1:10" hidden="1" x14ac:dyDescent="0.25">
      <c r="A103" s="3" t="s">
        <v>924</v>
      </c>
      <c r="B103" s="3">
        <f>+D83</f>
        <v>21059</v>
      </c>
      <c r="C103" s="79">
        <v>1.4500000000000001E-2</v>
      </c>
      <c r="D103" s="3">
        <f t="shared" si="3"/>
        <v>305</v>
      </c>
      <c r="E103" s="3"/>
      <c r="F103" s="3"/>
      <c r="G103" s="3"/>
      <c r="H103" s="3"/>
      <c r="I103" s="3"/>
      <c r="J103" s="3"/>
    </row>
    <row r="104" spans="1:10" hidden="1" x14ac:dyDescent="0.25">
      <c r="A104" s="3" t="s">
        <v>1448</v>
      </c>
      <c r="B104" s="3">
        <f>+D86</f>
        <v>20852</v>
      </c>
      <c r="C104" s="79">
        <v>7.6499999999999999E-2</v>
      </c>
      <c r="D104" s="3">
        <f t="shared" si="3"/>
        <v>1595</v>
      </c>
      <c r="E104" s="3"/>
      <c r="F104" s="3"/>
      <c r="G104" s="3"/>
      <c r="H104" s="3"/>
      <c r="I104" s="3"/>
      <c r="J104" s="3"/>
    </row>
    <row r="105" spans="1:10" hidden="1" x14ac:dyDescent="0.25">
      <c r="A105" s="3" t="s">
        <v>201</v>
      </c>
      <c r="B105" s="3">
        <f>+D91</f>
        <v>31184</v>
      </c>
      <c r="C105" s="79">
        <v>7.6499999999999999E-2</v>
      </c>
      <c r="D105" s="3">
        <f t="shared" si="3"/>
        <v>2386</v>
      </c>
      <c r="E105" s="3"/>
      <c r="F105" s="3"/>
      <c r="G105" s="3"/>
      <c r="H105" s="3"/>
      <c r="I105" s="3"/>
      <c r="J105" s="3"/>
    </row>
    <row r="106" spans="1:10" hidden="1" x14ac:dyDescent="0.25">
      <c r="A106" s="3" t="s">
        <v>202</v>
      </c>
      <c r="B106" s="3">
        <f>+D96</f>
        <v>227617</v>
      </c>
      <c r="C106" s="79">
        <v>1.4500000000000001E-2</v>
      </c>
      <c r="D106" s="3">
        <f t="shared" si="3"/>
        <v>3300</v>
      </c>
      <c r="E106" s="3"/>
      <c r="F106" s="3"/>
      <c r="G106" s="3"/>
      <c r="H106" s="3"/>
      <c r="I106" s="3"/>
      <c r="J106" s="3"/>
    </row>
    <row r="107" spans="1:10" hidden="1" x14ac:dyDescent="0.25">
      <c r="A107" s="3" t="s">
        <v>1279</v>
      </c>
      <c r="B107" s="3"/>
      <c r="C107" s="3"/>
      <c r="D107" s="3">
        <f>SUM(D99:D106)</f>
        <v>67621</v>
      </c>
      <c r="E107" s="3"/>
      <c r="F107" s="3"/>
      <c r="G107" s="3"/>
      <c r="H107" s="3"/>
      <c r="I107" s="3"/>
      <c r="J107" s="3"/>
    </row>
    <row r="108" spans="1:10" ht="13.8" x14ac:dyDescent="0.3">
      <c r="A108" s="201"/>
      <c r="B108" s="3"/>
      <c r="C108" s="3"/>
      <c r="D108" s="3"/>
      <c r="E108" s="3"/>
      <c r="F108" s="3"/>
      <c r="G108" s="3"/>
      <c r="H108" s="3"/>
      <c r="I108" s="3"/>
      <c r="J108" s="3"/>
    </row>
    <row r="109" spans="1:10" ht="13.8" x14ac:dyDescent="0.3">
      <c r="A109" s="64" t="s">
        <v>1449</v>
      </c>
      <c r="B109" s="3"/>
      <c r="C109" s="3"/>
      <c r="D109" s="3"/>
      <c r="E109" s="3">
        <v>856166</v>
      </c>
      <c r="F109" s="3">
        <v>843515</v>
      </c>
      <c r="G109" s="3">
        <v>925768</v>
      </c>
      <c r="H109" s="3">
        <v>925034</v>
      </c>
      <c r="I109" s="3">
        <v>916780</v>
      </c>
      <c r="J109" s="3">
        <v>958330</v>
      </c>
    </row>
    <row r="110" spans="1:10" hidden="1" x14ac:dyDescent="0.25">
      <c r="A110" s="3" t="s">
        <v>923</v>
      </c>
      <c r="B110" s="3">
        <f>+D12</f>
        <v>157955</v>
      </c>
      <c r="C110" s="79">
        <v>0.1215</v>
      </c>
      <c r="D110" s="3">
        <f t="shared" ref="D110:D115" si="4">ROUND(B110*C110,0)</f>
        <v>19192</v>
      </c>
      <c r="E110" s="3"/>
      <c r="F110" s="3"/>
      <c r="G110" s="3"/>
      <c r="H110" s="3"/>
      <c r="I110" s="3"/>
      <c r="J110" s="3"/>
    </row>
    <row r="111" spans="1:10" hidden="1" x14ac:dyDescent="0.25">
      <c r="A111" s="3" t="s">
        <v>1511</v>
      </c>
      <c r="B111" s="3">
        <f>+D34-B101</f>
        <v>724140</v>
      </c>
      <c r="C111" s="79">
        <v>0.29430000000000001</v>
      </c>
      <c r="D111" s="3">
        <f t="shared" si="4"/>
        <v>213114</v>
      </c>
      <c r="E111" s="3"/>
      <c r="F111" s="3"/>
      <c r="G111" s="3"/>
      <c r="H111" s="3"/>
      <c r="I111" s="3"/>
      <c r="J111" s="3"/>
    </row>
    <row r="112" spans="1:10" hidden="1" x14ac:dyDescent="0.25">
      <c r="A112" s="3" t="s">
        <v>1493</v>
      </c>
      <c r="B112" s="3">
        <f>+B101</f>
        <v>74984</v>
      </c>
      <c r="C112" s="79">
        <v>0.1215</v>
      </c>
      <c r="D112" s="3">
        <f t="shared" si="4"/>
        <v>9111</v>
      </c>
      <c r="E112" s="3"/>
      <c r="F112" s="3"/>
      <c r="G112" s="3"/>
      <c r="H112" s="3"/>
      <c r="I112" s="3"/>
      <c r="J112" s="3"/>
    </row>
    <row r="113" spans="1:10" hidden="1" x14ac:dyDescent="0.25">
      <c r="A113" s="3" t="s">
        <v>831</v>
      </c>
      <c r="B113" s="3">
        <f>+D79</f>
        <v>2187239</v>
      </c>
      <c r="C113" s="79">
        <v>0.29430000000000001</v>
      </c>
      <c r="D113" s="3">
        <f t="shared" si="4"/>
        <v>643704</v>
      </c>
      <c r="E113" s="3"/>
      <c r="F113" s="3"/>
      <c r="G113" s="3"/>
      <c r="H113" s="3"/>
      <c r="I113" s="3"/>
      <c r="J113" s="3"/>
    </row>
    <row r="114" spans="1:10" hidden="1" x14ac:dyDescent="0.25">
      <c r="A114" s="3" t="s">
        <v>924</v>
      </c>
      <c r="B114" s="3">
        <f>+D83</f>
        <v>21059</v>
      </c>
      <c r="C114" s="79">
        <v>0.29430000000000001</v>
      </c>
      <c r="D114" s="3">
        <f t="shared" si="4"/>
        <v>6198</v>
      </c>
      <c r="E114" s="3"/>
      <c r="F114" s="3"/>
      <c r="G114" s="3"/>
      <c r="H114" s="3"/>
      <c r="I114" s="3"/>
      <c r="J114" s="3"/>
    </row>
    <row r="115" spans="1:10" hidden="1" x14ac:dyDescent="0.25">
      <c r="A115" s="3" t="s">
        <v>1448</v>
      </c>
      <c r="B115" s="3">
        <v>0</v>
      </c>
      <c r="C115" s="79">
        <v>0.1215</v>
      </c>
      <c r="D115" s="3">
        <f t="shared" si="4"/>
        <v>0</v>
      </c>
      <c r="E115" s="3"/>
      <c r="F115" s="3"/>
      <c r="G115" s="3"/>
      <c r="H115" s="3"/>
      <c r="I115" s="3"/>
      <c r="J115" s="3"/>
    </row>
    <row r="116" spans="1:10" ht="15" hidden="1" x14ac:dyDescent="0.4">
      <c r="A116" s="3" t="s">
        <v>202</v>
      </c>
      <c r="B116" s="3">
        <f>+D96</f>
        <v>227617</v>
      </c>
      <c r="C116" s="79">
        <v>0.29430000000000001</v>
      </c>
      <c r="D116" s="33">
        <f>ROUND(B116*C116,0)+23</f>
        <v>67011</v>
      </c>
      <c r="E116" s="3"/>
      <c r="F116" s="3"/>
      <c r="G116" s="3"/>
      <c r="H116" s="3"/>
      <c r="I116" s="3"/>
      <c r="J116" s="3"/>
    </row>
    <row r="117" spans="1:10" hidden="1" x14ac:dyDescent="0.25">
      <c r="A117" s="3" t="s">
        <v>1279</v>
      </c>
      <c r="B117" s="3"/>
      <c r="C117" s="3"/>
      <c r="D117" s="3">
        <f>SUM(D110:D116)</f>
        <v>958330</v>
      </c>
      <c r="E117" s="3"/>
      <c r="F117" s="3"/>
      <c r="G117" s="3"/>
      <c r="H117" s="3"/>
      <c r="I117" s="3"/>
      <c r="J117" s="3"/>
    </row>
    <row r="118" spans="1:10" ht="13.8" x14ac:dyDescent="0.3">
      <c r="A118" s="201"/>
      <c r="B118" s="3"/>
      <c r="C118" s="3"/>
      <c r="D118" s="3"/>
      <c r="E118" s="3"/>
      <c r="F118" s="3"/>
      <c r="G118" s="3"/>
      <c r="H118" s="3"/>
      <c r="I118" s="3"/>
      <c r="J118" s="3"/>
    </row>
    <row r="119" spans="1:10" ht="13.8" x14ac:dyDescent="0.3">
      <c r="A119" s="64" t="s">
        <v>381</v>
      </c>
      <c r="B119" s="3"/>
      <c r="C119" s="3"/>
      <c r="D119" s="3"/>
      <c r="E119" s="3">
        <v>752781</v>
      </c>
      <c r="F119" s="3">
        <v>781876</v>
      </c>
      <c r="G119" s="3">
        <v>837400</v>
      </c>
      <c r="H119" s="3">
        <v>837400</v>
      </c>
      <c r="I119" s="3">
        <v>837400</v>
      </c>
      <c r="J119" s="3">
        <v>709848</v>
      </c>
    </row>
    <row r="120" spans="1:10" x14ac:dyDescent="0.25">
      <c r="A120" s="3" t="s">
        <v>1968</v>
      </c>
      <c r="B120" s="3">
        <v>32</v>
      </c>
      <c r="C120" s="3">
        <v>14464</v>
      </c>
      <c r="D120" s="3">
        <f>ROUND(B120*C120,0)</f>
        <v>462848</v>
      </c>
      <c r="E120" s="3"/>
      <c r="F120" s="3"/>
      <c r="G120" s="3"/>
      <c r="H120" s="3"/>
      <c r="I120" s="3"/>
      <c r="J120" s="3"/>
    </row>
    <row r="121" spans="1:10" x14ac:dyDescent="0.25">
      <c r="A121" s="3" t="s">
        <v>33</v>
      </c>
      <c r="B121" s="3">
        <v>7</v>
      </c>
      <c r="C121" s="3">
        <v>20500</v>
      </c>
      <c r="D121" s="3">
        <f>ROUND(B121*C121,0)</f>
        <v>143500</v>
      </c>
      <c r="E121" s="3"/>
      <c r="F121" s="3"/>
      <c r="G121" s="3"/>
      <c r="H121" s="3"/>
      <c r="I121" s="3"/>
      <c r="J121" s="3"/>
    </row>
    <row r="122" spans="1:10" x14ac:dyDescent="0.25">
      <c r="A122" s="3" t="s">
        <v>1248</v>
      </c>
      <c r="B122" s="3">
        <v>3</v>
      </c>
      <c r="C122" s="3">
        <v>17250</v>
      </c>
      <c r="D122" s="3">
        <f>ROUND(B122*C122,0)</f>
        <v>51750</v>
      </c>
      <c r="E122" s="3"/>
      <c r="F122" s="3"/>
      <c r="G122" s="3"/>
      <c r="H122" s="3"/>
      <c r="I122" s="3"/>
      <c r="J122" s="3"/>
    </row>
    <row r="123" spans="1:10" x14ac:dyDescent="0.25">
      <c r="A123" s="3" t="s">
        <v>325</v>
      </c>
      <c r="B123" s="3">
        <v>3</v>
      </c>
      <c r="C123" s="3">
        <v>17250</v>
      </c>
      <c r="D123" s="3">
        <f>ROUND(B123*C123,0)</f>
        <v>51750</v>
      </c>
      <c r="E123" s="3"/>
      <c r="F123" s="3"/>
      <c r="G123" s="3"/>
      <c r="H123" s="3"/>
      <c r="I123" s="3"/>
      <c r="J123" s="3"/>
    </row>
    <row r="124" spans="1:10" ht="15" x14ac:dyDescent="0.4">
      <c r="A124" s="3" t="s">
        <v>1969</v>
      </c>
      <c r="B124" s="3" t="s">
        <v>417</v>
      </c>
      <c r="C124" s="3" t="s">
        <v>417</v>
      </c>
      <c r="D124" s="33">
        <v>0</v>
      </c>
      <c r="E124" s="3"/>
      <c r="F124" s="3"/>
      <c r="G124" s="3"/>
      <c r="H124" s="3"/>
      <c r="I124" s="3"/>
      <c r="J124" s="3"/>
    </row>
    <row r="125" spans="1:10" x14ac:dyDescent="0.25">
      <c r="A125" s="3" t="s">
        <v>825</v>
      </c>
      <c r="B125" s="3"/>
      <c r="C125" s="3"/>
      <c r="D125" s="3">
        <f>SUM(D120:D124)</f>
        <v>709848</v>
      </c>
      <c r="E125" s="3"/>
      <c r="F125" s="3"/>
      <c r="G125" s="3"/>
      <c r="H125" s="3"/>
      <c r="I125" s="3"/>
      <c r="J125" s="3"/>
    </row>
    <row r="126" spans="1:10" x14ac:dyDescent="0.25">
      <c r="A126" s="3"/>
      <c r="B126" s="3"/>
      <c r="C126" s="3"/>
      <c r="D126" s="3"/>
      <c r="E126" s="3"/>
      <c r="F126" s="3"/>
      <c r="G126" s="3"/>
      <c r="H126" s="3"/>
      <c r="I126" s="3"/>
      <c r="J126" s="3"/>
    </row>
    <row r="127" spans="1:10" ht="13.8" x14ac:dyDescent="0.3">
      <c r="A127" s="64" t="s">
        <v>705</v>
      </c>
      <c r="B127" s="3"/>
      <c r="C127" s="3"/>
      <c r="D127" s="3"/>
      <c r="E127" s="3">
        <v>49458</v>
      </c>
      <c r="F127" s="3">
        <v>52360</v>
      </c>
      <c r="G127" s="3">
        <v>52360</v>
      </c>
      <c r="H127" s="3">
        <v>52360</v>
      </c>
      <c r="I127" s="3">
        <v>52360</v>
      </c>
      <c r="J127" s="3">
        <v>52360</v>
      </c>
    </row>
    <row r="128" spans="1:10" x14ac:dyDescent="0.25">
      <c r="A128" s="3" t="s">
        <v>324</v>
      </c>
      <c r="B128" s="3">
        <v>38.677</v>
      </c>
      <c r="C128" s="3">
        <v>1300</v>
      </c>
      <c r="D128" s="3">
        <f>ROUND(B128*C128,0)</f>
        <v>50280</v>
      </c>
      <c r="E128" s="3"/>
      <c r="F128" s="3"/>
      <c r="G128" s="3"/>
      <c r="H128" s="3"/>
      <c r="I128" s="3"/>
      <c r="J128" s="3"/>
    </row>
    <row r="129" spans="1:10" x14ac:dyDescent="0.25">
      <c r="A129" s="3" t="s">
        <v>1248</v>
      </c>
      <c r="B129" s="3">
        <v>3</v>
      </c>
      <c r="C129" s="3">
        <v>1300</v>
      </c>
      <c r="D129" s="3">
        <f>ROUND(B129*C129,0)</f>
        <v>3900</v>
      </c>
      <c r="E129" s="3"/>
      <c r="F129" s="3"/>
      <c r="G129" s="3"/>
      <c r="H129" s="3"/>
      <c r="I129" s="3"/>
      <c r="J129" s="3"/>
    </row>
    <row r="130" spans="1:10" x14ac:dyDescent="0.25">
      <c r="A130" s="3" t="s">
        <v>1434</v>
      </c>
      <c r="B130" s="3"/>
      <c r="C130" s="3"/>
      <c r="D130" s="3">
        <f>+C129*-0.1*41</f>
        <v>-5330</v>
      </c>
      <c r="E130" s="3"/>
      <c r="F130" s="3"/>
      <c r="G130" s="3"/>
      <c r="H130" s="3"/>
      <c r="I130" s="3"/>
      <c r="J130" s="3"/>
    </row>
    <row r="131" spans="1:10" x14ac:dyDescent="0.25">
      <c r="A131" s="3" t="s">
        <v>325</v>
      </c>
      <c r="B131" s="3">
        <v>3</v>
      </c>
      <c r="C131" s="3">
        <v>1300</v>
      </c>
      <c r="D131" s="3">
        <f>ROUND(B131*C131,0)</f>
        <v>3900</v>
      </c>
      <c r="E131" s="3"/>
      <c r="F131" s="3"/>
      <c r="G131" s="3"/>
      <c r="H131" s="3"/>
      <c r="I131" s="3"/>
      <c r="J131" s="3"/>
    </row>
    <row r="132" spans="1:10" ht="15" x14ac:dyDescent="0.4">
      <c r="A132" s="3" t="s">
        <v>245</v>
      </c>
      <c r="B132" s="3"/>
      <c r="C132" s="3"/>
      <c r="D132" s="33">
        <f>+C131*-0.1*B131</f>
        <v>-390</v>
      </c>
      <c r="E132" s="3"/>
      <c r="F132" s="3"/>
      <c r="G132" s="3"/>
      <c r="H132" s="3"/>
      <c r="I132" s="3"/>
      <c r="J132" s="3"/>
    </row>
    <row r="133" spans="1:10" x14ac:dyDescent="0.25">
      <c r="A133" s="3" t="s">
        <v>825</v>
      </c>
      <c r="B133" s="3"/>
      <c r="C133" s="3"/>
      <c r="D133" s="3">
        <f>SUM(D128:D132)</f>
        <v>52360</v>
      </c>
      <c r="F133" s="3"/>
      <c r="G133" s="3"/>
      <c r="H133" s="3"/>
      <c r="I133" s="3"/>
      <c r="J133" s="3"/>
    </row>
    <row r="134" spans="1:10" x14ac:dyDescent="0.25">
      <c r="A134" s="3"/>
      <c r="B134" s="3"/>
      <c r="C134" s="3"/>
      <c r="D134" s="3"/>
      <c r="E134" s="3"/>
      <c r="F134" s="3"/>
      <c r="G134" s="3"/>
      <c r="H134" s="3"/>
      <c r="I134" s="3"/>
      <c r="J134" s="3"/>
    </row>
    <row r="135" spans="1:10" ht="13.8" x14ac:dyDescent="0.3">
      <c r="A135" s="64" t="s">
        <v>706</v>
      </c>
      <c r="B135" s="3"/>
      <c r="C135" s="3"/>
      <c r="D135" s="3"/>
      <c r="E135" s="3">
        <v>1641</v>
      </c>
      <c r="F135" s="3">
        <v>2163</v>
      </c>
      <c r="G135" s="3">
        <v>2875</v>
      </c>
      <c r="H135" s="3">
        <v>2875</v>
      </c>
      <c r="I135" s="3">
        <v>2875</v>
      </c>
      <c r="J135" s="3">
        <v>2875</v>
      </c>
    </row>
    <row r="136" spans="1:10" hidden="1" x14ac:dyDescent="0.25">
      <c r="A136" s="3" t="s">
        <v>241</v>
      </c>
      <c r="B136" s="3">
        <v>3</v>
      </c>
      <c r="C136" s="3">
        <v>135</v>
      </c>
      <c r="D136" s="3">
        <f>ROUND(B136*C136,0)</f>
        <v>405</v>
      </c>
      <c r="E136" s="3"/>
      <c r="F136" s="3"/>
      <c r="G136" s="3"/>
      <c r="H136" s="3"/>
      <c r="I136" s="3"/>
      <c r="J136" s="3"/>
    </row>
    <row r="137" spans="1:10" hidden="1" x14ac:dyDescent="0.25">
      <c r="A137" s="3" t="s">
        <v>1249</v>
      </c>
      <c r="B137" s="3">
        <v>3</v>
      </c>
      <c r="C137" s="3">
        <v>135</v>
      </c>
      <c r="D137" s="3">
        <f>ROUND(B137*C137,0)</f>
        <v>405</v>
      </c>
      <c r="E137" s="3"/>
      <c r="F137" s="3"/>
      <c r="G137" s="3"/>
      <c r="H137" s="3"/>
      <c r="I137" s="3"/>
      <c r="J137" s="3"/>
    </row>
    <row r="138" spans="1:10" hidden="1" x14ac:dyDescent="0.25">
      <c r="A138" s="3" t="s">
        <v>1980</v>
      </c>
      <c r="B138" s="3">
        <v>7</v>
      </c>
      <c r="C138" s="3">
        <v>135</v>
      </c>
      <c r="D138" s="3">
        <f>ROUND(B138*C138,0)</f>
        <v>945</v>
      </c>
      <c r="E138" s="3"/>
      <c r="F138" s="3"/>
      <c r="G138" s="3"/>
      <c r="H138" s="3"/>
      <c r="I138" s="3"/>
      <c r="J138" s="3"/>
    </row>
    <row r="139" spans="1:10" hidden="1" x14ac:dyDescent="0.25">
      <c r="A139" s="3" t="s">
        <v>1156</v>
      </c>
      <c r="B139" s="3">
        <v>32</v>
      </c>
      <c r="C139" s="3">
        <v>35</v>
      </c>
      <c r="D139" s="3">
        <f>ROUND(B139*C139,0)</f>
        <v>1120</v>
      </c>
      <c r="E139" s="3"/>
      <c r="F139" s="3"/>
      <c r="G139" s="3"/>
      <c r="H139" s="3"/>
      <c r="I139" s="3"/>
      <c r="J139" s="3"/>
    </row>
    <row r="140" spans="1:10" hidden="1" x14ac:dyDescent="0.25">
      <c r="A140" s="3" t="s">
        <v>1279</v>
      </c>
      <c r="B140" s="3"/>
      <c r="C140" s="3"/>
      <c r="D140" s="3">
        <f>SUM(D136:D139)</f>
        <v>2875</v>
      </c>
      <c r="E140" s="3"/>
      <c r="F140" s="3"/>
      <c r="G140" s="3"/>
      <c r="H140" s="3"/>
      <c r="I140" s="3"/>
      <c r="J140" s="3"/>
    </row>
    <row r="141" spans="1:10" x14ac:dyDescent="0.25">
      <c r="A141" s="3"/>
      <c r="B141" s="3"/>
      <c r="C141" s="3"/>
      <c r="D141" s="3"/>
      <c r="E141" s="3"/>
      <c r="F141" s="3"/>
      <c r="G141" s="3"/>
      <c r="H141" s="3"/>
      <c r="I141" s="3"/>
      <c r="J141" s="3"/>
    </row>
    <row r="142" spans="1:10" ht="13.8" x14ac:dyDescent="0.3">
      <c r="A142" s="64" t="s">
        <v>707</v>
      </c>
      <c r="B142" s="3"/>
      <c r="C142" s="3"/>
      <c r="D142" s="3"/>
      <c r="E142" s="3">
        <v>17547</v>
      </c>
      <c r="F142" s="3">
        <v>17905</v>
      </c>
      <c r="G142" s="3">
        <v>17905</v>
      </c>
      <c r="H142" s="3">
        <v>17905</v>
      </c>
      <c r="I142" s="3">
        <v>17905</v>
      </c>
      <c r="J142" s="3">
        <v>17905</v>
      </c>
    </row>
    <row r="143" spans="1:10" hidden="1" x14ac:dyDescent="0.25">
      <c r="A143" s="3" t="s">
        <v>241</v>
      </c>
      <c r="B143" s="3">
        <v>9</v>
      </c>
      <c r="C143" s="3">
        <v>410</v>
      </c>
      <c r="D143" s="3">
        <f>ROUND(B143*C143,0)</f>
        <v>3690</v>
      </c>
      <c r="E143" s="3"/>
      <c r="F143" s="3"/>
      <c r="G143" s="3"/>
      <c r="H143" s="3"/>
      <c r="I143" s="3"/>
      <c r="J143" s="3"/>
    </row>
    <row r="144" spans="1:10" hidden="1" x14ac:dyDescent="0.25">
      <c r="A144" s="3" t="s">
        <v>1249</v>
      </c>
      <c r="B144" s="3">
        <v>3</v>
      </c>
      <c r="C144" s="3">
        <v>410</v>
      </c>
      <c r="D144" s="3">
        <f>ROUND(B144*C144,0)</f>
        <v>1230</v>
      </c>
      <c r="E144" s="3"/>
      <c r="F144" s="3"/>
      <c r="G144" s="3"/>
      <c r="H144" s="3"/>
      <c r="I144" s="3"/>
      <c r="J144" s="3"/>
    </row>
    <row r="145" spans="1:10" hidden="1" x14ac:dyDescent="0.25">
      <c r="A145" s="3" t="s">
        <v>1452</v>
      </c>
      <c r="B145" s="3">
        <v>31.67</v>
      </c>
      <c r="C145" s="3">
        <v>410</v>
      </c>
      <c r="D145" s="3">
        <f>ROUND(B145*C145,0)</f>
        <v>12985</v>
      </c>
      <c r="E145" s="3"/>
      <c r="F145" s="3"/>
      <c r="G145" s="3"/>
      <c r="H145" s="3"/>
      <c r="I145" s="3"/>
      <c r="J145" s="3"/>
    </row>
    <row r="146" spans="1:10" hidden="1" x14ac:dyDescent="0.25">
      <c r="A146" s="3" t="s">
        <v>1279</v>
      </c>
      <c r="B146" s="3"/>
      <c r="C146" s="3"/>
      <c r="D146" s="3">
        <f>SUM(D143:D145)</f>
        <v>17905</v>
      </c>
      <c r="E146" s="3"/>
      <c r="F146" s="3"/>
      <c r="G146" s="3"/>
      <c r="H146" s="3"/>
      <c r="I146" s="3"/>
      <c r="J146" s="3"/>
    </row>
    <row r="147" spans="1:10" x14ac:dyDescent="0.25">
      <c r="A147" s="3"/>
      <c r="B147" s="3"/>
      <c r="C147" s="3"/>
      <c r="D147" s="3"/>
      <c r="E147" s="3"/>
      <c r="F147" s="3"/>
      <c r="G147" s="3"/>
      <c r="H147" s="3"/>
      <c r="I147" s="3"/>
      <c r="J147" s="3"/>
    </row>
    <row r="148" spans="1:10" ht="13.8" x14ac:dyDescent="0.3">
      <c r="A148" s="64" t="s">
        <v>1091</v>
      </c>
      <c r="B148" s="3"/>
      <c r="C148" s="3"/>
      <c r="D148" s="3"/>
      <c r="E148" s="3">
        <v>58812</v>
      </c>
      <c r="F148" s="3">
        <v>59342</v>
      </c>
      <c r="G148" s="3">
        <v>59007</v>
      </c>
      <c r="H148" s="3">
        <v>58669</v>
      </c>
      <c r="I148" s="3">
        <v>58139</v>
      </c>
      <c r="J148" s="3">
        <v>60824</v>
      </c>
    </row>
    <row r="149" spans="1:10" hidden="1" x14ac:dyDescent="0.25">
      <c r="A149" s="3" t="s">
        <v>923</v>
      </c>
      <c r="B149" s="3">
        <f>+D12</f>
        <v>157955</v>
      </c>
      <c r="C149" s="79">
        <v>1.6999999999999999E-3</v>
      </c>
      <c r="D149" s="3">
        <f t="shared" ref="D149:D156" si="5">ROUND(B149*C149,0)</f>
        <v>269</v>
      </c>
      <c r="E149" s="3"/>
      <c r="F149" s="3"/>
      <c r="G149" s="3"/>
      <c r="H149" s="3"/>
      <c r="I149" s="3"/>
      <c r="J149" s="3"/>
    </row>
    <row r="150" spans="1:10" hidden="1" x14ac:dyDescent="0.25">
      <c r="A150" s="3" t="s">
        <v>1511</v>
      </c>
      <c r="B150" s="3">
        <f>+D34</f>
        <v>799124</v>
      </c>
      <c r="C150" s="79">
        <v>1.89E-2</v>
      </c>
      <c r="D150" s="3">
        <f t="shared" si="5"/>
        <v>15103</v>
      </c>
      <c r="E150" s="3"/>
      <c r="F150" s="3"/>
      <c r="G150" s="3"/>
      <c r="H150" s="3"/>
      <c r="I150" s="3"/>
      <c r="J150" s="3"/>
    </row>
    <row r="151" spans="1:10" hidden="1" x14ac:dyDescent="0.25">
      <c r="A151" s="3" t="str">
        <f>+A112</f>
        <v>8103 Prosecutor</v>
      </c>
      <c r="B151" s="3">
        <f>+B112</f>
        <v>74984</v>
      </c>
      <c r="C151" s="79">
        <v>1.6999999999999999E-3</v>
      </c>
      <c r="D151" s="3">
        <f t="shared" si="5"/>
        <v>127</v>
      </c>
      <c r="E151" s="3"/>
      <c r="F151" s="3"/>
      <c r="G151" s="3"/>
      <c r="H151" s="3"/>
      <c r="I151" s="3"/>
      <c r="J151" s="3"/>
    </row>
    <row r="152" spans="1:10" hidden="1" x14ac:dyDescent="0.25">
      <c r="A152" s="3" t="s">
        <v>831</v>
      </c>
      <c r="B152" s="3">
        <f>+D79</f>
        <v>2187239</v>
      </c>
      <c r="C152" s="79">
        <v>1.89E-2</v>
      </c>
      <c r="D152" s="3">
        <f t="shared" si="5"/>
        <v>41339</v>
      </c>
      <c r="E152" s="3"/>
      <c r="F152" s="3"/>
      <c r="G152" s="3"/>
      <c r="H152" s="3"/>
      <c r="I152" s="3"/>
      <c r="J152" s="3"/>
    </row>
    <row r="153" spans="1:10" hidden="1" x14ac:dyDescent="0.25">
      <c r="A153" s="3" t="s">
        <v>309</v>
      </c>
      <c r="B153" s="3">
        <f>ROUND(B114*0.67,0)</f>
        <v>14110</v>
      </c>
      <c r="C153" s="79">
        <v>1.89E-2</v>
      </c>
      <c r="D153" s="3">
        <f t="shared" si="5"/>
        <v>267</v>
      </c>
      <c r="E153" s="3"/>
      <c r="F153" s="3"/>
      <c r="G153" s="3"/>
      <c r="H153" s="3"/>
      <c r="I153" s="3"/>
      <c r="J153" s="3"/>
    </row>
    <row r="154" spans="1:10" hidden="1" x14ac:dyDescent="0.25">
      <c r="A154" s="3" t="s">
        <v>1448</v>
      </c>
      <c r="B154" s="3">
        <f>+D86</f>
        <v>20852</v>
      </c>
      <c r="C154" s="79">
        <v>1.1900000000000001E-2</v>
      </c>
      <c r="D154" s="3">
        <f t="shared" si="5"/>
        <v>248</v>
      </c>
      <c r="E154" s="3"/>
      <c r="F154" s="3"/>
      <c r="G154" s="3"/>
      <c r="H154" s="3"/>
      <c r="I154" s="3"/>
      <c r="J154" s="3"/>
    </row>
    <row r="155" spans="1:10" hidden="1" x14ac:dyDescent="0.25">
      <c r="A155" s="3" t="s">
        <v>201</v>
      </c>
      <c r="B155" s="3">
        <f>+D91</f>
        <v>31184</v>
      </c>
      <c r="C155" s="79">
        <v>1.89E-2</v>
      </c>
      <c r="D155" s="3">
        <f t="shared" si="5"/>
        <v>589</v>
      </c>
      <c r="E155" s="3"/>
      <c r="F155" s="3"/>
      <c r="G155" s="3"/>
      <c r="H155" s="3"/>
      <c r="I155" s="3"/>
      <c r="J155" s="3"/>
    </row>
    <row r="156" spans="1:10" hidden="1" x14ac:dyDescent="0.25">
      <c r="A156" s="3" t="s">
        <v>354</v>
      </c>
      <c r="B156" s="3">
        <f>ROUND(D96*0.67,0)</f>
        <v>152503</v>
      </c>
      <c r="C156" s="79">
        <v>1.89E-2</v>
      </c>
      <c r="D156" s="3">
        <f t="shared" si="5"/>
        <v>2882</v>
      </c>
      <c r="E156" s="3"/>
      <c r="F156" s="3"/>
      <c r="G156" s="3"/>
      <c r="H156" s="3"/>
      <c r="I156" s="3"/>
      <c r="J156" s="3"/>
    </row>
    <row r="157" spans="1:10" hidden="1" x14ac:dyDescent="0.25">
      <c r="A157" s="3" t="s">
        <v>1279</v>
      </c>
      <c r="B157" s="3"/>
      <c r="C157" s="3"/>
      <c r="D157" s="3">
        <f>SUM(D149:D156)</f>
        <v>60824</v>
      </c>
      <c r="E157" s="3"/>
      <c r="F157" s="3"/>
      <c r="G157" s="3"/>
      <c r="H157" s="3"/>
      <c r="I157" s="3"/>
      <c r="J157" s="3"/>
    </row>
    <row r="158" spans="1:10" x14ac:dyDescent="0.25">
      <c r="A158" s="3"/>
      <c r="B158" s="3"/>
      <c r="C158" s="3"/>
      <c r="D158" s="3"/>
      <c r="E158" s="3"/>
      <c r="F158" s="3"/>
      <c r="G158" s="3"/>
      <c r="H158" s="3"/>
      <c r="I158" s="3"/>
      <c r="J158" s="3"/>
    </row>
    <row r="159" spans="1:10" ht="13.8" x14ac:dyDescent="0.3">
      <c r="A159" s="64" t="s">
        <v>157</v>
      </c>
      <c r="B159" s="3"/>
      <c r="C159" s="3"/>
      <c r="D159" s="3"/>
      <c r="E159" s="3">
        <v>2205</v>
      </c>
      <c r="F159" s="3">
        <v>2292</v>
      </c>
      <c r="G159" s="3">
        <v>1674</v>
      </c>
      <c r="H159" s="3">
        <v>1674</v>
      </c>
      <c r="I159" s="3">
        <v>1674</v>
      </c>
      <c r="J159" s="3">
        <v>1674</v>
      </c>
    </row>
    <row r="160" spans="1:10" hidden="1" x14ac:dyDescent="0.25">
      <c r="A160" s="3" t="s">
        <v>888</v>
      </c>
      <c r="B160" s="3">
        <v>4</v>
      </c>
      <c r="C160" s="3">
        <v>35</v>
      </c>
      <c r="D160" s="3">
        <f>ROUND(B160*C160,0)</f>
        <v>140</v>
      </c>
      <c r="E160" s="3"/>
      <c r="F160" s="3"/>
      <c r="G160" s="3"/>
      <c r="H160" s="3"/>
      <c r="I160" s="3"/>
      <c r="J160" s="3"/>
    </row>
    <row r="161" spans="1:10" hidden="1" x14ac:dyDescent="0.25">
      <c r="A161" s="3" t="s">
        <v>1511</v>
      </c>
      <c r="B161" s="3">
        <v>9</v>
      </c>
      <c r="C161" s="3">
        <v>35</v>
      </c>
      <c r="D161" s="3">
        <f>ROUND(B161*C161,0)</f>
        <v>315</v>
      </c>
      <c r="E161" s="3"/>
      <c r="F161" s="3"/>
      <c r="G161" s="3"/>
      <c r="H161" s="3"/>
      <c r="I161" s="3"/>
      <c r="J161" s="3"/>
    </row>
    <row r="162" spans="1:10" hidden="1" x14ac:dyDescent="0.25">
      <c r="A162" s="3" t="s">
        <v>831</v>
      </c>
      <c r="B162" s="3">
        <v>31.67</v>
      </c>
      <c r="C162" s="3">
        <v>35</v>
      </c>
      <c r="D162" s="3">
        <f>ROUND(B162*C162,0)</f>
        <v>1108</v>
      </c>
      <c r="E162" s="3"/>
      <c r="F162" s="3"/>
      <c r="G162" s="3"/>
      <c r="H162" s="3"/>
      <c r="I162" s="3"/>
      <c r="J162" s="3"/>
    </row>
    <row r="163" spans="1:10" hidden="1" x14ac:dyDescent="0.25">
      <c r="A163" s="3" t="s">
        <v>889</v>
      </c>
      <c r="B163" s="3">
        <v>1</v>
      </c>
      <c r="C163" s="3">
        <v>35</v>
      </c>
      <c r="D163" s="3">
        <f>ROUND(B163*C163,0)</f>
        <v>35</v>
      </c>
      <c r="E163" s="3"/>
      <c r="F163" s="3"/>
      <c r="G163" s="3"/>
      <c r="H163" s="3"/>
      <c r="I163" s="3"/>
      <c r="J163" s="3"/>
    </row>
    <row r="164" spans="1:10" hidden="1" x14ac:dyDescent="0.25">
      <c r="A164" s="3" t="s">
        <v>201</v>
      </c>
      <c r="B164" s="3">
        <f>+D91</f>
        <v>31184</v>
      </c>
      <c r="C164" s="3">
        <v>2.5000000000000001E-3</v>
      </c>
      <c r="D164" s="3">
        <f>ROUND(B164*C164,0)-2</f>
        <v>76</v>
      </c>
      <c r="E164" s="3"/>
      <c r="F164" s="3"/>
      <c r="G164" s="3"/>
      <c r="H164" s="3"/>
      <c r="I164" s="3"/>
      <c r="J164" s="3"/>
    </row>
    <row r="165" spans="1:10" hidden="1" x14ac:dyDescent="0.25">
      <c r="A165" s="3" t="s">
        <v>1279</v>
      </c>
      <c r="B165" s="3"/>
      <c r="C165" s="3"/>
      <c r="D165" s="3">
        <f>SUM(D160:D164)</f>
        <v>1674</v>
      </c>
      <c r="E165" s="3"/>
      <c r="F165" s="3"/>
      <c r="G165" s="3"/>
      <c r="H165" s="3"/>
      <c r="I165" s="3"/>
      <c r="J165" s="3"/>
    </row>
    <row r="166" spans="1:10" ht="13.8" x14ac:dyDescent="0.3">
      <c r="A166" s="201"/>
      <c r="B166" s="3"/>
      <c r="C166" s="3"/>
      <c r="D166" s="3"/>
      <c r="E166" s="3"/>
      <c r="F166" s="3"/>
      <c r="G166" s="3"/>
      <c r="H166" s="3"/>
      <c r="I166" s="3"/>
      <c r="J166" s="3"/>
    </row>
    <row r="167" spans="1:10" ht="13.8" x14ac:dyDescent="0.3">
      <c r="A167" s="64" t="s">
        <v>890</v>
      </c>
      <c r="B167" s="3"/>
      <c r="C167" s="3"/>
      <c r="D167" s="3"/>
      <c r="E167" s="3">
        <v>8584</v>
      </c>
      <c r="F167" s="3">
        <v>7599</v>
      </c>
      <c r="G167" s="3">
        <v>8599</v>
      </c>
      <c r="H167" s="3">
        <v>8599</v>
      </c>
      <c r="I167" s="3">
        <v>8599</v>
      </c>
      <c r="J167" s="3">
        <v>8599</v>
      </c>
    </row>
    <row r="168" spans="1:10" x14ac:dyDescent="0.25">
      <c r="A168" s="3" t="s">
        <v>891</v>
      </c>
      <c r="B168" s="3"/>
      <c r="C168" s="3"/>
      <c r="D168" s="3">
        <v>4038</v>
      </c>
      <c r="E168" s="3"/>
      <c r="F168" s="3"/>
      <c r="G168" s="3"/>
      <c r="H168" s="3"/>
      <c r="I168" s="3"/>
      <c r="J168" s="3"/>
    </row>
    <row r="169" spans="1:10" x14ac:dyDescent="0.25">
      <c r="A169" s="3" t="s">
        <v>1526</v>
      </c>
      <c r="B169" s="3"/>
      <c r="C169" s="3"/>
      <c r="D169" s="3">
        <v>2161</v>
      </c>
      <c r="E169" s="3"/>
      <c r="F169" s="3"/>
      <c r="G169" s="3"/>
      <c r="H169" s="3"/>
      <c r="I169" s="3"/>
      <c r="J169" s="3"/>
    </row>
    <row r="170" spans="1:10" ht="15" x14ac:dyDescent="0.4">
      <c r="A170" s="3" t="s">
        <v>1527</v>
      </c>
      <c r="B170" s="3"/>
      <c r="C170" s="3"/>
      <c r="D170" s="33">
        <v>2400</v>
      </c>
      <c r="E170" s="3"/>
      <c r="F170" s="3"/>
      <c r="G170" s="3"/>
      <c r="H170" s="3"/>
      <c r="I170" s="3"/>
      <c r="J170" s="3"/>
    </row>
    <row r="171" spans="1:10" x14ac:dyDescent="0.25">
      <c r="A171" s="3" t="s">
        <v>1279</v>
      </c>
      <c r="B171" s="3"/>
      <c r="C171" s="3"/>
      <c r="D171" s="3">
        <f>SUM(D168:D170)</f>
        <v>8599</v>
      </c>
      <c r="F171" s="3"/>
      <c r="G171" s="3"/>
      <c r="H171" s="3"/>
      <c r="I171" s="3"/>
      <c r="J171" s="3"/>
    </row>
    <row r="172" spans="1:10" x14ac:dyDescent="0.25">
      <c r="A172" s="3"/>
      <c r="B172" s="3"/>
      <c r="C172" s="3"/>
      <c r="D172" s="3"/>
      <c r="E172" s="3"/>
      <c r="F172" s="3"/>
      <c r="G172" s="3"/>
      <c r="H172" s="3"/>
      <c r="I172" s="3"/>
      <c r="J172" s="3"/>
    </row>
    <row r="173" spans="1:10" ht="13.8" x14ac:dyDescent="0.3">
      <c r="A173" s="64" t="s">
        <v>1528</v>
      </c>
      <c r="B173" s="3"/>
      <c r="C173" s="3"/>
      <c r="D173" s="3"/>
      <c r="E173" s="3">
        <v>16623</v>
      </c>
      <c r="F173" s="3">
        <v>13629</v>
      </c>
      <c r="G173" s="3">
        <v>14629</v>
      </c>
      <c r="H173" s="3">
        <v>14629</v>
      </c>
      <c r="I173" s="3">
        <v>14629</v>
      </c>
      <c r="J173" s="3">
        <v>14629</v>
      </c>
    </row>
    <row r="174" spans="1:10" x14ac:dyDescent="0.25">
      <c r="A174" s="3" t="s">
        <v>1529</v>
      </c>
      <c r="B174" s="3" t="s">
        <v>417</v>
      </c>
      <c r="C174" s="3"/>
      <c r="D174" s="3">
        <v>1600</v>
      </c>
      <c r="E174" s="3"/>
      <c r="F174" s="3"/>
      <c r="G174" s="3"/>
      <c r="H174" s="3"/>
      <c r="I174" s="3"/>
      <c r="J174" s="3"/>
    </row>
    <row r="175" spans="1:10" x14ac:dyDescent="0.25">
      <c r="A175" s="3" t="s">
        <v>935</v>
      </c>
      <c r="B175" s="3"/>
      <c r="C175" s="3"/>
      <c r="D175" s="3">
        <v>2100</v>
      </c>
      <c r="E175" s="3"/>
      <c r="F175" s="3"/>
      <c r="G175" s="3"/>
      <c r="H175" s="3"/>
      <c r="I175" s="3"/>
      <c r="J175" s="3"/>
    </row>
    <row r="176" spans="1:10" x14ac:dyDescent="0.25">
      <c r="A176" s="3" t="s">
        <v>936</v>
      </c>
      <c r="B176" s="3"/>
      <c r="C176" s="3"/>
      <c r="D176" s="3">
        <v>500</v>
      </c>
      <c r="E176" s="3"/>
      <c r="F176" s="3"/>
      <c r="G176" s="3"/>
      <c r="H176" s="3"/>
      <c r="I176" s="3"/>
      <c r="J176" s="3"/>
    </row>
    <row r="177" spans="1:10" ht="15" x14ac:dyDescent="0.4">
      <c r="A177" s="3" t="s">
        <v>203</v>
      </c>
      <c r="B177" s="3"/>
      <c r="C177" s="3"/>
      <c r="D177" s="33">
        <f>-431+10860</f>
        <v>10429</v>
      </c>
      <c r="E177" s="3"/>
      <c r="F177" s="3"/>
      <c r="G177" s="3"/>
      <c r="H177" s="3"/>
      <c r="I177" s="3"/>
      <c r="J177" s="3"/>
    </row>
    <row r="178" spans="1:10" x14ac:dyDescent="0.25">
      <c r="A178" s="3" t="s">
        <v>1279</v>
      </c>
      <c r="B178" s="3"/>
      <c r="C178" s="3"/>
      <c r="D178" s="3">
        <f>SUM(D174:D177)</f>
        <v>14629</v>
      </c>
      <c r="F178" s="3"/>
      <c r="G178" s="3"/>
      <c r="H178" s="3"/>
      <c r="I178" s="3"/>
      <c r="J178" s="3"/>
    </row>
    <row r="179" spans="1:10" x14ac:dyDescent="0.25">
      <c r="A179" s="3"/>
      <c r="B179" s="3"/>
      <c r="C179" s="3"/>
      <c r="D179" s="3"/>
      <c r="E179" s="3"/>
      <c r="F179" s="3"/>
      <c r="G179" s="3"/>
      <c r="H179" s="3"/>
      <c r="I179" s="3"/>
      <c r="J179" s="3"/>
    </row>
    <row r="180" spans="1:10" ht="13.8" x14ac:dyDescent="0.3">
      <c r="A180" s="64" t="s">
        <v>518</v>
      </c>
      <c r="B180" s="3"/>
      <c r="C180" s="3"/>
      <c r="D180" s="3"/>
      <c r="E180" s="3">
        <v>55985</v>
      </c>
      <c r="F180" s="3">
        <v>52250</v>
      </c>
      <c r="G180" s="3">
        <v>39450</v>
      </c>
      <c r="H180" s="3">
        <v>39450</v>
      </c>
      <c r="I180" s="3">
        <v>39450</v>
      </c>
      <c r="J180" s="3">
        <v>42650</v>
      </c>
    </row>
    <row r="181" spans="1:10" x14ac:dyDescent="0.25">
      <c r="A181" s="3" t="s">
        <v>519</v>
      </c>
      <c r="B181" s="3">
        <v>1</v>
      </c>
      <c r="C181" s="3">
        <v>900</v>
      </c>
      <c r="D181" s="3">
        <f>ROUND(B181*C181,0)</f>
        <v>900</v>
      </c>
      <c r="E181" s="3"/>
      <c r="F181" s="3"/>
      <c r="G181" s="3"/>
      <c r="H181" s="3"/>
      <c r="I181" s="3"/>
      <c r="J181" s="3"/>
    </row>
    <row r="182" spans="1:10" x14ac:dyDescent="0.25">
      <c r="A182" s="3" t="s">
        <v>1440</v>
      </c>
      <c r="B182" s="3" t="s">
        <v>417</v>
      </c>
      <c r="C182" s="3" t="s">
        <v>417</v>
      </c>
      <c r="D182" s="3" t="s">
        <v>417</v>
      </c>
      <c r="E182" s="3"/>
      <c r="F182" s="3"/>
      <c r="G182" s="3"/>
      <c r="H182" s="3"/>
      <c r="I182" s="3"/>
      <c r="J182" s="3"/>
    </row>
    <row r="183" spans="1:10" x14ac:dyDescent="0.25">
      <c r="A183" s="3" t="s">
        <v>1250</v>
      </c>
      <c r="B183" s="3">
        <v>10</v>
      </c>
      <c r="C183" s="3">
        <v>600</v>
      </c>
      <c r="D183" s="3">
        <f t="shared" ref="D183:D194" si="6">ROUND(B183*C183,0)</f>
        <v>6000</v>
      </c>
      <c r="E183" s="3"/>
      <c r="F183" s="3"/>
      <c r="G183" s="3"/>
      <c r="H183" s="3"/>
      <c r="I183" s="3"/>
      <c r="J183" s="3"/>
    </row>
    <row r="184" spans="1:10" x14ac:dyDescent="0.25">
      <c r="A184" s="3" t="s">
        <v>1251</v>
      </c>
      <c r="B184" s="3">
        <v>10</v>
      </c>
      <c r="C184" s="3">
        <v>700</v>
      </c>
      <c r="D184" s="3">
        <f t="shared" si="6"/>
        <v>7000</v>
      </c>
      <c r="E184" s="3"/>
      <c r="F184" s="3"/>
      <c r="G184" s="3"/>
      <c r="H184" s="3"/>
      <c r="I184" s="3"/>
      <c r="J184" s="3"/>
    </row>
    <row r="185" spans="1:10" x14ac:dyDescent="0.25">
      <c r="A185" s="3" t="s">
        <v>1252</v>
      </c>
      <c r="B185" s="3">
        <v>6</v>
      </c>
      <c r="C185" s="3">
        <v>800</v>
      </c>
      <c r="D185" s="3">
        <f t="shared" si="6"/>
        <v>4800</v>
      </c>
      <c r="E185" s="3"/>
      <c r="F185" s="3"/>
      <c r="G185" s="3"/>
      <c r="H185" s="3"/>
      <c r="I185" s="3"/>
      <c r="J185" s="3"/>
    </row>
    <row r="186" spans="1:10" x14ac:dyDescent="0.25">
      <c r="A186" s="3" t="s">
        <v>1253</v>
      </c>
      <c r="B186" s="3">
        <v>1</v>
      </c>
      <c r="C186" s="3">
        <v>100</v>
      </c>
      <c r="D186" s="3">
        <f t="shared" si="6"/>
        <v>100</v>
      </c>
      <c r="E186" s="3"/>
      <c r="F186" s="3"/>
      <c r="G186" s="3"/>
      <c r="H186" s="3"/>
      <c r="I186" s="3"/>
      <c r="J186" s="3"/>
    </row>
    <row r="187" spans="1:10" x14ac:dyDescent="0.25">
      <c r="A187" s="3" t="s">
        <v>520</v>
      </c>
      <c r="B187" s="3">
        <v>7</v>
      </c>
      <c r="C187" s="3">
        <v>900</v>
      </c>
      <c r="D187" s="3">
        <f t="shared" si="6"/>
        <v>6300</v>
      </c>
      <c r="E187" s="3"/>
      <c r="F187" s="3"/>
      <c r="G187" s="3"/>
      <c r="H187" s="3"/>
      <c r="I187" s="3"/>
      <c r="J187" s="3"/>
    </row>
    <row r="188" spans="1:10" x14ac:dyDescent="0.25">
      <c r="A188" s="3" t="s">
        <v>1479</v>
      </c>
      <c r="B188" s="3">
        <v>14</v>
      </c>
      <c r="C188" s="3">
        <v>400</v>
      </c>
      <c r="D188" s="3">
        <f t="shared" si="6"/>
        <v>5600</v>
      </c>
      <c r="E188" s="3"/>
      <c r="F188" s="180"/>
      <c r="G188" s="3"/>
      <c r="H188" s="3"/>
      <c r="I188" s="3"/>
      <c r="J188" s="3"/>
    </row>
    <row r="189" spans="1:10" x14ac:dyDescent="0.25">
      <c r="A189" s="3" t="s">
        <v>2264</v>
      </c>
      <c r="B189" s="3">
        <v>1</v>
      </c>
      <c r="C189" s="3">
        <v>350</v>
      </c>
      <c r="D189" s="3">
        <f t="shared" si="6"/>
        <v>350</v>
      </c>
      <c r="E189" s="3"/>
      <c r="F189" s="3"/>
      <c r="G189" s="3"/>
      <c r="H189" s="3"/>
      <c r="I189" s="3"/>
      <c r="J189" s="3"/>
    </row>
    <row r="190" spans="1:10" x14ac:dyDescent="0.25">
      <c r="A190" s="3" t="s">
        <v>1445</v>
      </c>
      <c r="B190" s="3">
        <v>3</v>
      </c>
      <c r="C190" s="3">
        <v>200</v>
      </c>
      <c r="D190" s="3">
        <f t="shared" si="6"/>
        <v>600</v>
      </c>
      <c r="E190" s="3"/>
      <c r="F190" s="3"/>
      <c r="G190" s="3"/>
      <c r="H190" s="3"/>
      <c r="I190" s="3"/>
      <c r="J190" s="3"/>
    </row>
    <row r="191" spans="1:10" x14ac:dyDescent="0.25">
      <c r="A191" s="3" t="s">
        <v>34</v>
      </c>
      <c r="B191" s="3">
        <v>0</v>
      </c>
      <c r="C191" s="3">
        <v>200</v>
      </c>
      <c r="D191" s="3">
        <f t="shared" si="6"/>
        <v>0</v>
      </c>
      <c r="E191" s="3"/>
      <c r="F191" s="3"/>
      <c r="G191" s="3"/>
      <c r="H191" s="3"/>
      <c r="I191" s="3"/>
      <c r="J191" s="3"/>
    </row>
    <row r="192" spans="1:10" x14ac:dyDescent="0.25">
      <c r="A192" s="3" t="s">
        <v>837</v>
      </c>
      <c r="B192" s="3">
        <v>39</v>
      </c>
      <c r="C192" s="3">
        <v>200</v>
      </c>
      <c r="D192" s="3">
        <f t="shared" si="6"/>
        <v>7800</v>
      </c>
      <c r="E192" s="3"/>
      <c r="F192" s="3"/>
      <c r="G192" s="3"/>
      <c r="H192" s="3"/>
      <c r="I192" s="3"/>
      <c r="J192" s="3"/>
    </row>
    <row r="193" spans="1:10" x14ac:dyDescent="0.25">
      <c r="A193" s="3" t="s">
        <v>2277</v>
      </c>
      <c r="B193" s="3">
        <v>32</v>
      </c>
      <c r="C193" s="3">
        <v>100</v>
      </c>
      <c r="D193" s="3">
        <f t="shared" si="6"/>
        <v>3200</v>
      </c>
      <c r="E193" s="3"/>
      <c r="F193" s="3"/>
      <c r="G193" s="3"/>
      <c r="H193" s="3"/>
      <c r="I193" s="3"/>
      <c r="J193" s="3"/>
    </row>
    <row r="194" spans="1:10" ht="15" x14ac:dyDescent="0.4">
      <c r="A194" s="3" t="s">
        <v>838</v>
      </c>
      <c r="B194" s="3">
        <v>0</v>
      </c>
      <c r="C194" s="3">
        <v>0</v>
      </c>
      <c r="D194" s="33">
        <f t="shared" si="6"/>
        <v>0</v>
      </c>
      <c r="E194" s="3"/>
      <c r="F194" s="3"/>
      <c r="G194" s="3"/>
      <c r="H194" s="3"/>
      <c r="I194" s="3"/>
      <c r="J194" s="3"/>
    </row>
    <row r="195" spans="1:10" x14ac:dyDescent="0.25">
      <c r="A195" s="3" t="s">
        <v>1279</v>
      </c>
      <c r="B195" s="3"/>
      <c r="C195" s="3"/>
      <c r="D195" s="3">
        <f>SUM(D181:D194)</f>
        <v>42650</v>
      </c>
      <c r="F195" s="3"/>
      <c r="G195" s="3"/>
      <c r="H195" s="3"/>
      <c r="I195" s="3"/>
      <c r="J195" s="3"/>
    </row>
    <row r="196" spans="1:10" x14ac:dyDescent="0.25">
      <c r="C196" s="3"/>
      <c r="D196" s="3"/>
      <c r="E196" s="3"/>
      <c r="F196" s="3"/>
      <c r="G196" s="3"/>
      <c r="H196" s="3"/>
      <c r="I196" s="3"/>
      <c r="J196" s="3"/>
    </row>
    <row r="197" spans="1:10" ht="13.8" x14ac:dyDescent="0.3">
      <c r="A197" s="64" t="s">
        <v>839</v>
      </c>
      <c r="C197" s="3"/>
      <c r="D197" s="3"/>
      <c r="E197" s="3">
        <v>3351</v>
      </c>
      <c r="F197" s="3">
        <v>2019</v>
      </c>
      <c r="G197" s="3">
        <v>2019</v>
      </c>
      <c r="H197" s="3">
        <v>2019</v>
      </c>
      <c r="I197" s="3">
        <v>2019</v>
      </c>
      <c r="J197" s="3">
        <v>2019</v>
      </c>
    </row>
    <row r="198" spans="1:10" x14ac:dyDescent="0.25">
      <c r="A198" s="63" t="s">
        <v>840</v>
      </c>
      <c r="C198" s="3"/>
      <c r="D198" s="3">
        <v>2019</v>
      </c>
      <c r="F198" s="3"/>
      <c r="G198" s="3"/>
      <c r="H198" s="3"/>
      <c r="I198" s="3"/>
      <c r="J198" s="3"/>
    </row>
    <row r="199" spans="1:10" x14ac:dyDescent="0.25">
      <c r="C199" s="3"/>
      <c r="D199" s="3"/>
      <c r="E199" s="3"/>
      <c r="F199" s="3"/>
      <c r="G199" s="3"/>
      <c r="H199" s="3"/>
      <c r="I199" s="3"/>
      <c r="J199" s="3"/>
    </row>
    <row r="200" spans="1:10" ht="13.8" x14ac:dyDescent="0.3">
      <c r="A200" s="64" t="s">
        <v>747</v>
      </c>
      <c r="C200" s="3"/>
      <c r="D200" s="3"/>
      <c r="E200" s="3">
        <v>2218.5</v>
      </c>
      <c r="F200" s="3">
        <v>2500</v>
      </c>
      <c r="G200" s="3">
        <v>2350</v>
      </c>
      <c r="H200" s="3">
        <v>2350</v>
      </c>
      <c r="I200" s="3">
        <v>2350</v>
      </c>
      <c r="J200" s="3">
        <v>2350</v>
      </c>
    </row>
    <row r="201" spans="1:10" x14ac:dyDescent="0.25">
      <c r="A201" s="63" t="s">
        <v>339</v>
      </c>
      <c r="B201" s="3" t="s">
        <v>417</v>
      </c>
      <c r="C201" s="3"/>
      <c r="D201" s="3">
        <v>2350</v>
      </c>
      <c r="F201" s="3"/>
      <c r="G201" s="3"/>
      <c r="H201" s="3"/>
      <c r="I201" s="3"/>
      <c r="J201" s="3"/>
    </row>
    <row r="202" spans="1:10" x14ac:dyDescent="0.25">
      <c r="C202" s="3"/>
      <c r="D202" s="3"/>
      <c r="E202" s="3"/>
      <c r="F202" s="3"/>
      <c r="G202" s="3"/>
      <c r="H202" s="3"/>
      <c r="I202" s="3"/>
      <c r="J202" s="3"/>
    </row>
    <row r="203" spans="1:10" ht="13.8" x14ac:dyDescent="0.3">
      <c r="A203" s="64" t="s">
        <v>1534</v>
      </c>
      <c r="C203" s="3"/>
      <c r="D203" s="3"/>
      <c r="E203" s="3">
        <v>20971</v>
      </c>
      <c r="F203" s="3">
        <v>22834</v>
      </c>
      <c r="G203" s="3">
        <v>24000</v>
      </c>
      <c r="H203" s="3">
        <v>24000</v>
      </c>
      <c r="I203" s="3">
        <v>24000</v>
      </c>
      <c r="J203" s="3">
        <v>24000</v>
      </c>
    </row>
    <row r="204" spans="1:10" x14ac:dyDescent="0.25">
      <c r="A204" s="63" t="s">
        <v>2196</v>
      </c>
      <c r="C204" s="3"/>
      <c r="D204" s="3">
        <v>1375</v>
      </c>
      <c r="E204" s="3"/>
      <c r="F204" s="3"/>
      <c r="G204" s="3"/>
      <c r="H204" s="3"/>
      <c r="I204" s="3"/>
      <c r="J204" s="3"/>
    </row>
    <row r="205" spans="1:10" ht="15" x14ac:dyDescent="0.4">
      <c r="A205" s="63" t="s">
        <v>899</v>
      </c>
      <c r="C205" s="3"/>
      <c r="D205" s="33">
        <v>22625</v>
      </c>
      <c r="E205" s="3"/>
      <c r="F205" s="3"/>
      <c r="G205" s="3"/>
      <c r="H205" s="3"/>
      <c r="I205" s="3"/>
      <c r="J205" s="3"/>
    </row>
    <row r="206" spans="1:10" x14ac:dyDescent="0.25">
      <c r="A206" s="63" t="s">
        <v>1279</v>
      </c>
      <c r="C206" s="3"/>
      <c r="D206" s="3">
        <f>SUM(D204:D205)</f>
        <v>24000</v>
      </c>
      <c r="E206" s="3"/>
      <c r="F206" s="3"/>
      <c r="G206" s="3"/>
      <c r="H206" s="3"/>
      <c r="I206" s="3"/>
      <c r="J206" s="3"/>
    </row>
    <row r="207" spans="1:10" x14ac:dyDescent="0.25">
      <c r="C207" s="3"/>
      <c r="D207" s="3"/>
      <c r="E207" s="3"/>
      <c r="F207" s="3"/>
      <c r="G207" s="3"/>
      <c r="H207" s="3"/>
      <c r="I207" s="3"/>
      <c r="J207" s="3"/>
    </row>
    <row r="208" spans="1:10" ht="13.8" x14ac:dyDescent="0.3">
      <c r="A208" s="64" t="s">
        <v>404</v>
      </c>
      <c r="C208" s="3"/>
      <c r="D208" s="3"/>
      <c r="E208" s="3">
        <v>4218</v>
      </c>
      <c r="F208" s="3">
        <v>5175</v>
      </c>
      <c r="G208" s="3">
        <v>4800</v>
      </c>
      <c r="H208" s="3">
        <v>4800</v>
      </c>
      <c r="I208" s="3">
        <v>4800</v>
      </c>
      <c r="J208" s="3">
        <v>4800</v>
      </c>
    </row>
    <row r="209" spans="1:10" x14ac:dyDescent="0.25">
      <c r="A209" s="63" t="s">
        <v>899</v>
      </c>
      <c r="C209" s="3"/>
      <c r="D209" s="3">
        <v>4800</v>
      </c>
      <c r="F209" s="3"/>
      <c r="G209" s="3"/>
      <c r="H209" s="3"/>
      <c r="I209" s="3"/>
      <c r="J209" s="3"/>
    </row>
    <row r="210" spans="1:10" x14ac:dyDescent="0.25">
      <c r="D210" s="3"/>
      <c r="E210" s="3"/>
      <c r="F210" s="3"/>
      <c r="G210" s="3"/>
      <c r="H210" s="3"/>
      <c r="I210" s="3"/>
      <c r="J210" s="3"/>
    </row>
    <row r="211" spans="1:10" ht="13.8" x14ac:dyDescent="0.3">
      <c r="A211" s="64" t="s">
        <v>1535</v>
      </c>
      <c r="D211" s="3"/>
      <c r="E211" s="3">
        <v>1277</v>
      </c>
      <c r="F211" s="3">
        <v>1320</v>
      </c>
      <c r="G211" s="3">
        <v>1280</v>
      </c>
      <c r="H211" s="3">
        <v>1280</v>
      </c>
      <c r="I211" s="3">
        <v>1280</v>
      </c>
      <c r="J211" s="3">
        <v>1280</v>
      </c>
    </row>
    <row r="212" spans="1:10" x14ac:dyDescent="0.25">
      <c r="A212" s="63" t="s">
        <v>899</v>
      </c>
      <c r="C212" s="3"/>
      <c r="D212" s="3">
        <v>1280</v>
      </c>
      <c r="F212" s="3"/>
      <c r="G212" s="3"/>
      <c r="H212" s="3"/>
      <c r="I212" s="3"/>
      <c r="J212" s="3"/>
    </row>
    <row r="213" spans="1:10" x14ac:dyDescent="0.25">
      <c r="C213" s="3"/>
      <c r="D213" s="3"/>
      <c r="E213" s="3"/>
      <c r="F213" s="3"/>
      <c r="G213" s="3"/>
      <c r="H213" s="3"/>
      <c r="I213" s="3"/>
      <c r="J213" s="3"/>
    </row>
    <row r="214" spans="1:10" ht="13.8" x14ac:dyDescent="0.3">
      <c r="A214" s="64" t="s">
        <v>1536</v>
      </c>
      <c r="C214" s="3"/>
      <c r="D214" s="3"/>
      <c r="E214" s="3">
        <v>226</v>
      </c>
      <c r="F214" s="3">
        <v>226</v>
      </c>
      <c r="G214" s="3">
        <v>242</v>
      </c>
      <c r="H214" s="3">
        <v>242</v>
      </c>
      <c r="I214" s="3">
        <v>242</v>
      </c>
      <c r="J214" s="3">
        <v>242</v>
      </c>
    </row>
    <row r="215" spans="1:10" x14ac:dyDescent="0.25">
      <c r="A215" s="63" t="s">
        <v>899</v>
      </c>
      <c r="C215" s="3"/>
      <c r="D215" s="3">
        <v>242</v>
      </c>
      <c r="F215" s="3"/>
      <c r="G215" s="3"/>
      <c r="H215" s="3"/>
      <c r="I215" s="3"/>
      <c r="J215" s="3"/>
    </row>
    <row r="216" spans="1:10" x14ac:dyDescent="0.25">
      <c r="C216" s="3"/>
      <c r="D216" s="3"/>
      <c r="E216" s="3"/>
      <c r="F216" s="3"/>
      <c r="G216" s="3"/>
      <c r="H216" s="3"/>
      <c r="I216" s="3"/>
      <c r="J216" s="3"/>
    </row>
    <row r="217" spans="1:10" x14ac:dyDescent="0.25">
      <c r="C217" s="3"/>
      <c r="D217" s="3"/>
      <c r="E217" s="3"/>
      <c r="F217" s="3"/>
      <c r="G217" s="3"/>
      <c r="H217" s="3"/>
      <c r="I217" s="3"/>
      <c r="J217" s="3"/>
    </row>
    <row r="218" spans="1:10" ht="13.8" x14ac:dyDescent="0.3">
      <c r="A218" s="64" t="s">
        <v>1013</v>
      </c>
      <c r="C218" s="3"/>
      <c r="D218" s="3"/>
      <c r="E218" s="3">
        <v>51930</v>
      </c>
      <c r="F218" s="3">
        <v>63994</v>
      </c>
      <c r="G218" s="3">
        <v>62894</v>
      </c>
      <c r="H218" s="3">
        <v>62894</v>
      </c>
      <c r="I218" s="3">
        <v>62894</v>
      </c>
      <c r="J218" s="3">
        <v>62894</v>
      </c>
    </row>
    <row r="219" spans="1:10" x14ac:dyDescent="0.25">
      <c r="A219" s="63" t="s">
        <v>1317</v>
      </c>
      <c r="B219" s="3">
        <v>25000</v>
      </c>
      <c r="C219" s="66">
        <v>2.5</v>
      </c>
      <c r="D219" s="3">
        <f>ROUND(B219*C219,0)+394</f>
        <v>62894</v>
      </c>
      <c r="F219" s="3"/>
      <c r="G219" s="3"/>
      <c r="H219" s="3"/>
      <c r="I219" s="3"/>
      <c r="J219" s="3"/>
    </row>
    <row r="220" spans="1:10" x14ac:dyDescent="0.25">
      <c r="B220" s="3"/>
      <c r="C220" s="3"/>
      <c r="D220" s="3"/>
      <c r="E220" s="3"/>
      <c r="F220" s="3"/>
      <c r="G220" s="3"/>
      <c r="H220" s="3"/>
      <c r="I220" s="3"/>
      <c r="J220" s="3"/>
    </row>
    <row r="221" spans="1:10" ht="13.8" x14ac:dyDescent="0.3">
      <c r="A221" s="64" t="s">
        <v>1014</v>
      </c>
      <c r="C221" s="75" t="s">
        <v>417</v>
      </c>
      <c r="D221" s="75" t="s">
        <v>417</v>
      </c>
      <c r="E221" s="3">
        <v>6732</v>
      </c>
      <c r="F221" s="3">
        <v>4760</v>
      </c>
      <c r="G221" s="3">
        <v>4760</v>
      </c>
      <c r="H221" s="3">
        <v>4760</v>
      </c>
      <c r="I221" s="3">
        <v>4760</v>
      </c>
      <c r="J221" s="3">
        <v>4760</v>
      </c>
    </row>
    <row r="222" spans="1:10" x14ac:dyDescent="0.25">
      <c r="A222" s="63" t="s">
        <v>368</v>
      </c>
      <c r="B222" s="3" t="s">
        <v>417</v>
      </c>
      <c r="C222" s="3"/>
      <c r="D222" s="3">
        <v>200</v>
      </c>
      <c r="E222" s="3"/>
      <c r="F222" s="3"/>
      <c r="G222" s="3"/>
      <c r="H222" s="3"/>
      <c r="I222" s="3"/>
      <c r="J222" s="3"/>
    </row>
    <row r="223" spans="1:10" x14ac:dyDescent="0.25">
      <c r="A223" s="63" t="s">
        <v>502</v>
      </c>
      <c r="C223" s="3"/>
      <c r="D223" s="3">
        <v>250</v>
      </c>
      <c r="E223" s="3"/>
      <c r="F223" s="3"/>
      <c r="G223" s="3"/>
      <c r="H223" s="3"/>
      <c r="I223" s="3"/>
      <c r="J223" s="3"/>
    </row>
    <row r="224" spans="1:10" x14ac:dyDescent="0.25">
      <c r="A224" s="63" t="s">
        <v>823</v>
      </c>
      <c r="C224" s="3"/>
      <c r="D224" s="3">
        <v>100</v>
      </c>
      <c r="E224" s="3"/>
      <c r="F224" s="3"/>
      <c r="G224" s="3"/>
      <c r="H224" s="3"/>
      <c r="I224" s="3"/>
      <c r="J224" s="3"/>
    </row>
    <row r="225" spans="1:10" x14ac:dyDescent="0.25">
      <c r="A225" s="63" t="s">
        <v>35</v>
      </c>
      <c r="C225" s="3"/>
      <c r="D225" s="3">
        <v>3000</v>
      </c>
      <c r="E225" s="3"/>
      <c r="F225" s="3"/>
      <c r="G225" s="3"/>
      <c r="H225" s="3"/>
      <c r="I225" s="3"/>
      <c r="J225" s="3"/>
    </row>
    <row r="226" spans="1:10" x14ac:dyDescent="0.25">
      <c r="A226" s="63" t="s">
        <v>1657</v>
      </c>
      <c r="C226" s="3"/>
      <c r="D226" s="3">
        <v>450</v>
      </c>
      <c r="E226" s="3"/>
      <c r="F226" s="3"/>
      <c r="G226" s="3"/>
      <c r="H226" s="3"/>
      <c r="I226" s="3"/>
      <c r="J226" s="3"/>
    </row>
    <row r="227" spans="1:10" ht="15" x14ac:dyDescent="0.4">
      <c r="A227" s="63" t="s">
        <v>1553</v>
      </c>
      <c r="C227" s="33"/>
      <c r="D227" s="3">
        <v>160</v>
      </c>
      <c r="E227" s="3"/>
      <c r="F227" s="3"/>
      <c r="G227" s="3"/>
      <c r="H227" s="3"/>
      <c r="I227" s="3"/>
      <c r="J227" s="3"/>
    </row>
    <row r="228" spans="1:10" ht="15" x14ac:dyDescent="0.4">
      <c r="A228" s="63" t="s">
        <v>1769</v>
      </c>
      <c r="C228" s="33"/>
      <c r="D228" s="33">
        <v>600</v>
      </c>
      <c r="E228" s="3"/>
      <c r="F228" s="3"/>
      <c r="G228" s="3"/>
      <c r="H228" s="3"/>
      <c r="I228" s="3"/>
      <c r="J228" s="3"/>
    </row>
    <row r="229" spans="1:10" x14ac:dyDescent="0.25">
      <c r="A229" s="63" t="s">
        <v>1279</v>
      </c>
      <c r="C229" s="3"/>
      <c r="D229" s="3">
        <f>SUM(D222:D228)</f>
        <v>4760</v>
      </c>
      <c r="F229" s="3"/>
      <c r="G229" s="3"/>
      <c r="H229" s="3"/>
      <c r="I229" s="3"/>
      <c r="J229" s="3"/>
    </row>
    <row r="230" spans="1:10" x14ac:dyDescent="0.25">
      <c r="C230" s="3"/>
      <c r="D230" s="3"/>
      <c r="F230" s="3"/>
      <c r="G230" s="3"/>
      <c r="H230" s="3"/>
      <c r="I230" s="3"/>
      <c r="J230" s="3"/>
    </row>
    <row r="231" spans="1:10" x14ac:dyDescent="0.25">
      <c r="C231" s="3"/>
      <c r="D231" s="3"/>
      <c r="F231" s="3"/>
      <c r="G231" s="3"/>
      <c r="H231" s="3"/>
      <c r="I231" s="3"/>
      <c r="J231" s="3"/>
    </row>
    <row r="232" spans="1:10" ht="13.8" x14ac:dyDescent="0.3">
      <c r="A232" s="200" t="s">
        <v>867</v>
      </c>
      <c r="C232" s="75"/>
      <c r="D232" s="75" t="s">
        <v>417</v>
      </c>
      <c r="E232" s="3">
        <v>50858</v>
      </c>
      <c r="F232" s="3">
        <v>46346</v>
      </c>
      <c r="G232" s="3">
        <v>59860</v>
      </c>
      <c r="H232" s="3">
        <v>56269</v>
      </c>
      <c r="I232" s="3">
        <v>56269</v>
      </c>
      <c r="J232" s="3">
        <v>56269</v>
      </c>
    </row>
    <row r="233" spans="1:10" x14ac:dyDescent="0.25">
      <c r="A233" s="63" t="s">
        <v>1085</v>
      </c>
      <c r="C233" s="3"/>
      <c r="D233" s="3">
        <v>56269</v>
      </c>
      <c r="F233" s="3"/>
      <c r="G233" s="3"/>
      <c r="H233" s="3"/>
      <c r="I233" s="3"/>
      <c r="J233" s="3"/>
    </row>
    <row r="234" spans="1:10" x14ac:dyDescent="0.25">
      <c r="C234" s="3"/>
      <c r="D234" s="3"/>
      <c r="E234" s="3"/>
      <c r="F234" s="3"/>
      <c r="G234" s="3"/>
      <c r="H234" s="3"/>
      <c r="I234" s="3"/>
      <c r="J234" s="3"/>
    </row>
    <row r="235" spans="1:10" ht="13.8" x14ac:dyDescent="0.3">
      <c r="A235" s="64" t="s">
        <v>868</v>
      </c>
      <c r="C235" s="75"/>
      <c r="D235" s="75" t="s">
        <v>417</v>
      </c>
      <c r="E235" s="3">
        <v>2555.6</v>
      </c>
      <c r="F235" s="3">
        <v>2850</v>
      </c>
      <c r="G235" s="3">
        <v>5350</v>
      </c>
      <c r="H235" s="3">
        <v>5350</v>
      </c>
      <c r="I235" s="3">
        <v>5350</v>
      </c>
      <c r="J235" s="3">
        <v>5350</v>
      </c>
    </row>
    <row r="236" spans="1:10" x14ac:dyDescent="0.25">
      <c r="A236" s="63" t="s">
        <v>869</v>
      </c>
      <c r="C236" s="3"/>
      <c r="D236" s="3">
        <v>5000</v>
      </c>
      <c r="E236" s="3"/>
      <c r="F236" s="3"/>
      <c r="G236" s="3"/>
      <c r="H236" s="3"/>
      <c r="I236" s="3"/>
      <c r="J236" s="3"/>
    </row>
    <row r="237" spans="1:10" ht="15" x14ac:dyDescent="0.4">
      <c r="A237" s="63" t="s">
        <v>569</v>
      </c>
      <c r="C237" s="33"/>
      <c r="D237" s="33">
        <v>350</v>
      </c>
      <c r="E237" s="3"/>
      <c r="F237" s="3"/>
      <c r="G237" s="3"/>
      <c r="H237" s="3"/>
      <c r="I237" s="3"/>
      <c r="J237" s="3"/>
    </row>
    <row r="238" spans="1:10" x14ac:dyDescent="0.25">
      <c r="A238" s="63" t="s">
        <v>1279</v>
      </c>
      <c r="C238" s="3"/>
      <c r="D238" s="3">
        <f>SUM(D236:D237)</f>
        <v>5350</v>
      </c>
      <c r="F238" s="3"/>
      <c r="G238" s="3"/>
      <c r="H238" s="3"/>
      <c r="I238" s="3"/>
      <c r="J238" s="3"/>
    </row>
    <row r="239" spans="1:10" x14ac:dyDescent="0.25">
      <c r="C239" s="3"/>
      <c r="D239" s="3"/>
      <c r="E239" s="3"/>
      <c r="F239" s="3"/>
      <c r="G239" s="3"/>
      <c r="H239" s="3"/>
      <c r="I239" s="3"/>
      <c r="J239" s="3"/>
    </row>
    <row r="240" spans="1:10" ht="13.8" x14ac:dyDescent="0.3">
      <c r="A240" s="64" t="s">
        <v>670</v>
      </c>
      <c r="C240" s="3"/>
      <c r="D240" s="3"/>
      <c r="E240" s="3">
        <v>12233</v>
      </c>
      <c r="F240" s="3">
        <v>45000</v>
      </c>
      <c r="G240" s="3">
        <v>45000</v>
      </c>
      <c r="H240" s="3">
        <v>15000</v>
      </c>
      <c r="I240" s="3">
        <v>15000</v>
      </c>
      <c r="J240" s="3">
        <v>15000</v>
      </c>
    </row>
    <row r="241" spans="1:10" x14ac:dyDescent="0.25">
      <c r="A241" s="43" t="s">
        <v>1658</v>
      </c>
      <c r="C241" s="3"/>
      <c r="D241" s="3">
        <v>15000</v>
      </c>
      <c r="E241" s="3"/>
      <c r="F241" s="3"/>
      <c r="G241" s="3"/>
      <c r="H241" s="3"/>
      <c r="I241" s="3"/>
      <c r="J241" s="3"/>
    </row>
    <row r="242" spans="1:10" x14ac:dyDescent="0.25">
      <c r="C242" s="3"/>
      <c r="D242" s="3"/>
      <c r="E242" s="3"/>
      <c r="F242" s="3"/>
      <c r="G242" s="3"/>
      <c r="H242" s="3"/>
      <c r="I242" s="3"/>
      <c r="J242" s="3"/>
    </row>
    <row r="243" spans="1:10" ht="13.8" x14ac:dyDescent="0.3">
      <c r="A243" s="64" t="s">
        <v>570</v>
      </c>
      <c r="C243" s="3"/>
      <c r="D243" s="3"/>
      <c r="E243" s="3">
        <v>19377.560000000001</v>
      </c>
      <c r="F243" s="3">
        <v>35000</v>
      </c>
      <c r="G243" s="3">
        <v>22500</v>
      </c>
      <c r="H243" s="3">
        <v>22500</v>
      </c>
      <c r="I243" s="3">
        <v>22500</v>
      </c>
      <c r="J243" s="3">
        <v>22500</v>
      </c>
    </row>
    <row r="244" spans="1:10" x14ac:dyDescent="0.25">
      <c r="A244" s="63" t="s">
        <v>571</v>
      </c>
      <c r="C244" s="3"/>
      <c r="D244" s="3">
        <v>22500</v>
      </c>
      <c r="E244" s="3"/>
      <c r="F244" s="3"/>
      <c r="G244" s="3"/>
      <c r="H244" s="3"/>
      <c r="I244" s="3"/>
      <c r="J244" s="3"/>
    </row>
    <row r="245" spans="1:10" x14ac:dyDescent="0.25">
      <c r="C245" s="3"/>
      <c r="D245" s="3"/>
      <c r="E245" s="3"/>
      <c r="F245" s="3"/>
      <c r="G245" s="3"/>
      <c r="H245" s="3"/>
      <c r="I245" s="3"/>
      <c r="J245" s="3"/>
    </row>
    <row r="246" spans="1:10" ht="13.8" x14ac:dyDescent="0.3">
      <c r="A246" s="64" t="s">
        <v>832</v>
      </c>
      <c r="C246" s="3"/>
      <c r="D246" s="3"/>
      <c r="E246" s="3">
        <v>4073</v>
      </c>
      <c r="F246" s="3">
        <v>4337</v>
      </c>
      <c r="G246" s="3">
        <v>5337</v>
      </c>
      <c r="H246" s="3">
        <v>5337</v>
      </c>
      <c r="I246" s="3">
        <v>5337</v>
      </c>
      <c r="J246" s="3">
        <v>5337</v>
      </c>
    </row>
    <row r="247" spans="1:10" x14ac:dyDescent="0.25">
      <c r="A247" s="63" t="s">
        <v>833</v>
      </c>
      <c r="C247" s="3"/>
      <c r="D247" s="3">
        <v>3432</v>
      </c>
      <c r="E247" s="3"/>
      <c r="F247" s="3"/>
      <c r="G247" s="3"/>
      <c r="H247" s="3"/>
      <c r="I247" s="3"/>
      <c r="J247" s="3"/>
    </row>
    <row r="248" spans="1:10" x14ac:dyDescent="0.25">
      <c r="A248" s="63" t="s">
        <v>834</v>
      </c>
      <c r="C248" s="3"/>
      <c r="D248" s="3">
        <v>410</v>
      </c>
      <c r="E248" s="3"/>
      <c r="F248" s="3"/>
      <c r="G248" s="3"/>
      <c r="H248" s="3"/>
      <c r="I248" s="3"/>
      <c r="J248" s="3"/>
    </row>
    <row r="249" spans="1:10" x14ac:dyDescent="0.25">
      <c r="A249" s="63" t="s">
        <v>1305</v>
      </c>
      <c r="C249" s="3"/>
      <c r="D249" s="3">
        <f>1800-821</f>
        <v>979</v>
      </c>
      <c r="E249" s="3"/>
      <c r="F249" s="3"/>
      <c r="G249" s="3"/>
      <c r="H249" s="3"/>
      <c r="I249" s="3"/>
      <c r="J249" s="3"/>
    </row>
    <row r="250" spans="1:10" ht="15" x14ac:dyDescent="0.4">
      <c r="A250" s="63" t="s">
        <v>514</v>
      </c>
      <c r="C250" s="33"/>
      <c r="D250" s="33">
        <v>516</v>
      </c>
      <c r="E250" s="3"/>
      <c r="F250" s="3"/>
      <c r="G250" s="3"/>
      <c r="H250" s="3"/>
      <c r="I250" s="3"/>
      <c r="J250" s="3"/>
    </row>
    <row r="251" spans="1:10" x14ac:dyDescent="0.25">
      <c r="A251" s="63" t="s">
        <v>1279</v>
      </c>
      <c r="C251" s="3"/>
      <c r="D251" s="3">
        <f>SUM(D247:D250)</f>
        <v>5337</v>
      </c>
      <c r="E251" s="3"/>
      <c r="F251" s="3"/>
      <c r="G251" s="3"/>
      <c r="H251" s="3"/>
      <c r="I251" s="3"/>
      <c r="J251" s="3"/>
    </row>
    <row r="252" spans="1:10" x14ac:dyDescent="0.25">
      <c r="C252" s="3"/>
      <c r="D252" s="3"/>
      <c r="E252" s="3"/>
      <c r="F252" s="3"/>
      <c r="G252" s="3"/>
      <c r="H252" s="3"/>
      <c r="I252" s="3"/>
      <c r="J252" s="3"/>
    </row>
    <row r="253" spans="1:10" ht="13.8" x14ac:dyDescent="0.3">
      <c r="A253" s="64" t="s">
        <v>820</v>
      </c>
      <c r="B253" s="65"/>
      <c r="C253" s="3"/>
      <c r="D253" s="3"/>
      <c r="E253" s="3">
        <v>19981</v>
      </c>
      <c r="F253" s="3">
        <v>12200</v>
      </c>
      <c r="G253" s="3">
        <v>12200</v>
      </c>
      <c r="H253" s="3">
        <v>12200</v>
      </c>
      <c r="I253" s="3">
        <v>12200</v>
      </c>
      <c r="J253" s="3">
        <v>12200</v>
      </c>
    </row>
    <row r="254" spans="1:10" x14ac:dyDescent="0.25">
      <c r="A254" s="63" t="s">
        <v>821</v>
      </c>
      <c r="C254" s="3"/>
      <c r="D254" s="3">
        <v>12200</v>
      </c>
      <c r="E254" s="3"/>
      <c r="F254" s="3"/>
      <c r="G254" s="3"/>
      <c r="H254" s="3"/>
      <c r="I254" s="3"/>
      <c r="J254" s="3"/>
    </row>
    <row r="255" spans="1:10" x14ac:dyDescent="0.25">
      <c r="A255" s="63" t="s">
        <v>417</v>
      </c>
      <c r="C255" s="3"/>
      <c r="D255" s="3"/>
      <c r="E255" s="3"/>
      <c r="F255" s="3"/>
      <c r="G255" s="3"/>
      <c r="H255" s="3"/>
      <c r="I255" s="3"/>
      <c r="J255" s="3"/>
    </row>
    <row r="256" spans="1:10" ht="13.8" x14ac:dyDescent="0.3">
      <c r="A256" s="64" t="s">
        <v>1072</v>
      </c>
      <c r="C256" s="75" t="s">
        <v>417</v>
      </c>
      <c r="D256" s="75" t="s">
        <v>417</v>
      </c>
      <c r="E256" s="3">
        <v>21052</v>
      </c>
      <c r="F256" s="3">
        <v>31500</v>
      </c>
      <c r="G256" s="3">
        <v>36500</v>
      </c>
      <c r="H256" s="3">
        <v>36500</v>
      </c>
      <c r="I256" s="3">
        <v>36500</v>
      </c>
      <c r="J256" s="3">
        <v>36500</v>
      </c>
    </row>
    <row r="257" spans="1:10" x14ac:dyDescent="0.25">
      <c r="A257" s="63" t="s">
        <v>2197</v>
      </c>
      <c r="C257" s="3"/>
      <c r="D257" s="3">
        <v>15000</v>
      </c>
      <c r="E257" s="3"/>
      <c r="F257" s="3"/>
      <c r="G257" s="3"/>
      <c r="H257" s="3"/>
      <c r="I257" s="3"/>
      <c r="J257" s="3"/>
    </row>
    <row r="258" spans="1:10" x14ac:dyDescent="0.25">
      <c r="A258" s="63" t="s">
        <v>1298</v>
      </c>
      <c r="C258" s="3"/>
      <c r="D258" s="3">
        <v>5000</v>
      </c>
      <c r="E258" s="3"/>
      <c r="F258" s="3"/>
      <c r="G258" s="3"/>
      <c r="H258" s="3"/>
      <c r="I258" s="3"/>
      <c r="J258" s="3"/>
    </row>
    <row r="259" spans="1:10" x14ac:dyDescent="0.25">
      <c r="A259" s="63" t="s">
        <v>961</v>
      </c>
      <c r="C259" s="3"/>
      <c r="D259" s="3">
        <v>15000</v>
      </c>
      <c r="E259" s="3"/>
      <c r="F259" s="3"/>
      <c r="G259" s="3"/>
      <c r="H259" s="3"/>
      <c r="I259" s="3"/>
      <c r="J259" s="3"/>
    </row>
    <row r="260" spans="1:10" x14ac:dyDescent="0.25">
      <c r="A260" s="63" t="s">
        <v>206</v>
      </c>
      <c r="C260" s="3"/>
      <c r="D260" s="3">
        <v>500</v>
      </c>
      <c r="E260" s="3"/>
      <c r="F260" s="3"/>
      <c r="G260" s="3"/>
      <c r="H260" s="3"/>
      <c r="I260" s="3"/>
      <c r="J260" s="3"/>
    </row>
    <row r="261" spans="1:10" ht="15" x14ac:dyDescent="0.4">
      <c r="A261" s="63" t="s">
        <v>1299</v>
      </c>
      <c r="C261" s="33"/>
      <c r="D261" s="33">
        <v>1000</v>
      </c>
      <c r="E261" s="3"/>
      <c r="F261" s="3"/>
      <c r="G261" s="3"/>
      <c r="H261" s="3"/>
      <c r="I261" s="3"/>
      <c r="J261" s="3"/>
    </row>
    <row r="262" spans="1:10" x14ac:dyDescent="0.25">
      <c r="A262" s="63" t="s">
        <v>1279</v>
      </c>
      <c r="C262" s="3"/>
      <c r="D262" s="3">
        <f>SUM(D257:D261)</f>
        <v>36500</v>
      </c>
      <c r="E262" s="3"/>
      <c r="F262" s="3"/>
      <c r="G262" s="3"/>
      <c r="H262" s="3"/>
      <c r="I262" s="3"/>
      <c r="J262" s="3"/>
    </row>
    <row r="263" spans="1:10" x14ac:dyDescent="0.25">
      <c r="C263" s="3"/>
      <c r="D263" s="3"/>
      <c r="E263" s="3"/>
      <c r="F263" s="3"/>
      <c r="G263" s="3"/>
      <c r="H263" s="3"/>
      <c r="I263" s="3"/>
      <c r="J263" s="3"/>
    </row>
    <row r="264" spans="1:10" ht="13.8" x14ac:dyDescent="0.3">
      <c r="A264" s="64" t="s">
        <v>1300</v>
      </c>
      <c r="C264" s="3"/>
      <c r="D264" s="3"/>
      <c r="E264" s="3">
        <v>0</v>
      </c>
      <c r="F264" s="3">
        <v>197</v>
      </c>
      <c r="G264" s="3">
        <v>197</v>
      </c>
      <c r="H264" s="3">
        <v>197</v>
      </c>
      <c r="I264" s="3">
        <v>197</v>
      </c>
      <c r="J264" s="3">
        <v>197</v>
      </c>
    </row>
    <row r="265" spans="1:10" x14ac:dyDescent="0.25">
      <c r="A265" s="63" t="s">
        <v>541</v>
      </c>
      <c r="C265" s="3"/>
      <c r="D265" s="3">
        <v>197</v>
      </c>
      <c r="E265" s="3"/>
      <c r="F265" s="3"/>
      <c r="G265" s="3"/>
      <c r="H265" s="3"/>
      <c r="I265" s="3"/>
      <c r="J265" s="3"/>
    </row>
    <row r="266" spans="1:10" x14ac:dyDescent="0.25">
      <c r="C266" s="3"/>
      <c r="D266" s="3"/>
      <c r="E266" s="3"/>
      <c r="F266" s="3"/>
      <c r="G266" s="3"/>
      <c r="H266" s="3"/>
      <c r="I266" s="3"/>
      <c r="J266" s="3"/>
    </row>
    <row r="267" spans="1:10" ht="13.8" x14ac:dyDescent="0.3">
      <c r="A267" s="89" t="s">
        <v>414</v>
      </c>
      <c r="C267" s="75" t="s">
        <v>417</v>
      </c>
      <c r="D267" s="75" t="s">
        <v>417</v>
      </c>
      <c r="E267" s="3">
        <v>500</v>
      </c>
      <c r="F267" s="3">
        <v>700</v>
      </c>
      <c r="G267" s="3">
        <v>700</v>
      </c>
      <c r="H267" s="3">
        <v>700</v>
      </c>
      <c r="I267" s="3">
        <v>700</v>
      </c>
      <c r="J267" s="3">
        <v>700</v>
      </c>
    </row>
    <row r="268" spans="1:10" x14ac:dyDescent="0.25">
      <c r="A268" s="63" t="s">
        <v>878</v>
      </c>
      <c r="B268" s="3"/>
      <c r="C268" s="3"/>
      <c r="D268" s="3">
        <v>500</v>
      </c>
      <c r="E268" s="3"/>
      <c r="F268" s="3"/>
      <c r="G268" s="3"/>
      <c r="H268" s="3"/>
      <c r="I268" s="3"/>
      <c r="J268" s="3"/>
    </row>
    <row r="269" spans="1:10" ht="15" x14ac:dyDescent="0.4">
      <c r="A269" s="63" t="s">
        <v>207</v>
      </c>
      <c r="C269" s="33"/>
      <c r="D269" s="33">
        <v>200</v>
      </c>
      <c r="E269" s="3"/>
      <c r="F269" s="3"/>
      <c r="G269" s="3"/>
      <c r="H269" s="3"/>
      <c r="I269" s="3"/>
      <c r="J269" s="3"/>
    </row>
    <row r="270" spans="1:10" x14ac:dyDescent="0.25">
      <c r="A270" s="63" t="s">
        <v>1279</v>
      </c>
      <c r="C270" s="3"/>
      <c r="D270" s="3">
        <f>SUM(D268:D269)</f>
        <v>700</v>
      </c>
      <c r="E270" s="3"/>
      <c r="F270" s="3"/>
      <c r="G270" s="3"/>
      <c r="H270" s="3"/>
      <c r="I270" s="3"/>
      <c r="J270" s="3"/>
    </row>
    <row r="271" spans="1:10" x14ac:dyDescent="0.25">
      <c r="C271" s="3"/>
      <c r="D271" s="3"/>
      <c r="E271" s="3"/>
      <c r="F271" s="3"/>
      <c r="G271" s="3"/>
      <c r="H271" s="3"/>
      <c r="I271" s="3"/>
      <c r="J271" s="3"/>
    </row>
    <row r="272" spans="1:10" ht="13.8" x14ac:dyDescent="0.3">
      <c r="A272" s="64" t="s">
        <v>72</v>
      </c>
      <c r="C272" s="75" t="s">
        <v>417</v>
      </c>
      <c r="D272" s="75" t="s">
        <v>417</v>
      </c>
      <c r="E272" s="3">
        <v>612.48</v>
      </c>
      <c r="F272" s="3">
        <v>5000</v>
      </c>
      <c r="G272" s="3">
        <v>5000</v>
      </c>
      <c r="H272" s="3">
        <v>5000</v>
      </c>
      <c r="I272" s="3">
        <v>5000</v>
      </c>
      <c r="J272" s="3">
        <v>5000</v>
      </c>
    </row>
    <row r="273" spans="1:10" x14ac:dyDescent="0.25">
      <c r="A273" s="63" t="s">
        <v>1532</v>
      </c>
      <c r="C273" s="3"/>
      <c r="D273" s="3">
        <v>5000</v>
      </c>
      <c r="F273" s="3"/>
      <c r="G273" s="3"/>
      <c r="H273" s="3"/>
      <c r="I273" s="3"/>
      <c r="J273" s="3"/>
    </row>
    <row r="274" spans="1:10" ht="15" x14ac:dyDescent="0.4">
      <c r="A274" s="63" t="s">
        <v>1352</v>
      </c>
      <c r="C274" s="33"/>
      <c r="D274" s="33">
        <v>0</v>
      </c>
      <c r="F274" s="3"/>
      <c r="G274" s="3"/>
      <c r="H274" s="3"/>
      <c r="I274" s="3"/>
      <c r="J274" s="3"/>
    </row>
    <row r="275" spans="1:10" x14ac:dyDescent="0.25">
      <c r="A275" s="63" t="s">
        <v>1129</v>
      </c>
      <c r="C275" s="3"/>
      <c r="D275" s="3">
        <f>SUM(D273:D274)</f>
        <v>5000</v>
      </c>
      <c r="F275" s="3"/>
      <c r="G275" s="3"/>
      <c r="H275" s="3"/>
      <c r="I275" s="3"/>
      <c r="J275" s="3"/>
    </row>
    <row r="276" spans="1:10" x14ac:dyDescent="0.25">
      <c r="C276" s="3"/>
      <c r="D276" s="3"/>
      <c r="F276" s="3"/>
      <c r="G276" s="3"/>
      <c r="H276" s="3"/>
      <c r="I276" s="3"/>
      <c r="J276" s="3"/>
    </row>
    <row r="277" spans="1:10" ht="13.8" x14ac:dyDescent="0.3">
      <c r="A277" s="64" t="s">
        <v>23</v>
      </c>
      <c r="C277" s="75" t="s">
        <v>417</v>
      </c>
      <c r="D277" s="75" t="s">
        <v>417</v>
      </c>
      <c r="E277" s="3">
        <v>9158.7000000000007</v>
      </c>
      <c r="F277" s="3">
        <v>8987</v>
      </c>
      <c r="G277" s="3">
        <v>8987</v>
      </c>
      <c r="H277" s="3">
        <v>8987</v>
      </c>
      <c r="I277" s="3">
        <v>12637</v>
      </c>
      <c r="J277" s="3">
        <v>12637</v>
      </c>
    </row>
    <row r="278" spans="1:10" x14ac:dyDescent="0.25">
      <c r="A278" s="63" t="s">
        <v>24</v>
      </c>
      <c r="B278" s="3" t="s">
        <v>417</v>
      </c>
      <c r="C278" s="3"/>
      <c r="D278" s="3">
        <v>772</v>
      </c>
      <c r="E278" s="3"/>
      <c r="F278" s="3"/>
      <c r="G278" s="3"/>
      <c r="H278" s="3"/>
      <c r="I278" s="3"/>
      <c r="J278" s="3"/>
    </row>
    <row r="279" spans="1:10" x14ac:dyDescent="0.25">
      <c r="A279" s="63" t="s">
        <v>1123</v>
      </c>
      <c r="C279" s="3"/>
      <c r="D279" s="3">
        <v>154</v>
      </c>
      <c r="E279" s="3"/>
      <c r="F279" s="3"/>
      <c r="G279" s="3"/>
      <c r="H279" s="3"/>
      <c r="I279" s="3"/>
      <c r="J279" s="3"/>
    </row>
    <row r="280" spans="1:10" x14ac:dyDescent="0.25">
      <c r="A280" s="63" t="s">
        <v>1124</v>
      </c>
      <c r="C280" s="3"/>
      <c r="D280" s="3">
        <v>1548</v>
      </c>
      <c r="E280" s="3"/>
      <c r="F280" s="3"/>
      <c r="G280" s="3"/>
      <c r="H280" s="3"/>
      <c r="I280" s="3"/>
      <c r="J280" s="3"/>
    </row>
    <row r="281" spans="1:10" x14ac:dyDescent="0.25">
      <c r="A281" s="63" t="s">
        <v>1441</v>
      </c>
      <c r="C281" s="3"/>
      <c r="D281" s="3">
        <v>5000</v>
      </c>
      <c r="E281" s="3"/>
      <c r="F281" s="3"/>
      <c r="G281" s="3"/>
      <c r="H281" s="3"/>
      <c r="I281" s="3"/>
      <c r="J281" s="3"/>
    </row>
    <row r="282" spans="1:10" x14ac:dyDescent="0.25">
      <c r="A282" s="63" t="s">
        <v>1442</v>
      </c>
      <c r="C282" s="3"/>
      <c r="D282" s="3">
        <v>1050</v>
      </c>
      <c r="E282" s="3"/>
      <c r="F282" s="3"/>
      <c r="G282" s="3"/>
      <c r="H282" s="3"/>
      <c r="I282" s="3"/>
      <c r="J282" s="3"/>
    </row>
    <row r="283" spans="1:10" ht="15" x14ac:dyDescent="0.4">
      <c r="A283" s="63" t="s">
        <v>1125</v>
      </c>
      <c r="C283" s="33"/>
      <c r="D283" s="3">
        <v>463</v>
      </c>
      <c r="E283" s="3"/>
      <c r="F283" s="3"/>
      <c r="G283" s="3"/>
      <c r="H283" s="3"/>
      <c r="I283" s="3"/>
      <c r="J283" s="3"/>
    </row>
    <row r="284" spans="1:10" ht="15" x14ac:dyDescent="0.4">
      <c r="A284" s="63" t="s">
        <v>2274</v>
      </c>
      <c r="C284" s="33"/>
      <c r="D284" s="33">
        <v>3650</v>
      </c>
      <c r="E284" s="3"/>
      <c r="F284" s="3"/>
      <c r="G284" s="3"/>
      <c r="H284" s="3"/>
      <c r="I284" s="3"/>
      <c r="J284" s="3"/>
    </row>
    <row r="285" spans="1:10" x14ac:dyDescent="0.25">
      <c r="A285" s="63" t="s">
        <v>1279</v>
      </c>
      <c r="C285" s="3"/>
      <c r="D285" s="3">
        <f>SUM(D278:D284)</f>
        <v>12637</v>
      </c>
      <c r="E285" s="3"/>
      <c r="F285" s="3"/>
      <c r="G285" s="3"/>
      <c r="H285" s="3"/>
      <c r="I285" s="3"/>
      <c r="J285" s="3"/>
    </row>
    <row r="286" spans="1:10" x14ac:dyDescent="0.25">
      <c r="C286" s="3"/>
      <c r="D286" s="3"/>
      <c r="E286" s="3"/>
      <c r="F286" s="3"/>
      <c r="G286" s="3"/>
      <c r="H286" s="3"/>
      <c r="I286" s="3"/>
      <c r="J286" s="3"/>
    </row>
    <row r="287" spans="1:10" ht="13.8" x14ac:dyDescent="0.3">
      <c r="A287" s="64" t="s">
        <v>1126</v>
      </c>
      <c r="C287" s="75" t="s">
        <v>417</v>
      </c>
      <c r="D287" s="75" t="s">
        <v>417</v>
      </c>
      <c r="E287" s="3">
        <v>106991</v>
      </c>
      <c r="F287" s="3">
        <v>111000</v>
      </c>
      <c r="G287" s="3">
        <v>120000</v>
      </c>
      <c r="H287" s="3">
        <v>90000</v>
      </c>
      <c r="I287" s="3">
        <v>90000</v>
      </c>
      <c r="J287" s="3">
        <v>90000</v>
      </c>
    </row>
    <row r="288" spans="1:10" x14ac:dyDescent="0.25">
      <c r="A288" s="43" t="s">
        <v>2227</v>
      </c>
      <c r="B288" s="3"/>
      <c r="C288" s="3">
        <v>0</v>
      </c>
      <c r="D288" s="74">
        <v>90000</v>
      </c>
      <c r="E288" s="3"/>
      <c r="F288" s="3"/>
      <c r="G288" s="3"/>
      <c r="H288" s="3"/>
      <c r="I288" s="3"/>
      <c r="J288" s="3"/>
    </row>
    <row r="289" spans="1:10" ht="15" x14ac:dyDescent="0.4">
      <c r="A289" s="43" t="s">
        <v>1894</v>
      </c>
      <c r="B289" s="3"/>
      <c r="C289" s="3"/>
      <c r="D289" s="158">
        <v>0</v>
      </c>
      <c r="E289" s="3"/>
      <c r="F289" s="3"/>
      <c r="G289" s="3"/>
      <c r="H289" s="3"/>
      <c r="I289" s="3"/>
      <c r="J289" s="3"/>
    </row>
    <row r="290" spans="1:10" x14ac:dyDescent="0.25">
      <c r="A290" s="43"/>
      <c r="B290" s="3"/>
      <c r="C290" s="3"/>
      <c r="D290" s="74">
        <f>SUM(D288:D289)</f>
        <v>90000</v>
      </c>
      <c r="E290" s="3"/>
      <c r="F290" s="3"/>
      <c r="G290" s="3"/>
      <c r="H290" s="3"/>
      <c r="I290" s="3"/>
      <c r="J290" s="3"/>
    </row>
    <row r="291" spans="1:10" x14ac:dyDescent="0.25">
      <c r="C291" s="3"/>
      <c r="D291" s="3"/>
      <c r="E291" s="3"/>
      <c r="F291" s="3"/>
      <c r="G291" s="3"/>
      <c r="H291" s="3"/>
      <c r="I291" s="3"/>
      <c r="J291" s="3"/>
    </row>
    <row r="292" spans="1:10" ht="13.8" x14ac:dyDescent="0.3">
      <c r="A292" s="64" t="s">
        <v>1127</v>
      </c>
      <c r="C292" s="75" t="s">
        <v>417</v>
      </c>
      <c r="D292" s="75" t="s">
        <v>417</v>
      </c>
      <c r="E292" s="3">
        <v>3060</v>
      </c>
      <c r="F292" s="3">
        <v>18000</v>
      </c>
      <c r="G292" s="3">
        <v>14000</v>
      </c>
      <c r="H292" s="3">
        <v>7000</v>
      </c>
      <c r="I292" s="3">
        <v>7000</v>
      </c>
      <c r="J292" s="3">
        <v>7000</v>
      </c>
    </row>
    <row r="293" spans="1:10" x14ac:dyDescent="0.25">
      <c r="A293" s="63" t="s">
        <v>268</v>
      </c>
      <c r="C293" s="3"/>
      <c r="D293" s="3">
        <v>7000</v>
      </c>
      <c r="E293" s="3"/>
      <c r="F293" s="3"/>
      <c r="G293" s="3"/>
      <c r="H293" s="3"/>
      <c r="I293" s="3"/>
      <c r="J293" s="3"/>
    </row>
    <row r="294" spans="1:10" ht="13.8" x14ac:dyDescent="0.3">
      <c r="A294" s="64" t="s">
        <v>1128</v>
      </c>
      <c r="C294" s="3" t="s">
        <v>417</v>
      </c>
      <c r="D294" s="3" t="s">
        <v>417</v>
      </c>
      <c r="E294" s="3">
        <v>31671</v>
      </c>
      <c r="F294" s="3">
        <v>14000</v>
      </c>
      <c r="G294" s="3">
        <v>3905</v>
      </c>
      <c r="H294" s="3">
        <v>3905</v>
      </c>
      <c r="I294" s="3">
        <v>3905</v>
      </c>
      <c r="J294" s="3">
        <v>3905</v>
      </c>
    </row>
    <row r="295" spans="1:10" x14ac:dyDescent="0.25">
      <c r="A295" s="43" t="s">
        <v>1895</v>
      </c>
      <c r="C295" s="3"/>
      <c r="D295" s="3">
        <v>1905</v>
      </c>
      <c r="E295" s="3"/>
      <c r="F295" s="3"/>
      <c r="G295" s="3"/>
      <c r="H295" s="3"/>
      <c r="I295" s="3"/>
      <c r="J295" s="3"/>
    </row>
    <row r="296" spans="1:10" x14ac:dyDescent="0.25">
      <c r="A296" s="43" t="s">
        <v>1896</v>
      </c>
      <c r="C296" s="3"/>
      <c r="D296" s="3">
        <v>1000</v>
      </c>
      <c r="E296" s="3"/>
      <c r="F296" s="3"/>
      <c r="G296" s="3"/>
      <c r="H296" s="3"/>
      <c r="I296" s="3"/>
      <c r="J296" s="3"/>
    </row>
    <row r="297" spans="1:10" ht="15" x14ac:dyDescent="0.4">
      <c r="A297" s="43" t="s">
        <v>1770</v>
      </c>
      <c r="C297" s="3"/>
      <c r="D297" s="33">
        <v>1000</v>
      </c>
      <c r="E297" s="33"/>
      <c r="F297" s="33"/>
      <c r="G297" s="33"/>
      <c r="H297" s="33"/>
      <c r="I297" s="33"/>
      <c r="J297" s="33"/>
    </row>
    <row r="298" spans="1:10" x14ac:dyDescent="0.25">
      <c r="D298" s="3">
        <f>SUM(D295:D297)</f>
        <v>3905</v>
      </c>
      <c r="E298" s="3"/>
      <c r="F298" s="3"/>
      <c r="G298" s="3"/>
      <c r="H298" s="3"/>
      <c r="I298" s="3"/>
      <c r="J298" s="3"/>
    </row>
    <row r="299" spans="1:10" x14ac:dyDescent="0.25">
      <c r="D299" s="3"/>
      <c r="E299" s="3"/>
      <c r="F299" s="3"/>
      <c r="G299" s="3"/>
      <c r="H299" s="3"/>
      <c r="I299" s="3"/>
      <c r="J299" s="3"/>
    </row>
    <row r="300" spans="1:10" ht="15" x14ac:dyDescent="0.4">
      <c r="A300" s="64" t="s">
        <v>1879</v>
      </c>
      <c r="D300" s="3">
        <v>20000</v>
      </c>
      <c r="E300" s="33">
        <v>9086.77</v>
      </c>
      <c r="F300" s="33">
        <v>20010</v>
      </c>
      <c r="G300" s="33">
        <v>20000</v>
      </c>
      <c r="H300" s="33">
        <v>20000</v>
      </c>
      <c r="I300" s="33">
        <v>20000</v>
      </c>
      <c r="J300" s="33">
        <v>20000</v>
      </c>
    </row>
    <row r="301" spans="1:10" x14ac:dyDescent="0.25">
      <c r="D301" s="3"/>
      <c r="E301" s="3"/>
      <c r="F301" s="3"/>
      <c r="G301" s="3"/>
      <c r="H301" s="3"/>
      <c r="I301" s="3"/>
      <c r="J301" s="3"/>
    </row>
    <row r="302" spans="1:10" x14ac:dyDescent="0.25">
      <c r="A302" s="63" t="s">
        <v>1366</v>
      </c>
      <c r="E302" s="3">
        <f t="shared" ref="E302:H302" si="7">SUM(E6:E300)</f>
        <v>5238624.6099999994</v>
      </c>
      <c r="F302" s="3">
        <f t="shared" si="7"/>
        <v>5739480</v>
      </c>
      <c r="G302" s="3">
        <f t="shared" si="7"/>
        <v>5819860</v>
      </c>
      <c r="H302" s="3">
        <f t="shared" si="7"/>
        <v>5745666</v>
      </c>
      <c r="I302" s="3">
        <f>SUM(I6:I300)</f>
        <v>5712086</v>
      </c>
      <c r="J302" s="3">
        <f>SUM(J6:J300)</f>
        <v>5777285</v>
      </c>
    </row>
    <row r="304" spans="1:10" x14ac:dyDescent="0.25">
      <c r="A304" s="63" t="s">
        <v>1001</v>
      </c>
      <c r="E304" s="3">
        <f t="shared" ref="E304:H304" si="8">SUM(E6:E166)</f>
        <v>4775299</v>
      </c>
      <c r="F304" s="3">
        <f t="shared" si="8"/>
        <v>5208047</v>
      </c>
      <c r="G304" s="3">
        <f t="shared" si="8"/>
        <v>5295301</v>
      </c>
      <c r="H304" s="3">
        <f t="shared" si="8"/>
        <v>5291698</v>
      </c>
      <c r="I304" s="3">
        <f>SUM(I6:I166)</f>
        <v>5254468</v>
      </c>
      <c r="J304" s="3">
        <f>SUM(J6:J166)</f>
        <v>5316467</v>
      </c>
    </row>
    <row r="305" spans="1:10" x14ac:dyDescent="0.25">
      <c r="A305" s="63" t="s">
        <v>975</v>
      </c>
      <c r="E305" s="3">
        <f t="shared" ref="E305:H305" si="9">SUM(E167:E277)+E300</f>
        <v>321603.61000000004</v>
      </c>
      <c r="F305" s="3">
        <f t="shared" si="9"/>
        <v>388433</v>
      </c>
      <c r="G305" s="3">
        <f t="shared" si="9"/>
        <v>386654</v>
      </c>
      <c r="H305" s="3">
        <f t="shared" si="9"/>
        <v>353063</v>
      </c>
      <c r="I305" s="3">
        <f>SUM(I167:I277)+I300</f>
        <v>356713</v>
      </c>
      <c r="J305" s="3">
        <f>SUM(J167:J277)+J300</f>
        <v>359913</v>
      </c>
    </row>
    <row r="306" spans="1:10" ht="15" x14ac:dyDescent="0.4">
      <c r="A306" s="63" t="s">
        <v>976</v>
      </c>
      <c r="E306" s="33">
        <f t="shared" ref="E306:H306" si="10">SUM(E287:E294)</f>
        <v>141722</v>
      </c>
      <c r="F306" s="33">
        <f t="shared" si="10"/>
        <v>143000</v>
      </c>
      <c r="G306" s="33">
        <f t="shared" si="10"/>
        <v>137905</v>
      </c>
      <c r="H306" s="33">
        <f t="shared" si="10"/>
        <v>100905</v>
      </c>
      <c r="I306" s="33">
        <f>SUM(I287:I294)</f>
        <v>100905</v>
      </c>
      <c r="J306" s="33">
        <f>SUM(J287:J294)</f>
        <v>100905</v>
      </c>
    </row>
    <row r="307" spans="1:10" x14ac:dyDescent="0.25">
      <c r="A307" s="63" t="s">
        <v>1279</v>
      </c>
      <c r="E307" s="3">
        <f t="shared" ref="E307:H307" si="11">SUM(E304:E306)</f>
        <v>5238624.6100000003</v>
      </c>
      <c r="F307" s="3">
        <f t="shared" si="11"/>
        <v>5739480</v>
      </c>
      <c r="G307" s="3">
        <f t="shared" si="11"/>
        <v>5819860</v>
      </c>
      <c r="H307" s="3">
        <f t="shared" si="11"/>
        <v>5745666</v>
      </c>
      <c r="I307" s="3">
        <f>SUM(I304:I306)</f>
        <v>5712086</v>
      </c>
      <c r="J307" s="3">
        <f>SUM(J304:J306)</f>
        <v>5777285</v>
      </c>
    </row>
    <row r="309" spans="1:10" x14ac:dyDescent="0.25">
      <c r="H309" s="63">
        <f>-23530-10000</f>
        <v>-33530</v>
      </c>
    </row>
    <row r="310" spans="1:10" x14ac:dyDescent="0.25">
      <c r="H310" s="3">
        <f>+H307+H309</f>
        <v>5712136</v>
      </c>
      <c r="I310" s="3">
        <f>+I307+I309</f>
        <v>5712086</v>
      </c>
      <c r="J310" s="3">
        <f>+J307+J309</f>
        <v>5777285</v>
      </c>
    </row>
    <row r="311" spans="1:10" x14ac:dyDescent="0.25">
      <c r="I311" s="3">
        <f>+I310-H310</f>
        <v>-50</v>
      </c>
      <c r="J311" s="3">
        <f>+J310-I310</f>
        <v>65199</v>
      </c>
    </row>
  </sheetData>
  <mergeCells count="1">
    <mergeCell ref="A1:J1"/>
  </mergeCells>
  <phoneticPr fontId="0" type="noConversion"/>
  <printOptions gridLines="1"/>
  <pageMargins left="0.75" right="0.16" top="0.51" bottom="0.22" header="0.5" footer="0"/>
  <pageSetup scale="80" fitToHeight="12" orientation="landscape" r:id="rId1"/>
  <headerFooter alignWithMargins="0"/>
  <rowBreaks count="3" manualBreakCount="3">
    <brk id="118" max="9" man="1"/>
    <brk id="179" max="9" man="1"/>
    <brk id="276" max="9"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180"/>
  <sheetViews>
    <sheetView view="pageBreakPreview" zoomScaleNormal="100" zoomScaleSheetLayoutView="100" workbookViewId="0">
      <selection sqref="A1:J1"/>
    </sheetView>
  </sheetViews>
  <sheetFormatPr defaultColWidth="9.109375" defaultRowHeight="13.2" x14ac:dyDescent="0.25"/>
  <cols>
    <col min="1" max="1" width="50.6640625" style="8" bestFit="1" customWidth="1"/>
    <col min="2" max="2" width="8.88671875" style="8" bestFit="1" customWidth="1"/>
    <col min="3" max="4" width="10.109375" style="8" customWidth="1"/>
    <col min="5" max="5" width="13.6640625" style="8" customWidth="1"/>
    <col min="6" max="6" width="9" style="8" bestFit="1" customWidth="1"/>
    <col min="7" max="7" width="10.88671875" style="8" bestFit="1" customWidth="1"/>
    <col min="8" max="8" width="13.5546875" style="8" bestFit="1" customWidth="1"/>
    <col min="9" max="9" width="10.21875" style="8" bestFit="1" customWidth="1"/>
    <col min="10" max="10" width="9.5546875" style="8" customWidth="1"/>
    <col min="11" max="16384" width="9.109375" style="8"/>
  </cols>
  <sheetData>
    <row r="1" spans="1:10" x14ac:dyDescent="0.25">
      <c r="A1" s="217" t="s">
        <v>1972</v>
      </c>
      <c r="B1" s="218"/>
      <c r="C1" s="218"/>
      <c r="D1" s="218"/>
      <c r="E1" s="218"/>
      <c r="F1" s="218"/>
      <c r="G1" s="218"/>
      <c r="H1" s="218"/>
      <c r="I1" s="218"/>
      <c r="J1" s="218"/>
    </row>
    <row r="2" spans="1:10" ht="17.399999999999999" x14ac:dyDescent="0.3">
      <c r="A2" s="202" t="s">
        <v>2243</v>
      </c>
      <c r="B2" s="202"/>
      <c r="C2" s="202"/>
      <c r="D2" s="202"/>
      <c r="E2" s="202"/>
      <c r="F2" s="202"/>
    </row>
    <row r="3" spans="1:10" x14ac:dyDescent="0.25">
      <c r="B3" s="2"/>
      <c r="C3" s="2"/>
      <c r="D3" s="2"/>
      <c r="E3" s="2"/>
      <c r="F3" s="2"/>
    </row>
    <row r="4" spans="1:10" x14ac:dyDescent="0.25">
      <c r="B4" s="2"/>
      <c r="C4" s="2"/>
      <c r="D4" s="2"/>
      <c r="E4" s="9" t="s">
        <v>251</v>
      </c>
      <c r="F4" s="9" t="s">
        <v>252</v>
      </c>
      <c r="G4" s="9" t="s">
        <v>73</v>
      </c>
      <c r="H4" s="9" t="s">
        <v>430</v>
      </c>
      <c r="I4" s="2" t="s">
        <v>330</v>
      </c>
      <c r="J4" s="2" t="s">
        <v>364</v>
      </c>
    </row>
    <row r="5" spans="1:10" ht="15" x14ac:dyDescent="0.4">
      <c r="B5" s="2"/>
      <c r="C5" s="2"/>
      <c r="D5" s="2"/>
      <c r="E5" s="10" t="s">
        <v>1684</v>
      </c>
      <c r="F5" s="10" t="s">
        <v>1874</v>
      </c>
      <c r="G5" s="10" t="s">
        <v>1944</v>
      </c>
      <c r="H5" s="10" t="s">
        <v>1944</v>
      </c>
      <c r="I5" s="10" t="s">
        <v>1944</v>
      </c>
      <c r="J5" s="10" t="s">
        <v>1944</v>
      </c>
    </row>
    <row r="6" spans="1:10" ht="13.8" x14ac:dyDescent="0.3">
      <c r="A6" s="11" t="s">
        <v>279</v>
      </c>
      <c r="B6" s="2"/>
      <c r="C6" s="2"/>
      <c r="D6" s="2"/>
      <c r="E6" s="2">
        <v>50523</v>
      </c>
      <c r="F6" s="2">
        <v>54643</v>
      </c>
      <c r="G6" s="2">
        <v>55120</v>
      </c>
      <c r="H6" s="2">
        <v>55120</v>
      </c>
      <c r="I6" s="2">
        <v>55120</v>
      </c>
      <c r="J6" s="2">
        <v>55120</v>
      </c>
    </row>
    <row r="7" spans="1:10" x14ac:dyDescent="0.25">
      <c r="A7" s="8" t="s">
        <v>167</v>
      </c>
      <c r="B7" s="2">
        <v>52</v>
      </c>
      <c r="C7" s="2">
        <v>1060</v>
      </c>
      <c r="D7" s="2">
        <f>ROUND(B7*C7,0)</f>
        <v>55120</v>
      </c>
      <c r="E7" s="2"/>
      <c r="F7" s="2"/>
      <c r="G7" s="2"/>
      <c r="H7" s="2"/>
      <c r="I7" s="2"/>
      <c r="J7" s="2"/>
    </row>
    <row r="8" spans="1:10" x14ac:dyDescent="0.25">
      <c r="B8" s="2"/>
      <c r="C8" s="2"/>
      <c r="D8" s="2"/>
      <c r="E8" s="2"/>
      <c r="F8" s="2"/>
      <c r="G8" s="2"/>
      <c r="H8" s="2"/>
      <c r="I8" s="2"/>
      <c r="J8" s="2"/>
    </row>
    <row r="9" spans="1:10" ht="13.8" x14ac:dyDescent="0.3">
      <c r="A9" s="11" t="s">
        <v>558</v>
      </c>
      <c r="B9" s="2"/>
      <c r="C9" s="2"/>
      <c r="D9" s="2"/>
      <c r="E9" s="2">
        <v>271726</v>
      </c>
      <c r="F9" s="2">
        <v>335705</v>
      </c>
      <c r="G9" s="2">
        <v>337919</v>
      </c>
      <c r="H9" s="2">
        <v>337919</v>
      </c>
      <c r="I9" s="2">
        <v>337919</v>
      </c>
      <c r="J9" s="2">
        <v>337919</v>
      </c>
    </row>
    <row r="10" spans="1:10" x14ac:dyDescent="0.25">
      <c r="A10" s="8" t="s">
        <v>754</v>
      </c>
      <c r="B10" s="2">
        <v>52</v>
      </c>
      <c r="C10" s="2">
        <v>915</v>
      </c>
      <c r="D10" s="2">
        <f t="shared" ref="D10:D16" si="0">ROUND(B10*C10,0)</f>
        <v>47580</v>
      </c>
      <c r="E10" s="2"/>
      <c r="F10" s="2"/>
      <c r="G10" s="2"/>
      <c r="H10" s="2"/>
      <c r="I10" s="2"/>
      <c r="J10" s="2"/>
    </row>
    <row r="11" spans="1:10" x14ac:dyDescent="0.25">
      <c r="A11" s="8" t="s">
        <v>754</v>
      </c>
      <c r="B11" s="2">
        <v>52</v>
      </c>
      <c r="C11" s="2">
        <v>915</v>
      </c>
      <c r="D11" s="2">
        <f t="shared" si="0"/>
        <v>47580</v>
      </c>
      <c r="E11" s="2"/>
      <c r="F11" s="2"/>
      <c r="G11" s="2"/>
      <c r="H11" s="2"/>
      <c r="I11" s="2"/>
      <c r="J11" s="2"/>
    </row>
    <row r="12" spans="1:10" x14ac:dyDescent="0.25">
      <c r="A12" s="8" t="s">
        <v>754</v>
      </c>
      <c r="B12" s="2">
        <v>52</v>
      </c>
      <c r="C12" s="2">
        <v>915</v>
      </c>
      <c r="D12" s="2">
        <f t="shared" si="0"/>
        <v>47580</v>
      </c>
      <c r="E12" s="2"/>
      <c r="F12" s="2"/>
      <c r="G12" s="2"/>
      <c r="H12" s="2"/>
      <c r="I12" s="2"/>
      <c r="J12" s="2"/>
    </row>
    <row r="13" spans="1:10" x14ac:dyDescent="0.25">
      <c r="A13" s="8" t="s">
        <v>754</v>
      </c>
      <c r="B13" s="2">
        <v>52</v>
      </c>
      <c r="C13" s="2">
        <v>915</v>
      </c>
      <c r="D13" s="2">
        <f t="shared" si="0"/>
        <v>47580</v>
      </c>
      <c r="E13" s="2"/>
      <c r="F13" s="2"/>
      <c r="G13" s="2"/>
      <c r="H13" s="2"/>
      <c r="I13" s="2"/>
      <c r="J13" s="2"/>
    </row>
    <row r="14" spans="1:10" x14ac:dyDescent="0.25">
      <c r="A14" s="8" t="s">
        <v>754</v>
      </c>
      <c r="B14" s="2">
        <v>52</v>
      </c>
      <c r="C14" s="2">
        <v>915</v>
      </c>
      <c r="D14" s="2">
        <f t="shared" si="0"/>
        <v>47580</v>
      </c>
      <c r="E14" s="2"/>
      <c r="F14" s="2"/>
      <c r="G14" s="2"/>
      <c r="H14" s="2"/>
      <c r="I14" s="2"/>
      <c r="J14" s="2"/>
    </row>
    <row r="15" spans="1:10" x14ac:dyDescent="0.25">
      <c r="A15" s="8" t="s">
        <v>754</v>
      </c>
      <c r="B15" s="2">
        <v>52</v>
      </c>
      <c r="C15" s="2">
        <v>915</v>
      </c>
      <c r="D15" s="2">
        <f t="shared" si="0"/>
        <v>47580</v>
      </c>
      <c r="E15" s="2"/>
      <c r="F15" s="2"/>
      <c r="G15" s="2"/>
      <c r="H15" s="2"/>
      <c r="I15" s="2"/>
      <c r="J15" s="2"/>
    </row>
    <row r="16" spans="1:10" x14ac:dyDescent="0.25">
      <c r="A16" s="8" t="s">
        <v>754</v>
      </c>
      <c r="B16" s="2">
        <v>52</v>
      </c>
      <c r="C16" s="2">
        <v>743</v>
      </c>
      <c r="D16" s="2">
        <f t="shared" si="0"/>
        <v>38636</v>
      </c>
      <c r="E16" s="2"/>
      <c r="F16" s="2"/>
      <c r="G16" s="2"/>
      <c r="H16" s="2"/>
      <c r="I16" s="2"/>
      <c r="J16" s="2"/>
    </row>
    <row r="17" spans="1:10" x14ac:dyDescent="0.25">
      <c r="A17" s="8" t="s">
        <v>995</v>
      </c>
      <c r="B17" s="2"/>
      <c r="C17" s="13"/>
      <c r="D17" s="2">
        <v>993</v>
      </c>
      <c r="E17" s="2"/>
      <c r="F17" s="2"/>
      <c r="G17" s="2"/>
      <c r="H17" s="2"/>
      <c r="I17" s="2"/>
      <c r="J17" s="2"/>
    </row>
    <row r="18" spans="1:10" ht="15" x14ac:dyDescent="0.4">
      <c r="A18" s="8" t="s">
        <v>1947</v>
      </c>
      <c r="B18" s="2">
        <v>560</v>
      </c>
      <c r="C18" s="13">
        <f>+SUM(C10:C15)/40/6</f>
        <v>22.875</v>
      </c>
      <c r="D18" s="12">
        <f>ROUND(B18*C18,0)</f>
        <v>12810</v>
      </c>
      <c r="E18" s="2"/>
      <c r="F18" s="2"/>
      <c r="G18" s="2"/>
      <c r="H18" s="2"/>
      <c r="I18" s="2"/>
      <c r="J18" s="2"/>
    </row>
    <row r="19" spans="1:10" x14ac:dyDescent="0.25">
      <c r="A19" s="8" t="s">
        <v>1279</v>
      </c>
      <c r="B19" s="2"/>
      <c r="C19" s="2"/>
      <c r="D19" s="2">
        <f>SUM(D10:D18)</f>
        <v>337919</v>
      </c>
      <c r="E19" s="2"/>
      <c r="F19" s="2"/>
      <c r="G19" s="2"/>
      <c r="H19" s="2"/>
      <c r="I19" s="2"/>
      <c r="J19" s="2"/>
    </row>
    <row r="20" spans="1:10" x14ac:dyDescent="0.25">
      <c r="D20" s="2"/>
      <c r="E20" s="2"/>
      <c r="F20" s="2"/>
      <c r="G20" s="2"/>
      <c r="H20" s="2"/>
      <c r="I20" s="2"/>
      <c r="J20" s="2"/>
    </row>
    <row r="21" spans="1:10" ht="13.8" x14ac:dyDescent="0.3">
      <c r="A21" s="11" t="s">
        <v>755</v>
      </c>
      <c r="D21" s="2"/>
      <c r="E21" s="2">
        <v>1112</v>
      </c>
      <c r="F21" s="2">
        <v>3479</v>
      </c>
      <c r="G21" s="2">
        <v>3578</v>
      </c>
      <c r="H21" s="2">
        <v>3578</v>
      </c>
      <c r="I21" s="2">
        <v>3578</v>
      </c>
      <c r="J21" s="2">
        <v>3578</v>
      </c>
    </row>
    <row r="22" spans="1:10" x14ac:dyDescent="0.25">
      <c r="A22" s="8" t="s">
        <v>167</v>
      </c>
      <c r="B22" s="2">
        <v>90</v>
      </c>
      <c r="C22" s="13">
        <f>ROUND((((+C7)/40)*1.5),2)</f>
        <v>39.75</v>
      </c>
      <c r="D22" s="2">
        <f>ROUND(B22*C22,0)</f>
        <v>3578</v>
      </c>
      <c r="E22" s="2"/>
      <c r="F22" s="2"/>
      <c r="G22" s="2"/>
      <c r="H22" s="2"/>
      <c r="I22" s="2"/>
      <c r="J22" s="2"/>
    </row>
    <row r="23" spans="1:10" x14ac:dyDescent="0.25">
      <c r="B23" s="2"/>
      <c r="C23" s="13"/>
      <c r="D23" s="2"/>
      <c r="E23" s="2"/>
      <c r="F23" s="2"/>
      <c r="G23" s="2"/>
      <c r="H23" s="2"/>
      <c r="I23" s="2"/>
      <c r="J23" s="2"/>
    </row>
    <row r="24" spans="1:10" ht="13.8" x14ac:dyDescent="0.3">
      <c r="A24" s="11" t="s">
        <v>170</v>
      </c>
      <c r="B24" s="63"/>
      <c r="C24" s="3"/>
      <c r="D24" s="3"/>
      <c r="E24" s="3">
        <v>44805</v>
      </c>
      <c r="F24" s="2">
        <v>16910</v>
      </c>
      <c r="G24" s="2">
        <v>44709</v>
      </c>
      <c r="H24" s="2">
        <v>32872</v>
      </c>
      <c r="I24" s="2">
        <v>32872</v>
      </c>
      <c r="J24" s="2">
        <v>32872</v>
      </c>
    </row>
    <row r="25" spans="1:10" x14ac:dyDescent="0.25">
      <c r="A25" s="8" t="s">
        <v>1963</v>
      </c>
      <c r="B25" s="3">
        <v>800</v>
      </c>
      <c r="C25" s="66">
        <v>16.91</v>
      </c>
      <c r="D25" s="3">
        <f>ROUND(B25*C25,0)</f>
        <v>13528</v>
      </c>
      <c r="E25" s="2"/>
      <c r="F25" s="2"/>
      <c r="G25" s="2"/>
      <c r="H25" s="2"/>
      <c r="I25" s="2"/>
      <c r="J25" s="2"/>
    </row>
    <row r="26" spans="1:10" x14ac:dyDescent="0.25">
      <c r="A26" s="8" t="s">
        <v>515</v>
      </c>
      <c r="B26" s="3">
        <v>1040</v>
      </c>
      <c r="C26" s="66">
        <v>18.600000000000001</v>
      </c>
      <c r="D26" s="73">
        <f>ROUND(B26*C26,0)</f>
        <v>19344</v>
      </c>
      <c r="E26" s="2"/>
      <c r="F26" s="2"/>
      <c r="G26" s="2"/>
      <c r="H26" s="2"/>
      <c r="I26" s="2"/>
      <c r="J26" s="2"/>
    </row>
    <row r="27" spans="1:10" x14ac:dyDescent="0.25">
      <c r="B27" s="3"/>
      <c r="C27" s="66"/>
      <c r="D27" s="3">
        <f>SUM(D25:D26)</f>
        <v>32872</v>
      </c>
      <c r="E27" s="2"/>
      <c r="F27" s="2"/>
      <c r="G27" s="2"/>
      <c r="H27" s="2"/>
      <c r="I27" s="2"/>
      <c r="J27" s="2"/>
    </row>
    <row r="28" spans="1:10" x14ac:dyDescent="0.25">
      <c r="B28" s="3"/>
      <c r="C28" s="3"/>
      <c r="D28" s="3"/>
      <c r="E28" s="2"/>
      <c r="F28" s="2"/>
      <c r="G28" s="2"/>
      <c r="H28" s="2"/>
      <c r="I28" s="2"/>
      <c r="J28" s="2"/>
    </row>
    <row r="29" spans="1:10" ht="13.8" x14ac:dyDescent="0.3">
      <c r="A29" s="11" t="s">
        <v>945</v>
      </c>
      <c r="D29" s="2"/>
      <c r="E29" s="2">
        <v>31156</v>
      </c>
      <c r="F29" s="2">
        <v>20003</v>
      </c>
      <c r="G29" s="2">
        <v>20588</v>
      </c>
      <c r="H29" s="2">
        <v>20588</v>
      </c>
      <c r="I29" s="2">
        <v>20588</v>
      </c>
      <c r="J29" s="2">
        <v>20588</v>
      </c>
    </row>
    <row r="30" spans="1:10" x14ac:dyDescent="0.25">
      <c r="A30" s="8" t="s">
        <v>946</v>
      </c>
      <c r="B30" s="2" t="s">
        <v>417</v>
      </c>
      <c r="C30" s="13" t="s">
        <v>417</v>
      </c>
      <c r="D30" s="2" t="s">
        <v>417</v>
      </c>
      <c r="E30" s="2"/>
      <c r="F30" s="2"/>
      <c r="G30" s="2"/>
      <c r="H30" s="2"/>
      <c r="I30" s="2"/>
      <c r="J30" s="2"/>
    </row>
    <row r="31" spans="1:10" x14ac:dyDescent="0.25">
      <c r="A31" s="8" t="s">
        <v>947</v>
      </c>
      <c r="B31" s="2">
        <v>600</v>
      </c>
      <c r="C31" s="13">
        <f>+C18*1.5</f>
        <v>34.3125</v>
      </c>
      <c r="D31" s="2">
        <f>ROUND(B31*C31,0)</f>
        <v>20588</v>
      </c>
      <c r="E31" s="2"/>
      <c r="F31" s="2"/>
      <c r="G31" s="2"/>
      <c r="H31" s="2"/>
      <c r="I31" s="2"/>
      <c r="J31" s="2"/>
    </row>
    <row r="32" spans="1:10" ht="15.75" customHeight="1" x14ac:dyDescent="0.25">
      <c r="B32" s="2"/>
      <c r="C32" s="13"/>
      <c r="D32" s="2"/>
      <c r="E32" s="2"/>
      <c r="F32" s="2"/>
      <c r="G32" s="2"/>
      <c r="H32" s="2"/>
      <c r="I32" s="2"/>
      <c r="J32" s="2"/>
    </row>
    <row r="33" spans="1:10" ht="13.8" x14ac:dyDescent="0.3">
      <c r="A33" s="11" t="s">
        <v>948</v>
      </c>
      <c r="D33" s="2"/>
      <c r="E33" s="2">
        <v>29665</v>
      </c>
      <c r="F33" s="2">
        <v>32697</v>
      </c>
      <c r="G33" s="2">
        <v>35337</v>
      </c>
      <c r="H33" s="2">
        <v>34432</v>
      </c>
      <c r="I33" s="2">
        <v>34432</v>
      </c>
      <c r="J33" s="2">
        <v>34432</v>
      </c>
    </row>
    <row r="34" spans="1:10" hidden="1" x14ac:dyDescent="0.25">
      <c r="A34" s="14" t="s">
        <v>1511</v>
      </c>
      <c r="B34" s="2">
        <f>+D7</f>
        <v>55120</v>
      </c>
      <c r="C34" s="15">
        <v>7.6499999999999999E-2</v>
      </c>
      <c r="D34" s="2">
        <f>ROUND(B34*C34,0)</f>
        <v>4217</v>
      </c>
      <c r="E34" s="2"/>
      <c r="F34" s="2"/>
      <c r="G34" s="2"/>
      <c r="H34" s="2"/>
      <c r="I34" s="2"/>
      <c r="J34" s="2"/>
    </row>
    <row r="35" spans="1:10" hidden="1" x14ac:dyDescent="0.25">
      <c r="A35" s="14" t="s">
        <v>831</v>
      </c>
      <c r="B35" s="2">
        <f>+D19</f>
        <v>337919</v>
      </c>
      <c r="C35" s="15">
        <v>7.6499999999999999E-2</v>
      </c>
      <c r="D35" s="2">
        <f>ROUND(B35*C35,0)</f>
        <v>25851</v>
      </c>
      <c r="E35" s="2"/>
      <c r="F35" s="2"/>
      <c r="G35" s="2"/>
      <c r="H35" s="2"/>
      <c r="I35" s="2"/>
      <c r="J35" s="2"/>
    </row>
    <row r="36" spans="1:10" hidden="1" x14ac:dyDescent="0.25">
      <c r="A36" s="14" t="s">
        <v>924</v>
      </c>
      <c r="B36" s="2">
        <f>+D22</f>
        <v>3578</v>
      </c>
      <c r="C36" s="15">
        <v>7.6499999999999999E-2</v>
      </c>
      <c r="D36" s="2">
        <f>ROUND(B36*C36,0)</f>
        <v>274</v>
      </c>
      <c r="E36" s="2"/>
      <c r="F36" s="2"/>
      <c r="G36" s="2"/>
      <c r="H36" s="2"/>
      <c r="I36" s="2"/>
      <c r="J36" s="2"/>
    </row>
    <row r="37" spans="1:10" hidden="1" x14ac:dyDescent="0.25">
      <c r="A37" s="14" t="s">
        <v>201</v>
      </c>
      <c r="B37" s="2">
        <f>+D27</f>
        <v>32872</v>
      </c>
      <c r="C37" s="15">
        <v>7.6499999999999999E-2</v>
      </c>
      <c r="D37" s="2">
        <f>ROUND(B37*C37,0)</f>
        <v>2515</v>
      </c>
      <c r="E37" s="2"/>
      <c r="F37" s="2"/>
      <c r="G37" s="2"/>
      <c r="H37" s="2"/>
      <c r="I37" s="2"/>
      <c r="J37" s="2"/>
    </row>
    <row r="38" spans="1:10" ht="15" hidden="1" x14ac:dyDescent="0.4">
      <c r="A38" s="14" t="s">
        <v>202</v>
      </c>
      <c r="B38" s="2">
        <f>+D31</f>
        <v>20588</v>
      </c>
      <c r="C38" s="15">
        <v>7.6499999999999999E-2</v>
      </c>
      <c r="D38" s="12">
        <f>ROUND(B38*C38,0)</f>
        <v>1575</v>
      </c>
      <c r="E38" s="2"/>
      <c r="F38" s="2"/>
      <c r="G38" s="2"/>
      <c r="H38" s="2"/>
      <c r="I38" s="2"/>
      <c r="J38" s="2"/>
    </row>
    <row r="39" spans="1:10" hidden="1" x14ac:dyDescent="0.25">
      <c r="A39" s="8" t="s">
        <v>1279</v>
      </c>
      <c r="D39" s="2">
        <f>SUM(D34:D38)</f>
        <v>34432</v>
      </c>
      <c r="E39" s="2"/>
      <c r="F39" s="2"/>
      <c r="G39" s="2"/>
      <c r="H39" s="2"/>
      <c r="I39" s="2"/>
      <c r="J39" s="2"/>
    </row>
    <row r="40" spans="1:10" x14ac:dyDescent="0.25">
      <c r="D40" s="2"/>
      <c r="E40" s="2"/>
      <c r="F40" s="2"/>
      <c r="G40" s="2"/>
      <c r="H40" s="2"/>
      <c r="I40" s="2"/>
      <c r="J40" s="2"/>
    </row>
    <row r="41" spans="1:10" ht="13.8" x14ac:dyDescent="0.3">
      <c r="A41" s="16" t="s">
        <v>1075</v>
      </c>
      <c r="D41" s="2"/>
      <c r="E41" s="2">
        <v>33942</v>
      </c>
      <c r="F41" s="2">
        <v>43990</v>
      </c>
      <c r="G41" s="2">
        <v>48189</v>
      </c>
      <c r="H41" s="2">
        <v>48189</v>
      </c>
      <c r="I41" s="2">
        <v>48189</v>
      </c>
      <c r="J41" s="2">
        <v>48189</v>
      </c>
    </row>
    <row r="42" spans="1:10" hidden="1" x14ac:dyDescent="0.25">
      <c r="A42" s="14" t="s">
        <v>1511</v>
      </c>
      <c r="B42" s="2">
        <f>+B34+B36</f>
        <v>58698</v>
      </c>
      <c r="C42" s="15">
        <v>0.1215</v>
      </c>
      <c r="D42" s="2">
        <f>ROUND(B42*C42,0)</f>
        <v>7132</v>
      </c>
      <c r="E42" s="2"/>
      <c r="F42" s="2"/>
      <c r="G42" s="2"/>
      <c r="H42" s="2"/>
      <c r="I42" s="2"/>
      <c r="J42" s="2"/>
    </row>
    <row r="43" spans="1:10" ht="15" hidden="1" x14ac:dyDescent="0.4">
      <c r="A43" s="8" t="s">
        <v>1417</v>
      </c>
      <c r="B43" s="2">
        <f>+D19</f>
        <v>337919</v>
      </c>
      <c r="C43" s="15">
        <v>0.1215</v>
      </c>
      <c r="D43" s="12">
        <f>ROUND(B43*C43,0)</f>
        <v>41057</v>
      </c>
      <c r="E43" s="2"/>
      <c r="F43" s="2"/>
      <c r="G43" s="2"/>
      <c r="H43" s="2"/>
      <c r="I43" s="2"/>
      <c r="J43" s="2"/>
    </row>
    <row r="44" spans="1:10" hidden="1" x14ac:dyDescent="0.25">
      <c r="A44" s="8" t="s">
        <v>1279</v>
      </c>
      <c r="D44" s="2">
        <f>SUM(D42:D43)</f>
        <v>48189</v>
      </c>
      <c r="E44" s="2"/>
      <c r="F44" s="2"/>
      <c r="G44" s="2"/>
      <c r="H44" s="2"/>
      <c r="I44" s="2"/>
      <c r="J44" s="2"/>
    </row>
    <row r="45" spans="1:10" x14ac:dyDescent="0.25">
      <c r="D45" s="2"/>
      <c r="E45" s="2"/>
      <c r="F45" s="2"/>
      <c r="G45" s="2"/>
      <c r="H45" s="2"/>
      <c r="I45" s="2"/>
      <c r="J45" s="2"/>
    </row>
    <row r="46" spans="1:10" ht="13.8" x14ac:dyDescent="0.3">
      <c r="A46" s="11" t="s">
        <v>1145</v>
      </c>
      <c r="D46" s="2"/>
      <c r="E46" s="2">
        <v>124258</v>
      </c>
      <c r="F46" s="2">
        <v>135900</v>
      </c>
      <c r="G46" s="2">
        <v>141250</v>
      </c>
      <c r="H46" s="2">
        <v>141250</v>
      </c>
      <c r="I46" s="2">
        <v>141250</v>
      </c>
      <c r="J46" s="2">
        <v>141250</v>
      </c>
    </row>
    <row r="47" spans="1:10" x14ac:dyDescent="0.25">
      <c r="A47" s="8" t="s">
        <v>1970</v>
      </c>
      <c r="B47" s="2">
        <v>1</v>
      </c>
      <c r="C47" s="2">
        <v>20500</v>
      </c>
      <c r="D47" s="2">
        <f>ROUND(B47*C47,0)</f>
        <v>20500</v>
      </c>
      <c r="E47" s="2"/>
      <c r="F47" s="2"/>
      <c r="G47" s="2"/>
      <c r="H47" s="2"/>
      <c r="I47" s="2"/>
      <c r="J47" s="2"/>
    </row>
    <row r="48" spans="1:10" ht="15" x14ac:dyDescent="0.4">
      <c r="A48" s="8" t="s">
        <v>1971</v>
      </c>
      <c r="B48" s="2">
        <v>7</v>
      </c>
      <c r="C48" s="2">
        <v>17250</v>
      </c>
      <c r="D48" s="12">
        <f>ROUND(B48*C48,0)</f>
        <v>120750</v>
      </c>
      <c r="E48" s="2"/>
      <c r="F48" s="2"/>
      <c r="G48" s="2"/>
      <c r="H48" s="2"/>
      <c r="I48" s="2"/>
      <c r="J48" s="2"/>
    </row>
    <row r="49" spans="1:10" x14ac:dyDescent="0.25">
      <c r="A49" s="8" t="s">
        <v>825</v>
      </c>
      <c r="B49" s="2"/>
      <c r="C49" s="2"/>
      <c r="D49" s="2">
        <f>SUM(D47:D48)</f>
        <v>141250</v>
      </c>
      <c r="E49" s="2"/>
      <c r="F49" s="2"/>
      <c r="G49" s="2"/>
      <c r="H49" s="2"/>
      <c r="I49" s="2"/>
      <c r="J49" s="2"/>
    </row>
    <row r="50" spans="1:10" x14ac:dyDescent="0.25">
      <c r="D50" s="2"/>
      <c r="E50" s="2"/>
      <c r="F50" s="2"/>
      <c r="G50" s="2"/>
      <c r="H50" s="2"/>
      <c r="I50" s="2"/>
      <c r="J50" s="2"/>
    </row>
    <row r="51" spans="1:10" ht="13.8" x14ac:dyDescent="0.3">
      <c r="A51" s="11" t="s">
        <v>210</v>
      </c>
      <c r="D51" s="2"/>
      <c r="E51" s="2">
        <v>8311</v>
      </c>
      <c r="F51" s="2">
        <v>9490</v>
      </c>
      <c r="G51" s="2">
        <v>9490</v>
      </c>
      <c r="H51" s="2">
        <v>9490</v>
      </c>
      <c r="I51" s="2">
        <v>9490</v>
      </c>
      <c r="J51" s="2">
        <v>9490</v>
      </c>
    </row>
    <row r="52" spans="1:10" x14ac:dyDescent="0.25">
      <c r="A52" s="8" t="s">
        <v>324</v>
      </c>
      <c r="B52" s="2">
        <v>1</v>
      </c>
      <c r="C52" s="2">
        <v>1300</v>
      </c>
      <c r="D52" s="2">
        <f>ROUND(B52*C52,0)</f>
        <v>1300</v>
      </c>
      <c r="E52" s="2"/>
      <c r="F52" s="2"/>
      <c r="G52" s="2"/>
      <c r="H52" s="2"/>
      <c r="I52" s="2"/>
      <c r="J52" s="2"/>
    </row>
    <row r="53" spans="1:10" x14ac:dyDescent="0.25">
      <c r="A53" s="8" t="s">
        <v>626</v>
      </c>
      <c r="B53" s="2">
        <v>7</v>
      </c>
      <c r="C53" s="2">
        <v>1300</v>
      </c>
      <c r="D53" s="2">
        <f>ROUND(B53*C53,0)</f>
        <v>9100</v>
      </c>
      <c r="E53" s="2"/>
      <c r="F53" s="2"/>
      <c r="G53" s="2"/>
      <c r="H53" s="2"/>
      <c r="I53" s="2"/>
      <c r="J53" s="2"/>
    </row>
    <row r="54" spans="1:10" x14ac:dyDescent="0.25">
      <c r="A54" s="8" t="s">
        <v>627</v>
      </c>
      <c r="B54" s="2"/>
      <c r="C54" s="2"/>
      <c r="D54" s="19">
        <f>+C53*-0.1*7</f>
        <v>-910</v>
      </c>
      <c r="E54" s="2"/>
      <c r="F54" s="2"/>
      <c r="G54" s="2"/>
      <c r="H54" s="2"/>
      <c r="I54" s="2"/>
      <c r="J54" s="2"/>
    </row>
    <row r="55" spans="1:10" x14ac:dyDescent="0.25">
      <c r="A55" s="8" t="s">
        <v>825</v>
      </c>
      <c r="B55" s="2"/>
      <c r="C55" s="2"/>
      <c r="D55" s="2">
        <f>SUM(D52:D54)</f>
        <v>9490</v>
      </c>
      <c r="E55" s="2"/>
      <c r="F55" s="2"/>
      <c r="G55" s="2"/>
      <c r="H55" s="2"/>
      <c r="I55" s="2"/>
      <c r="J55" s="2"/>
    </row>
    <row r="56" spans="1:10" x14ac:dyDescent="0.25">
      <c r="D56" s="2"/>
      <c r="E56" s="2"/>
      <c r="F56" s="2"/>
      <c r="G56" s="2"/>
      <c r="H56" s="2"/>
      <c r="I56" s="2"/>
      <c r="J56" s="2"/>
    </row>
    <row r="57" spans="1:10" ht="13.8" x14ac:dyDescent="0.3">
      <c r="A57" s="11" t="s">
        <v>211</v>
      </c>
      <c r="D57" s="2"/>
      <c r="E57" s="2">
        <v>627</v>
      </c>
      <c r="F57" s="2">
        <v>980</v>
      </c>
      <c r="G57" s="2">
        <v>1080</v>
      </c>
      <c r="H57" s="2">
        <v>1080</v>
      </c>
      <c r="I57" s="2">
        <v>1080</v>
      </c>
      <c r="J57" s="2">
        <v>1080</v>
      </c>
    </row>
    <row r="58" spans="1:10" hidden="1" x14ac:dyDescent="0.25">
      <c r="A58" s="14" t="s">
        <v>1511</v>
      </c>
      <c r="B58" s="2">
        <v>1</v>
      </c>
      <c r="C58" s="2">
        <v>135</v>
      </c>
      <c r="D58" s="2">
        <f>ROUND(B58*C58,0)</f>
        <v>135</v>
      </c>
      <c r="E58" s="2"/>
      <c r="F58" s="2"/>
      <c r="G58" s="2"/>
      <c r="H58" s="2"/>
      <c r="I58" s="2"/>
      <c r="J58" s="2"/>
    </row>
    <row r="59" spans="1:10" ht="15" hidden="1" x14ac:dyDescent="0.4">
      <c r="A59" s="14" t="s">
        <v>831</v>
      </c>
      <c r="B59" s="2">
        <v>7</v>
      </c>
      <c r="C59" s="2">
        <v>135</v>
      </c>
      <c r="D59" s="12">
        <f>ROUND(B59*C59,0)</f>
        <v>945</v>
      </c>
      <c r="E59" s="2"/>
      <c r="F59" s="2"/>
      <c r="G59" s="2"/>
      <c r="H59" s="2"/>
      <c r="I59" s="2"/>
      <c r="J59" s="2"/>
    </row>
    <row r="60" spans="1:10" hidden="1" x14ac:dyDescent="0.25">
      <c r="A60" s="8" t="s">
        <v>1279</v>
      </c>
      <c r="B60" s="2"/>
      <c r="C60" s="2"/>
      <c r="D60" s="2">
        <f>SUM(D58:D59)</f>
        <v>1080</v>
      </c>
      <c r="E60" s="2"/>
      <c r="F60" s="2"/>
      <c r="G60" s="2"/>
      <c r="H60" s="2"/>
      <c r="I60" s="2"/>
      <c r="J60" s="2"/>
    </row>
    <row r="61" spans="1:10" x14ac:dyDescent="0.25">
      <c r="D61" s="2"/>
      <c r="E61" s="2"/>
      <c r="F61" s="2"/>
      <c r="G61" s="2"/>
      <c r="H61" s="2"/>
      <c r="I61" s="2"/>
      <c r="J61" s="2"/>
    </row>
    <row r="62" spans="1:10" ht="13.8" x14ac:dyDescent="0.3">
      <c r="A62" s="11" t="s">
        <v>212</v>
      </c>
      <c r="D62" s="2"/>
      <c r="E62" s="2">
        <v>2605</v>
      </c>
      <c r="F62" s="2">
        <v>3280</v>
      </c>
      <c r="G62" s="2">
        <v>3280</v>
      </c>
      <c r="H62" s="2">
        <v>3280</v>
      </c>
      <c r="I62" s="2">
        <v>3280</v>
      </c>
      <c r="J62" s="2">
        <v>3280</v>
      </c>
    </row>
    <row r="63" spans="1:10" hidden="1" x14ac:dyDescent="0.25">
      <c r="A63" s="14" t="s">
        <v>1511</v>
      </c>
      <c r="B63" s="2">
        <v>1</v>
      </c>
      <c r="C63" s="2">
        <v>410</v>
      </c>
      <c r="D63" s="2">
        <f>ROUND(B63*C63,0)</f>
        <v>410</v>
      </c>
      <c r="E63" s="2"/>
      <c r="F63" s="2"/>
      <c r="G63" s="2"/>
      <c r="H63" s="2"/>
      <c r="I63" s="2"/>
      <c r="J63" s="2"/>
    </row>
    <row r="64" spans="1:10" ht="15" hidden="1" x14ac:dyDescent="0.4">
      <c r="A64" s="14" t="s">
        <v>831</v>
      </c>
      <c r="B64" s="2">
        <v>7</v>
      </c>
      <c r="C64" s="2">
        <v>410</v>
      </c>
      <c r="D64" s="12">
        <f>ROUND(B64*C64,0)</f>
        <v>2870</v>
      </c>
      <c r="E64" s="2"/>
      <c r="F64" s="2"/>
      <c r="G64" s="2"/>
      <c r="H64" s="2"/>
      <c r="I64" s="2"/>
      <c r="J64" s="2"/>
    </row>
    <row r="65" spans="1:10" hidden="1" x14ac:dyDescent="0.25">
      <c r="A65" s="8" t="s">
        <v>1279</v>
      </c>
      <c r="B65" s="2"/>
      <c r="C65" s="2"/>
      <c r="D65" s="2">
        <f>SUM(D63:D64)</f>
        <v>3280</v>
      </c>
      <c r="E65" s="2"/>
      <c r="F65" s="2"/>
      <c r="G65" s="2"/>
      <c r="H65" s="2"/>
      <c r="I65" s="2"/>
      <c r="J65" s="2"/>
    </row>
    <row r="66" spans="1:10" x14ac:dyDescent="0.25">
      <c r="E66" s="2"/>
      <c r="F66" s="2"/>
      <c r="G66" s="2"/>
      <c r="H66" s="2"/>
      <c r="I66" s="2"/>
      <c r="J66" s="2"/>
    </row>
    <row r="67" spans="1:10" ht="13.8" x14ac:dyDescent="0.3">
      <c r="A67" s="11" t="s">
        <v>213</v>
      </c>
      <c r="B67" s="137"/>
      <c r="E67" s="2">
        <v>634</v>
      </c>
      <c r="F67" s="2">
        <v>676</v>
      </c>
      <c r="G67" s="2">
        <v>771</v>
      </c>
      <c r="H67" s="2">
        <v>751</v>
      </c>
      <c r="I67" s="2">
        <v>751</v>
      </c>
      <c r="J67" s="2">
        <v>751</v>
      </c>
    </row>
    <row r="68" spans="1:10" hidden="1" x14ac:dyDescent="0.25">
      <c r="A68" s="14" t="s">
        <v>1511</v>
      </c>
      <c r="B68" s="2">
        <f>+B34</f>
        <v>55120</v>
      </c>
      <c r="C68" s="15">
        <v>1.6999999999999999E-3</v>
      </c>
      <c r="D68" s="2">
        <f>ROUND(B68*C68,0)</f>
        <v>94</v>
      </c>
      <c r="E68" s="2"/>
      <c r="F68" s="2"/>
      <c r="G68" s="2"/>
      <c r="H68" s="2"/>
      <c r="I68" s="2"/>
      <c r="J68" s="2"/>
    </row>
    <row r="69" spans="1:10" hidden="1" x14ac:dyDescent="0.25">
      <c r="A69" s="14" t="s">
        <v>831</v>
      </c>
      <c r="B69" s="2">
        <f>+D19</f>
        <v>337919</v>
      </c>
      <c r="C69" s="15">
        <v>1.6999999999999999E-3</v>
      </c>
      <c r="D69" s="2">
        <f>ROUND(B69*C69,0)</f>
        <v>574</v>
      </c>
      <c r="E69" s="2"/>
      <c r="F69" s="2"/>
      <c r="G69" s="2"/>
      <c r="H69" s="2"/>
      <c r="I69" s="2"/>
      <c r="J69" s="2"/>
    </row>
    <row r="70" spans="1:10" hidden="1" x14ac:dyDescent="0.25">
      <c r="A70" s="14" t="s">
        <v>309</v>
      </c>
      <c r="B70" s="2">
        <f>+D22*0.67</f>
        <v>2397.2600000000002</v>
      </c>
      <c r="C70" s="15">
        <v>1.6999999999999999E-3</v>
      </c>
      <c r="D70" s="2">
        <f>ROUND(B70*C70,0)</f>
        <v>4</v>
      </c>
      <c r="F70" s="2"/>
      <c r="G70" s="2"/>
      <c r="H70" s="2"/>
      <c r="I70" s="2"/>
      <c r="J70" s="2"/>
    </row>
    <row r="71" spans="1:10" hidden="1" x14ac:dyDescent="0.25">
      <c r="A71" s="14" t="s">
        <v>201</v>
      </c>
      <c r="B71" s="2">
        <f>+D27</f>
        <v>32872</v>
      </c>
      <c r="C71" s="15">
        <v>1.6999999999999999E-3</v>
      </c>
      <c r="D71" s="2">
        <f>ROUND(B71*C71,0)</f>
        <v>56</v>
      </c>
      <c r="E71" s="2"/>
      <c r="F71" s="2"/>
      <c r="G71" s="2"/>
      <c r="H71" s="2"/>
      <c r="I71" s="2"/>
      <c r="J71" s="2"/>
    </row>
    <row r="72" spans="1:10" ht="15" hidden="1" x14ac:dyDescent="0.4">
      <c r="A72" s="14" t="s">
        <v>354</v>
      </c>
      <c r="B72" s="2">
        <f>ROUND(D31*0.67,0)</f>
        <v>13794</v>
      </c>
      <c r="C72" s="15">
        <v>1.6999999999999999E-3</v>
      </c>
      <c r="D72" s="12">
        <f>ROUND(B72*C72,0)</f>
        <v>23</v>
      </c>
      <c r="E72" s="2"/>
      <c r="F72" s="2"/>
      <c r="G72" s="2"/>
      <c r="H72" s="2"/>
      <c r="I72" s="2"/>
      <c r="J72" s="2"/>
    </row>
    <row r="73" spans="1:10" hidden="1" x14ac:dyDescent="0.25">
      <c r="A73" s="8" t="s">
        <v>1279</v>
      </c>
      <c r="D73" s="2">
        <f>SUM(D68:D72)</f>
        <v>751</v>
      </c>
      <c r="E73" s="2"/>
      <c r="F73" s="2"/>
      <c r="G73" s="2"/>
      <c r="H73" s="2"/>
      <c r="I73" s="2"/>
      <c r="J73" s="2"/>
    </row>
    <row r="74" spans="1:10" x14ac:dyDescent="0.25">
      <c r="E74" s="2"/>
      <c r="F74" s="2"/>
      <c r="G74" s="2"/>
      <c r="H74" s="2"/>
      <c r="I74" s="2"/>
      <c r="J74" s="2"/>
    </row>
    <row r="75" spans="1:10" ht="13.8" x14ac:dyDescent="0.3">
      <c r="A75" s="11" t="s">
        <v>1385</v>
      </c>
      <c r="D75" s="2"/>
      <c r="E75" s="2">
        <v>406</v>
      </c>
      <c r="F75" s="2">
        <v>441</v>
      </c>
      <c r="G75" s="2">
        <v>343</v>
      </c>
      <c r="H75" s="2">
        <v>314</v>
      </c>
      <c r="I75" s="2">
        <v>314</v>
      </c>
      <c r="J75" s="2">
        <v>314</v>
      </c>
    </row>
    <row r="76" spans="1:10" hidden="1" x14ac:dyDescent="0.25">
      <c r="A76" s="14" t="s">
        <v>1511</v>
      </c>
      <c r="B76" s="2">
        <v>1</v>
      </c>
      <c r="C76" s="2">
        <v>35</v>
      </c>
      <c r="D76" s="2">
        <f>ROUND(B76*C76,0)</f>
        <v>35</v>
      </c>
      <c r="E76" s="2"/>
      <c r="F76" s="2"/>
      <c r="G76" s="2"/>
      <c r="H76" s="2"/>
      <c r="I76" s="2"/>
      <c r="J76" s="2"/>
    </row>
    <row r="77" spans="1:10" hidden="1" x14ac:dyDescent="0.25">
      <c r="A77" s="14" t="s">
        <v>831</v>
      </c>
      <c r="B77" s="2">
        <v>7</v>
      </c>
      <c r="C77" s="2">
        <v>35</v>
      </c>
      <c r="D77" s="2">
        <f>ROUND(B77*C77,0)</f>
        <v>245</v>
      </c>
      <c r="E77" s="2"/>
      <c r="F77" s="2"/>
      <c r="G77" s="2"/>
      <c r="H77" s="2"/>
      <c r="I77" s="2"/>
      <c r="J77" s="2"/>
    </row>
    <row r="78" spans="1:10" ht="15" hidden="1" x14ac:dyDescent="0.4">
      <c r="A78" s="14" t="s">
        <v>201</v>
      </c>
      <c r="B78" s="2">
        <f>+D25</f>
        <v>13528</v>
      </c>
      <c r="C78" s="15">
        <v>2.5000000000000001E-3</v>
      </c>
      <c r="D78" s="12">
        <f>ROUND(B78*C78,0)</f>
        <v>34</v>
      </c>
      <c r="E78" s="2"/>
      <c r="F78" s="2"/>
      <c r="G78" s="2"/>
      <c r="H78" s="2"/>
      <c r="I78" s="2"/>
      <c r="J78" s="2"/>
    </row>
    <row r="79" spans="1:10" hidden="1" x14ac:dyDescent="0.25">
      <c r="A79" s="8" t="s">
        <v>1279</v>
      </c>
      <c r="D79" s="2">
        <f>SUM(D76:D78)</f>
        <v>314</v>
      </c>
      <c r="E79" s="2"/>
      <c r="F79" s="2"/>
      <c r="G79" s="2"/>
      <c r="H79" s="2"/>
      <c r="I79" s="2"/>
      <c r="J79" s="2"/>
    </row>
    <row r="80" spans="1:10" x14ac:dyDescent="0.25">
      <c r="D80" s="2"/>
      <c r="E80" s="2"/>
      <c r="F80" s="2"/>
      <c r="G80" s="2"/>
      <c r="H80" s="2"/>
      <c r="I80" s="2"/>
      <c r="J80" s="2"/>
    </row>
    <row r="81" spans="1:10" ht="13.8" x14ac:dyDescent="0.3">
      <c r="A81" s="11" t="s">
        <v>1386</v>
      </c>
      <c r="D81" s="2"/>
      <c r="E81" s="2">
        <v>2526</v>
      </c>
      <c r="F81" s="2">
        <v>3000</v>
      </c>
      <c r="G81" s="2">
        <v>4000</v>
      </c>
      <c r="H81" s="2">
        <v>4000</v>
      </c>
      <c r="I81" s="2">
        <v>4000</v>
      </c>
      <c r="J81" s="2">
        <v>4000</v>
      </c>
    </row>
    <row r="82" spans="1:10" ht="15" x14ac:dyDescent="0.4">
      <c r="A82" s="8" t="s">
        <v>810</v>
      </c>
      <c r="C82" s="2"/>
      <c r="D82" s="12">
        <v>4000</v>
      </c>
      <c r="E82" s="2"/>
      <c r="F82" s="2"/>
      <c r="G82" s="2"/>
      <c r="H82" s="2"/>
      <c r="I82" s="2"/>
      <c r="J82" s="2"/>
    </row>
    <row r="83" spans="1:10" x14ac:dyDescent="0.25">
      <c r="C83" s="2"/>
      <c r="D83" s="2">
        <v>4000</v>
      </c>
      <c r="E83" s="2"/>
      <c r="F83" s="2"/>
      <c r="G83" s="2"/>
      <c r="H83" s="2"/>
      <c r="I83" s="2"/>
      <c r="J83" s="2"/>
    </row>
    <row r="84" spans="1:10" ht="13.8" x14ac:dyDescent="0.3">
      <c r="A84" s="11" t="s">
        <v>811</v>
      </c>
      <c r="C84" s="2"/>
      <c r="D84" s="2"/>
      <c r="E84" s="2">
        <v>965</v>
      </c>
      <c r="F84" s="2">
        <v>500</v>
      </c>
      <c r="G84" s="2">
        <v>500</v>
      </c>
      <c r="H84" s="2">
        <v>500</v>
      </c>
      <c r="I84" s="2">
        <v>500</v>
      </c>
      <c r="J84" s="2">
        <v>500</v>
      </c>
    </row>
    <row r="85" spans="1:10" x14ac:dyDescent="0.25">
      <c r="A85" s="8" t="s">
        <v>1423</v>
      </c>
      <c r="C85" s="2"/>
      <c r="D85" s="2">
        <v>500</v>
      </c>
      <c r="E85" s="2"/>
      <c r="F85" s="2"/>
      <c r="G85" s="2"/>
      <c r="H85" s="2"/>
      <c r="I85" s="2"/>
      <c r="J85" s="2"/>
    </row>
    <row r="86" spans="1:10" x14ac:dyDescent="0.25">
      <c r="A86" s="8" t="s">
        <v>417</v>
      </c>
      <c r="C86" s="2" t="s">
        <v>417</v>
      </c>
      <c r="D86" s="2" t="s">
        <v>417</v>
      </c>
      <c r="E86" s="2"/>
      <c r="F86" s="2"/>
      <c r="G86" s="2"/>
      <c r="H86" s="2"/>
      <c r="I86" s="2"/>
      <c r="J86" s="2"/>
    </row>
    <row r="87" spans="1:10" ht="13.8" x14ac:dyDescent="0.3">
      <c r="A87" s="11" t="s">
        <v>1424</v>
      </c>
      <c r="C87" s="2" t="s">
        <v>417</v>
      </c>
      <c r="D87" s="2" t="s">
        <v>417</v>
      </c>
      <c r="E87" s="2">
        <v>2382</v>
      </c>
      <c r="F87" s="2">
        <v>3300</v>
      </c>
      <c r="G87" s="2">
        <v>3300</v>
      </c>
      <c r="H87" s="2">
        <v>3300</v>
      </c>
      <c r="I87" s="2">
        <v>3300</v>
      </c>
      <c r="J87" s="2">
        <v>3300</v>
      </c>
    </row>
    <row r="88" spans="1:10" x14ac:dyDescent="0.25">
      <c r="A88" s="8" t="s">
        <v>229</v>
      </c>
      <c r="B88" s="2">
        <v>7</v>
      </c>
      <c r="C88" s="2">
        <v>400</v>
      </c>
      <c r="D88" s="2">
        <f>ROUND(B88*C88,0)</f>
        <v>2800</v>
      </c>
      <c r="E88" s="2"/>
      <c r="F88" s="2"/>
      <c r="G88" s="2"/>
      <c r="H88" s="2"/>
      <c r="I88" s="2"/>
      <c r="J88" s="2"/>
    </row>
    <row r="89" spans="1:10" ht="15" x14ac:dyDescent="0.4">
      <c r="A89" s="8" t="s">
        <v>238</v>
      </c>
      <c r="B89" s="2">
        <v>1</v>
      </c>
      <c r="C89" s="12">
        <v>500</v>
      </c>
      <c r="D89" s="12">
        <f>ROUND(B89*C89,0)</f>
        <v>500</v>
      </c>
      <c r="E89" s="2"/>
      <c r="F89" s="2"/>
      <c r="G89" s="2"/>
      <c r="H89" s="2"/>
      <c r="I89" s="2"/>
      <c r="J89" s="2"/>
    </row>
    <row r="90" spans="1:10" x14ac:dyDescent="0.25">
      <c r="A90" s="8" t="s">
        <v>1279</v>
      </c>
      <c r="C90" s="2">
        <f>SUM(C88:C89)</f>
        <v>900</v>
      </c>
      <c r="D90" s="2">
        <f>SUM(D88:D89)</f>
        <v>3300</v>
      </c>
      <c r="E90" s="2"/>
      <c r="F90" s="2"/>
      <c r="G90" s="2"/>
      <c r="H90" s="2"/>
      <c r="I90" s="2"/>
      <c r="J90" s="2"/>
    </row>
    <row r="91" spans="1:10" x14ac:dyDescent="0.25">
      <c r="C91" s="2"/>
      <c r="D91" s="2"/>
      <c r="E91" s="2"/>
      <c r="F91" s="2"/>
      <c r="G91" s="2"/>
      <c r="H91" s="2"/>
      <c r="I91" s="2"/>
      <c r="J91" s="2"/>
    </row>
    <row r="92" spans="1:10" ht="13.8" x14ac:dyDescent="0.3">
      <c r="A92" s="11" t="s">
        <v>239</v>
      </c>
      <c r="C92" s="2"/>
      <c r="D92" s="2"/>
      <c r="E92" s="2">
        <v>0</v>
      </c>
      <c r="F92" s="2">
        <v>170</v>
      </c>
      <c r="G92" s="2">
        <v>270</v>
      </c>
      <c r="H92" s="2">
        <v>270</v>
      </c>
      <c r="I92" s="2">
        <v>270</v>
      </c>
      <c r="J92" s="2">
        <v>270</v>
      </c>
    </row>
    <row r="93" spans="1:10" x14ac:dyDescent="0.25">
      <c r="A93" s="8" t="s">
        <v>1144</v>
      </c>
      <c r="C93" s="2"/>
      <c r="D93" s="2">
        <v>270</v>
      </c>
      <c r="E93" s="2"/>
      <c r="F93" s="2"/>
      <c r="G93" s="2"/>
      <c r="H93" s="2"/>
      <c r="I93" s="2"/>
      <c r="J93" s="2"/>
    </row>
    <row r="94" spans="1:10" x14ac:dyDescent="0.25">
      <c r="C94" s="2"/>
      <c r="D94" s="2"/>
      <c r="E94" s="2"/>
      <c r="F94" s="2"/>
      <c r="G94" s="2"/>
      <c r="H94" s="2"/>
      <c r="I94" s="2"/>
      <c r="J94" s="2"/>
    </row>
    <row r="95" spans="1:10" ht="13.8" x14ac:dyDescent="0.3">
      <c r="A95" s="11" t="s">
        <v>852</v>
      </c>
      <c r="C95" s="2"/>
      <c r="D95" s="2"/>
      <c r="E95" s="2">
        <v>28108</v>
      </c>
      <c r="F95" s="2">
        <v>25950</v>
      </c>
      <c r="G95" s="2">
        <v>25290</v>
      </c>
      <c r="H95" s="2">
        <v>22410</v>
      </c>
      <c r="I95" s="2">
        <v>22410</v>
      </c>
      <c r="J95" s="2">
        <v>22410</v>
      </c>
    </row>
    <row r="96" spans="1:10" x14ac:dyDescent="0.25">
      <c r="A96" s="8" t="s">
        <v>977</v>
      </c>
      <c r="D96" s="2">
        <v>3500</v>
      </c>
      <c r="F96" s="2"/>
      <c r="G96" s="2"/>
      <c r="H96" s="2"/>
      <c r="I96" s="2"/>
      <c r="J96" s="2"/>
    </row>
    <row r="97" spans="1:10" x14ac:dyDescent="0.25">
      <c r="A97" s="8" t="s">
        <v>1766</v>
      </c>
      <c r="C97" s="2"/>
      <c r="D97" s="2">
        <v>4000</v>
      </c>
      <c r="F97" s="2"/>
      <c r="G97" s="2"/>
      <c r="H97" s="2"/>
      <c r="I97" s="2"/>
      <c r="J97" s="2"/>
    </row>
    <row r="98" spans="1:10" x14ac:dyDescent="0.25">
      <c r="A98" s="8" t="s">
        <v>853</v>
      </c>
      <c r="C98" s="2"/>
      <c r="D98" s="2">
        <v>0</v>
      </c>
      <c r="F98" s="2"/>
      <c r="G98" s="2"/>
      <c r="H98" s="2"/>
      <c r="I98" s="2"/>
      <c r="J98" s="2"/>
    </row>
    <row r="99" spans="1:10" x14ac:dyDescent="0.25">
      <c r="A99" s="8" t="s">
        <v>1767</v>
      </c>
      <c r="C99" s="2"/>
      <c r="D99" s="2">
        <v>11000</v>
      </c>
      <c r="F99" s="2"/>
      <c r="G99" s="2"/>
      <c r="H99" s="2"/>
      <c r="I99" s="2"/>
      <c r="J99" s="2"/>
    </row>
    <row r="100" spans="1:10" ht="15" x14ac:dyDescent="0.4">
      <c r="A100" s="8" t="s">
        <v>2055</v>
      </c>
      <c r="D100" s="12">
        <v>3910</v>
      </c>
      <c r="F100" s="2"/>
      <c r="G100" s="2"/>
      <c r="H100" s="2"/>
      <c r="I100" s="2"/>
      <c r="J100" s="2"/>
    </row>
    <row r="101" spans="1:10" x14ac:dyDescent="0.25">
      <c r="A101" s="8" t="s">
        <v>1279</v>
      </c>
      <c r="C101" s="2"/>
      <c r="D101" s="2">
        <f>SUM(D96:D100)</f>
        <v>22410</v>
      </c>
      <c r="F101" s="2"/>
      <c r="G101" s="2"/>
      <c r="H101" s="2"/>
      <c r="I101" s="2"/>
      <c r="J101" s="2"/>
    </row>
    <row r="102" spans="1:10" x14ac:dyDescent="0.25">
      <c r="C102" s="2"/>
      <c r="D102" s="2"/>
      <c r="E102" s="2"/>
      <c r="F102" s="2"/>
      <c r="G102" s="2"/>
      <c r="H102" s="2"/>
      <c r="I102" s="2"/>
      <c r="J102" s="2"/>
    </row>
    <row r="103" spans="1:10" ht="13.8" x14ac:dyDescent="0.3">
      <c r="A103" s="18" t="s">
        <v>53</v>
      </c>
      <c r="D103" s="2"/>
      <c r="E103" s="2">
        <v>5365</v>
      </c>
      <c r="F103" s="2">
        <v>4770</v>
      </c>
      <c r="G103" s="2">
        <v>6315</v>
      </c>
      <c r="H103" s="2">
        <v>5936</v>
      </c>
      <c r="I103" s="2">
        <v>5936</v>
      </c>
      <c r="J103" s="2">
        <v>5936</v>
      </c>
    </row>
    <row r="104" spans="1:10" hidden="1" x14ac:dyDescent="0.25">
      <c r="A104" s="8" t="s">
        <v>1515</v>
      </c>
      <c r="D104" s="2">
        <v>4770</v>
      </c>
      <c r="E104" s="2"/>
      <c r="F104" s="2"/>
      <c r="G104" s="2"/>
      <c r="H104" s="2"/>
      <c r="I104" s="2"/>
      <c r="J104" s="2"/>
    </row>
    <row r="105" spans="1:10" x14ac:dyDescent="0.25">
      <c r="C105" s="2"/>
      <c r="D105" s="2"/>
      <c r="E105" s="2"/>
      <c r="F105" s="2"/>
      <c r="G105" s="2"/>
      <c r="H105" s="2"/>
      <c r="I105" s="2"/>
      <c r="J105" s="2"/>
    </row>
    <row r="106" spans="1:10" ht="13.8" x14ac:dyDescent="0.3">
      <c r="A106" s="55" t="s">
        <v>1974</v>
      </c>
      <c r="C106" s="2"/>
      <c r="D106" s="2"/>
      <c r="E106" s="2">
        <v>2400</v>
      </c>
      <c r="F106" s="2"/>
      <c r="G106" s="2"/>
      <c r="H106" s="2"/>
      <c r="I106" s="2"/>
      <c r="J106" s="2"/>
    </row>
    <row r="107" spans="1:10" x14ac:dyDescent="0.25">
      <c r="C107" s="2"/>
      <c r="D107" s="2"/>
      <c r="E107" s="2"/>
      <c r="F107" s="2"/>
      <c r="G107" s="2"/>
      <c r="H107" s="2"/>
      <c r="I107" s="2"/>
      <c r="J107" s="2"/>
    </row>
    <row r="108" spans="1:10" ht="13.8" x14ac:dyDescent="0.3">
      <c r="A108" s="11" t="s">
        <v>6</v>
      </c>
      <c r="C108" s="2"/>
      <c r="D108" s="9" t="s">
        <v>417</v>
      </c>
      <c r="E108" s="2">
        <v>19747</v>
      </c>
      <c r="F108" s="2">
        <v>24845</v>
      </c>
      <c r="G108" s="2">
        <v>25445</v>
      </c>
      <c r="H108" s="2">
        <v>25445</v>
      </c>
      <c r="I108" s="2">
        <v>25445</v>
      </c>
      <c r="J108" s="2">
        <v>25445</v>
      </c>
    </row>
    <row r="109" spans="1:10" x14ac:dyDescent="0.25">
      <c r="A109" s="8" t="s">
        <v>7</v>
      </c>
      <c r="C109" s="2"/>
      <c r="D109" s="2">
        <v>6500</v>
      </c>
      <c r="E109" s="2"/>
      <c r="F109" s="2"/>
      <c r="G109" s="2"/>
      <c r="H109" s="2"/>
      <c r="I109" s="2"/>
      <c r="J109" s="2"/>
    </row>
    <row r="110" spans="1:10" x14ac:dyDescent="0.25">
      <c r="A110" s="8" t="s">
        <v>537</v>
      </c>
      <c r="C110" s="2"/>
      <c r="D110" s="2">
        <v>350</v>
      </c>
      <c r="E110" s="2"/>
      <c r="F110" s="2"/>
      <c r="G110" s="2"/>
      <c r="H110" s="2"/>
      <c r="I110" s="2"/>
      <c r="J110" s="2"/>
    </row>
    <row r="111" spans="1:10" x14ac:dyDescent="0.25">
      <c r="A111" s="8" t="s">
        <v>8</v>
      </c>
      <c r="C111" s="2"/>
      <c r="D111" s="2">
        <v>600</v>
      </c>
      <c r="E111" s="2"/>
      <c r="F111" s="2"/>
      <c r="G111" s="2"/>
      <c r="H111" s="2"/>
      <c r="I111" s="2"/>
      <c r="J111" s="2"/>
    </row>
    <row r="112" spans="1:10" x14ac:dyDescent="0.25">
      <c r="A112" s="8" t="s">
        <v>1305</v>
      </c>
      <c r="C112" s="1"/>
      <c r="D112" s="2">
        <v>13600</v>
      </c>
      <c r="E112" s="1"/>
      <c r="F112" s="1"/>
      <c r="G112" s="1"/>
      <c r="H112" s="1"/>
      <c r="I112" s="1"/>
      <c r="J112" s="1"/>
    </row>
    <row r="113" spans="1:10" x14ac:dyDescent="0.25">
      <c r="A113" s="8" t="s">
        <v>1856</v>
      </c>
      <c r="C113" s="1"/>
      <c r="D113" s="2">
        <v>3000</v>
      </c>
      <c r="E113" s="1"/>
      <c r="F113" s="1"/>
      <c r="G113" s="1"/>
      <c r="H113" s="1"/>
      <c r="I113" s="1"/>
      <c r="J113" s="1"/>
    </row>
    <row r="114" spans="1:10" ht="16.8" x14ac:dyDescent="0.55000000000000004">
      <c r="A114" s="8" t="s">
        <v>2056</v>
      </c>
      <c r="C114" s="1"/>
      <c r="D114" s="2">
        <v>600</v>
      </c>
      <c r="E114" s="82"/>
      <c r="F114" s="82"/>
      <c r="G114" s="1"/>
      <c r="H114" s="1"/>
      <c r="I114" s="1"/>
      <c r="J114" s="1"/>
    </row>
    <row r="115" spans="1:10" ht="16.8" x14ac:dyDescent="0.55000000000000004">
      <c r="A115" s="8" t="s">
        <v>1478</v>
      </c>
      <c r="C115" s="82"/>
      <c r="D115" s="12">
        <v>795</v>
      </c>
      <c r="E115" s="2"/>
      <c r="F115" s="2"/>
      <c r="G115" s="82"/>
      <c r="H115" s="82"/>
      <c r="I115" s="82"/>
      <c r="J115" s="82"/>
    </row>
    <row r="116" spans="1:10" x14ac:dyDescent="0.25">
      <c r="A116" s="8" t="s">
        <v>1279</v>
      </c>
      <c r="C116" s="2"/>
      <c r="D116" s="2">
        <f>SUM(D109:D115)</f>
        <v>25445</v>
      </c>
      <c r="E116" s="2"/>
      <c r="F116" s="2"/>
      <c r="G116" s="2"/>
      <c r="H116" s="2"/>
      <c r="I116" s="2"/>
      <c r="J116" s="2"/>
    </row>
    <row r="117" spans="1:10" x14ac:dyDescent="0.25">
      <c r="C117" s="2"/>
      <c r="D117" s="2"/>
      <c r="G117" s="2"/>
      <c r="H117" s="2"/>
      <c r="I117" s="2"/>
      <c r="J117" s="2"/>
    </row>
    <row r="118" spans="1:10" ht="13.8" x14ac:dyDescent="0.3">
      <c r="A118" s="11" t="s">
        <v>9</v>
      </c>
      <c r="C118" s="2"/>
      <c r="D118" s="2"/>
      <c r="E118" s="2">
        <v>6829</v>
      </c>
      <c r="F118" s="2">
        <v>8000</v>
      </c>
      <c r="G118" s="2">
        <v>8000</v>
      </c>
      <c r="H118" s="2">
        <v>8000</v>
      </c>
      <c r="I118" s="2">
        <v>8000</v>
      </c>
      <c r="J118" s="2">
        <v>8000</v>
      </c>
    </row>
    <row r="119" spans="1:10" x14ac:dyDescent="0.25">
      <c r="A119" s="8" t="s">
        <v>1061</v>
      </c>
      <c r="C119" s="2"/>
      <c r="D119" s="2">
        <v>8000</v>
      </c>
      <c r="E119" s="2"/>
      <c r="F119" s="2"/>
      <c r="G119" s="2"/>
      <c r="H119" s="2"/>
      <c r="I119" s="2"/>
      <c r="J119" s="2"/>
    </row>
    <row r="120" spans="1:10" x14ac:dyDescent="0.25">
      <c r="C120" s="2"/>
      <c r="E120" s="2"/>
      <c r="F120" s="2"/>
      <c r="G120" s="2"/>
      <c r="H120" s="2"/>
      <c r="I120" s="2"/>
      <c r="J120" s="2"/>
    </row>
    <row r="121" spans="1:10" ht="13.8" x14ac:dyDescent="0.3">
      <c r="A121" s="11" t="s">
        <v>1497</v>
      </c>
      <c r="C121" s="2"/>
      <c r="D121" s="2"/>
      <c r="E121" s="2">
        <v>79</v>
      </c>
      <c r="F121" s="2">
        <v>4000</v>
      </c>
      <c r="G121" s="2">
        <v>5000</v>
      </c>
      <c r="H121" s="2">
        <v>5000</v>
      </c>
      <c r="I121" s="2">
        <v>5000</v>
      </c>
      <c r="J121" s="2">
        <v>5000</v>
      </c>
    </row>
    <row r="122" spans="1:10" x14ac:dyDescent="0.25">
      <c r="A122" s="8" t="s">
        <v>1768</v>
      </c>
      <c r="C122" s="2"/>
      <c r="D122" s="2">
        <v>3000</v>
      </c>
      <c r="E122" s="2"/>
      <c r="F122" s="2"/>
      <c r="G122" s="2"/>
      <c r="H122" s="2"/>
      <c r="I122" s="2"/>
      <c r="J122" s="2"/>
    </row>
    <row r="123" spans="1:10" x14ac:dyDescent="0.25">
      <c r="A123" s="8" t="s">
        <v>1964</v>
      </c>
      <c r="C123" s="2"/>
      <c r="D123" s="2">
        <v>1000</v>
      </c>
      <c r="E123" s="2"/>
      <c r="F123" s="2"/>
      <c r="G123" s="2"/>
      <c r="H123" s="2"/>
      <c r="I123" s="2"/>
      <c r="J123" s="2"/>
    </row>
    <row r="124" spans="1:10" ht="15" x14ac:dyDescent="0.4">
      <c r="A124" s="8" t="s">
        <v>1214</v>
      </c>
      <c r="C124" s="12"/>
      <c r="D124" s="12">
        <v>1000</v>
      </c>
      <c r="E124" s="2"/>
      <c r="F124" s="2"/>
      <c r="G124" s="2"/>
      <c r="H124" s="2"/>
      <c r="I124" s="2"/>
      <c r="J124" s="2"/>
    </row>
    <row r="125" spans="1:10" x14ac:dyDescent="0.25">
      <c r="A125" s="8" t="s">
        <v>1279</v>
      </c>
      <c r="C125" s="2"/>
      <c r="D125" s="2">
        <f>SUM(D122:D124)</f>
        <v>5000</v>
      </c>
      <c r="E125" s="2"/>
      <c r="F125" s="2"/>
      <c r="G125" s="2"/>
      <c r="H125" s="2"/>
      <c r="I125" s="2"/>
      <c r="J125" s="2"/>
    </row>
    <row r="126" spans="1:10" x14ac:dyDescent="0.25">
      <c r="C126" s="2"/>
      <c r="D126" s="2"/>
      <c r="I126" s="209"/>
      <c r="J126" s="213"/>
    </row>
    <row r="127" spans="1:10" ht="13.8" x14ac:dyDescent="0.3">
      <c r="A127" s="11" t="s">
        <v>139</v>
      </c>
      <c r="C127" s="2"/>
      <c r="D127" s="2"/>
      <c r="E127" s="2">
        <v>35070</v>
      </c>
      <c r="F127" s="2">
        <v>1000</v>
      </c>
      <c r="G127" s="2">
        <v>2000</v>
      </c>
      <c r="H127" s="2">
        <v>2000</v>
      </c>
      <c r="I127" s="2">
        <v>2000</v>
      </c>
      <c r="J127" s="2">
        <v>2000</v>
      </c>
    </row>
    <row r="128" spans="1:10" ht="15" x14ac:dyDescent="0.4">
      <c r="A128" s="25" t="s">
        <v>1893</v>
      </c>
      <c r="C128" s="2"/>
      <c r="D128" s="12">
        <v>2000</v>
      </c>
      <c r="F128" s="2"/>
      <c r="G128" s="2"/>
      <c r="H128" s="2"/>
      <c r="I128" s="2"/>
      <c r="J128" s="2"/>
    </row>
    <row r="129" spans="1:10" x14ac:dyDescent="0.25">
      <c r="A129" s="25"/>
      <c r="C129" s="2"/>
      <c r="D129" s="2">
        <v>2000</v>
      </c>
      <c r="E129" s="2"/>
      <c r="F129" s="2"/>
      <c r="G129" s="2"/>
      <c r="H129" s="2"/>
      <c r="I129" s="2"/>
      <c r="J129" s="2"/>
    </row>
    <row r="130" spans="1:10" x14ac:dyDescent="0.25">
      <c r="C130" s="2"/>
      <c r="D130" s="2"/>
      <c r="E130" s="2"/>
      <c r="F130" s="2"/>
      <c r="G130" s="2"/>
      <c r="H130" s="2"/>
      <c r="I130" s="2"/>
      <c r="J130" s="2"/>
    </row>
    <row r="131" spans="1:10" ht="13.8" x14ac:dyDescent="0.3">
      <c r="A131" s="11" t="s">
        <v>1461</v>
      </c>
      <c r="C131" s="2"/>
      <c r="D131" s="2">
        <v>185000</v>
      </c>
      <c r="E131" s="2">
        <v>146000</v>
      </c>
      <c r="F131" s="2">
        <v>182000</v>
      </c>
      <c r="G131" s="2">
        <v>185000</v>
      </c>
      <c r="H131" s="2">
        <v>185000</v>
      </c>
      <c r="I131" s="2">
        <v>185000</v>
      </c>
      <c r="J131" s="2">
        <v>185000</v>
      </c>
    </row>
    <row r="132" spans="1:10" x14ac:dyDescent="0.25">
      <c r="A132" s="8" t="s">
        <v>575</v>
      </c>
      <c r="C132" s="2"/>
      <c r="G132" s="2"/>
      <c r="H132" s="2"/>
      <c r="I132" s="2"/>
      <c r="J132" s="2"/>
    </row>
    <row r="133" spans="1:10" x14ac:dyDescent="0.25">
      <c r="A133" s="8" t="s">
        <v>417</v>
      </c>
      <c r="C133" s="2"/>
      <c r="D133" s="2"/>
      <c r="E133" s="2"/>
      <c r="F133" s="2"/>
      <c r="G133" s="2"/>
      <c r="H133" s="2"/>
      <c r="I133" s="2"/>
      <c r="J133" s="2"/>
    </row>
    <row r="134" spans="1:10" ht="15" x14ac:dyDescent="0.4">
      <c r="A134" s="55" t="s">
        <v>1565</v>
      </c>
      <c r="E134" s="12">
        <v>13269</v>
      </c>
      <c r="F134" s="12">
        <v>0</v>
      </c>
      <c r="G134" s="12">
        <v>559000</v>
      </c>
      <c r="H134" s="12">
        <v>559000</v>
      </c>
      <c r="I134" s="12">
        <v>559000</v>
      </c>
      <c r="J134" s="12">
        <v>559000</v>
      </c>
    </row>
    <row r="135" spans="1:10" ht="15" x14ac:dyDescent="0.4">
      <c r="A135" s="55"/>
      <c r="B135" s="83" t="s">
        <v>1684</v>
      </c>
      <c r="C135" s="83" t="s">
        <v>1874</v>
      </c>
      <c r="D135" s="83" t="s">
        <v>1944</v>
      </c>
      <c r="E135" s="12"/>
      <c r="F135" s="12"/>
      <c r="G135" s="12"/>
      <c r="H135" s="12"/>
      <c r="I135" s="12"/>
      <c r="J135" s="12"/>
    </row>
    <row r="136" spans="1:10" x14ac:dyDescent="0.25">
      <c r="A136" s="54" t="s">
        <v>2057</v>
      </c>
      <c r="B136" s="2">
        <v>0</v>
      </c>
      <c r="C136" s="2">
        <v>0</v>
      </c>
      <c r="D136" s="17">
        <v>559000</v>
      </c>
      <c r="I136" s="209"/>
      <c r="J136" s="213"/>
    </row>
    <row r="137" spans="1:10" ht="15" x14ac:dyDescent="0.4">
      <c r="A137" s="45" t="s">
        <v>1661</v>
      </c>
      <c r="B137" s="19">
        <v>20000</v>
      </c>
      <c r="C137" s="12">
        <v>0</v>
      </c>
      <c r="D137" s="12">
        <v>0</v>
      </c>
      <c r="I137" s="209"/>
      <c r="J137" s="213"/>
    </row>
    <row r="138" spans="1:10" x14ac:dyDescent="0.25">
      <c r="A138" s="112"/>
      <c r="B138" s="2">
        <f>SUM(B137:B137)</f>
        <v>20000</v>
      </c>
      <c r="C138" s="2">
        <f>SUM(C137:C137)</f>
        <v>0</v>
      </c>
      <c r="D138" s="2">
        <f>SUM(D136:D137)</f>
        <v>559000</v>
      </c>
      <c r="E138" s="2"/>
      <c r="F138" s="2"/>
      <c r="G138" s="2"/>
      <c r="H138" s="2"/>
      <c r="I138" s="2"/>
      <c r="J138" s="2"/>
    </row>
    <row r="139" spans="1:10" x14ac:dyDescent="0.25">
      <c r="A139" s="8" t="s">
        <v>1366</v>
      </c>
      <c r="C139" s="2"/>
      <c r="D139" s="2"/>
      <c r="E139" s="2">
        <f t="shared" ref="E139:H139" si="1">SUM(E6:E134)</f>
        <v>862510</v>
      </c>
      <c r="F139" s="2">
        <f t="shared" si="1"/>
        <v>915729</v>
      </c>
      <c r="G139" s="2">
        <f t="shared" si="1"/>
        <v>1525774</v>
      </c>
      <c r="H139" s="2">
        <f t="shared" si="1"/>
        <v>1509724</v>
      </c>
      <c r="I139" s="2">
        <f>SUM(I6:I134)</f>
        <v>1509724</v>
      </c>
      <c r="J139" s="2">
        <f>SUM(J6:J134)</f>
        <v>1509724</v>
      </c>
    </row>
    <row r="140" spans="1:10" x14ac:dyDescent="0.25">
      <c r="I140" s="209"/>
      <c r="J140" s="213"/>
    </row>
    <row r="141" spans="1:10" x14ac:dyDescent="0.25">
      <c r="A141" s="8" t="s">
        <v>1001</v>
      </c>
      <c r="E141" s="2">
        <f t="shared" ref="E141:H141" si="2">SUM(E6:E75)</f>
        <v>599770</v>
      </c>
      <c r="F141" s="2">
        <f t="shared" si="2"/>
        <v>658194</v>
      </c>
      <c r="G141" s="2">
        <f t="shared" si="2"/>
        <v>701654</v>
      </c>
      <c r="H141" s="2">
        <f t="shared" si="2"/>
        <v>688863</v>
      </c>
      <c r="I141" s="2">
        <f>SUM(I6:I75)</f>
        <v>688863</v>
      </c>
      <c r="J141" s="2">
        <f>SUM(J6:J75)</f>
        <v>688863</v>
      </c>
    </row>
    <row r="142" spans="1:10" x14ac:dyDescent="0.25">
      <c r="A142" s="8" t="s">
        <v>975</v>
      </c>
      <c r="E142" s="2">
        <f t="shared" ref="E142:H142" si="3">SUM(E81:E121)</f>
        <v>68401</v>
      </c>
      <c r="F142" s="2">
        <f t="shared" si="3"/>
        <v>74535</v>
      </c>
      <c r="G142" s="2">
        <f t="shared" si="3"/>
        <v>78120</v>
      </c>
      <c r="H142" s="2">
        <f t="shared" si="3"/>
        <v>74861</v>
      </c>
      <c r="I142" s="2">
        <f>SUM(I81:I121)</f>
        <v>74861</v>
      </c>
      <c r="J142" s="2">
        <f>SUM(J81:J121)</f>
        <v>74861</v>
      </c>
    </row>
    <row r="143" spans="1:10" ht="15" x14ac:dyDescent="0.4">
      <c r="A143" s="8" t="s">
        <v>976</v>
      </c>
      <c r="E143" s="12">
        <f t="shared" ref="E143:H143" si="4">SUM(E127:E134)</f>
        <v>194339</v>
      </c>
      <c r="F143" s="12">
        <f t="shared" si="4"/>
        <v>183000</v>
      </c>
      <c r="G143" s="12">
        <f t="shared" si="4"/>
        <v>746000</v>
      </c>
      <c r="H143" s="12">
        <f t="shared" si="4"/>
        <v>746000</v>
      </c>
      <c r="I143" s="12">
        <f>SUM(I127:I134)</f>
        <v>746000</v>
      </c>
      <c r="J143" s="12">
        <f>SUM(J127:J134)</f>
        <v>746000</v>
      </c>
    </row>
    <row r="144" spans="1:10" x14ac:dyDescent="0.25">
      <c r="A144" s="8" t="s">
        <v>1279</v>
      </c>
      <c r="E144" s="2">
        <f t="shared" ref="E144:H144" si="5">SUM(E141:E143)</f>
        <v>862510</v>
      </c>
      <c r="F144" s="2">
        <f t="shared" si="5"/>
        <v>915729</v>
      </c>
      <c r="G144" s="2">
        <f t="shared" si="5"/>
        <v>1525774</v>
      </c>
      <c r="H144" s="2">
        <f t="shared" si="5"/>
        <v>1509724</v>
      </c>
      <c r="I144" s="2">
        <f>SUM(I141:I143)</f>
        <v>1509724</v>
      </c>
      <c r="J144" s="2">
        <f>SUM(J141:J143)</f>
        <v>1509724</v>
      </c>
    </row>
    <row r="145" spans="7:10" x14ac:dyDescent="0.25">
      <c r="G145" s="181"/>
      <c r="H145" s="181"/>
      <c r="I145" s="181"/>
      <c r="J145" s="181"/>
    </row>
    <row r="146" spans="7:10" x14ac:dyDescent="0.25">
      <c r="G146" s="181"/>
      <c r="H146" s="181"/>
      <c r="I146" s="181"/>
      <c r="J146" s="181"/>
    </row>
    <row r="147" spans="7:10" x14ac:dyDescent="0.25">
      <c r="G147" s="181"/>
      <c r="H147" s="181"/>
      <c r="I147" s="181"/>
      <c r="J147" s="181"/>
    </row>
    <row r="148" spans="7:10" x14ac:dyDescent="0.25">
      <c r="G148" s="181"/>
      <c r="H148" s="181"/>
      <c r="I148" s="181"/>
      <c r="J148" s="181"/>
    </row>
    <row r="149" spans="7:10" x14ac:dyDescent="0.25">
      <c r="G149" s="181"/>
      <c r="H149" s="181"/>
      <c r="I149" s="181"/>
      <c r="J149" s="181"/>
    </row>
    <row r="150" spans="7:10" x14ac:dyDescent="0.25">
      <c r="G150" s="181"/>
      <c r="H150" s="181"/>
      <c r="I150" s="181"/>
      <c r="J150" s="181"/>
    </row>
    <row r="151" spans="7:10" x14ac:dyDescent="0.25">
      <c r="G151" s="181"/>
      <c r="H151" s="181"/>
      <c r="I151" s="181"/>
      <c r="J151" s="181"/>
    </row>
    <row r="152" spans="7:10" x14ac:dyDescent="0.25">
      <c r="G152" s="181"/>
      <c r="H152" s="181"/>
      <c r="I152" s="181"/>
      <c r="J152" s="181"/>
    </row>
    <row r="153" spans="7:10" x14ac:dyDescent="0.25">
      <c r="G153" s="181"/>
      <c r="H153" s="181"/>
      <c r="I153" s="181"/>
      <c r="J153" s="181"/>
    </row>
    <row r="154" spans="7:10" x14ac:dyDescent="0.25">
      <c r="G154" s="181"/>
      <c r="H154" s="181"/>
      <c r="I154" s="181"/>
      <c r="J154" s="181"/>
    </row>
    <row r="155" spans="7:10" x14ac:dyDescent="0.25">
      <c r="G155" s="181"/>
      <c r="H155" s="181"/>
      <c r="I155" s="181"/>
      <c r="J155" s="181"/>
    </row>
    <row r="156" spans="7:10" x14ac:dyDescent="0.25">
      <c r="G156" s="181"/>
      <c r="H156" s="181"/>
      <c r="I156" s="181"/>
      <c r="J156" s="181"/>
    </row>
    <row r="157" spans="7:10" x14ac:dyDescent="0.25">
      <c r="G157" s="181"/>
      <c r="H157" s="181"/>
      <c r="I157" s="181"/>
      <c r="J157" s="181"/>
    </row>
    <row r="158" spans="7:10" x14ac:dyDescent="0.25">
      <c r="G158" s="181"/>
      <c r="H158" s="181"/>
      <c r="I158" s="181"/>
      <c r="J158" s="181"/>
    </row>
    <row r="159" spans="7:10" x14ac:dyDescent="0.25">
      <c r="G159" s="181"/>
      <c r="H159" s="181"/>
      <c r="I159" s="181"/>
      <c r="J159" s="181"/>
    </row>
    <row r="160" spans="7:10" x14ac:dyDescent="0.25">
      <c r="G160" s="181"/>
      <c r="H160" s="181"/>
      <c r="I160" s="181"/>
      <c r="J160" s="181"/>
    </row>
    <row r="161" spans="7:10" x14ac:dyDescent="0.25">
      <c r="G161" s="181"/>
      <c r="H161" s="181"/>
      <c r="I161" s="181"/>
      <c r="J161" s="181"/>
    </row>
    <row r="162" spans="7:10" x14ac:dyDescent="0.25">
      <c r="G162" s="181"/>
      <c r="H162" s="181"/>
      <c r="I162" s="181"/>
      <c r="J162" s="181"/>
    </row>
    <row r="163" spans="7:10" x14ac:dyDescent="0.25">
      <c r="G163" s="181"/>
      <c r="H163" s="181"/>
      <c r="I163" s="181"/>
      <c r="J163" s="181"/>
    </row>
    <row r="164" spans="7:10" x14ac:dyDescent="0.25">
      <c r="G164" s="181"/>
      <c r="H164" s="181"/>
      <c r="I164" s="181"/>
      <c r="J164" s="181"/>
    </row>
    <row r="165" spans="7:10" x14ac:dyDescent="0.25">
      <c r="G165" s="181"/>
      <c r="H165" s="181"/>
      <c r="I165" s="181"/>
    </row>
    <row r="166" spans="7:10" x14ac:dyDescent="0.25">
      <c r="G166" s="181"/>
      <c r="H166" s="181"/>
      <c r="I166" s="181"/>
    </row>
    <row r="167" spans="7:10" x14ac:dyDescent="0.25">
      <c r="G167" s="181"/>
      <c r="H167" s="181"/>
      <c r="I167" s="181"/>
    </row>
    <row r="168" spans="7:10" x14ac:dyDescent="0.25">
      <c r="G168" s="181"/>
      <c r="H168" s="181"/>
      <c r="I168" s="181"/>
    </row>
    <row r="169" spans="7:10" x14ac:dyDescent="0.25">
      <c r="G169" s="181"/>
      <c r="H169" s="181"/>
      <c r="I169" s="181"/>
    </row>
    <row r="170" spans="7:10" x14ac:dyDescent="0.25">
      <c r="G170" s="181"/>
      <c r="H170" s="181"/>
    </row>
    <row r="171" spans="7:10" x14ac:dyDescent="0.25">
      <c r="G171" s="181"/>
      <c r="H171" s="181"/>
    </row>
    <row r="172" spans="7:10" x14ac:dyDescent="0.25">
      <c r="G172" s="181"/>
      <c r="H172" s="181"/>
    </row>
    <row r="173" spans="7:10" x14ac:dyDescent="0.25">
      <c r="G173" s="181"/>
      <c r="H173" s="181"/>
    </row>
    <row r="174" spans="7:10" x14ac:dyDescent="0.25">
      <c r="G174" s="181"/>
      <c r="H174" s="181"/>
    </row>
    <row r="175" spans="7:10" x14ac:dyDescent="0.25">
      <c r="G175" s="181"/>
      <c r="H175" s="181"/>
    </row>
    <row r="176" spans="7:10" x14ac:dyDescent="0.25">
      <c r="G176" s="181"/>
      <c r="H176" s="181"/>
    </row>
    <row r="177" spans="7:8" x14ac:dyDescent="0.25">
      <c r="G177" s="181"/>
      <c r="H177" s="181"/>
    </row>
    <row r="178" spans="7:8" x14ac:dyDescent="0.25">
      <c r="G178" s="181"/>
      <c r="H178" s="181"/>
    </row>
    <row r="179" spans="7:8" x14ac:dyDescent="0.25">
      <c r="G179" s="181"/>
      <c r="H179" s="181"/>
    </row>
    <row r="180" spans="7:8" x14ac:dyDescent="0.25">
      <c r="G180" s="181"/>
      <c r="H180" s="181"/>
    </row>
  </sheetData>
  <mergeCells count="1">
    <mergeCell ref="A1:J1"/>
  </mergeCells>
  <phoneticPr fontId="0" type="noConversion"/>
  <printOptions gridLines="1"/>
  <pageMargins left="0.75" right="0.16" top="0.51" bottom="0.22" header="0.5" footer="0.5"/>
  <pageSetup scale="89" fitToHeight="17" orientation="landscape" r:id="rId1"/>
  <headerFooter alignWithMargins="0"/>
  <rowBreaks count="1" manualBreakCount="1">
    <brk id="117" max="9"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K205"/>
  <sheetViews>
    <sheetView view="pageBreakPreview" zoomScaleNormal="100" zoomScaleSheetLayoutView="100" workbookViewId="0">
      <selection sqref="A1:J1"/>
    </sheetView>
  </sheetViews>
  <sheetFormatPr defaultRowHeight="12.75" customHeight="1" x14ac:dyDescent="0.25"/>
  <cols>
    <col min="1" max="1" width="44.44140625" style="8" customWidth="1"/>
    <col min="2" max="2" width="9.5546875" style="8" bestFit="1" customWidth="1"/>
    <col min="3" max="3" width="10.109375" style="8" customWidth="1"/>
    <col min="4" max="4" width="12" style="8" customWidth="1"/>
    <col min="5" max="6" width="9.109375" style="8" bestFit="1" customWidth="1"/>
    <col min="7" max="7" width="11" style="2" bestFit="1" customWidth="1"/>
    <col min="8" max="8" width="14.109375" style="8" bestFit="1" customWidth="1"/>
    <col min="9" max="10" width="9.5546875" style="8" customWidth="1"/>
    <col min="11" max="16384" width="8.88671875" style="8"/>
  </cols>
  <sheetData>
    <row r="1" spans="1:11" ht="13.2" x14ac:dyDescent="0.25">
      <c r="A1" s="217" t="s">
        <v>1972</v>
      </c>
      <c r="B1" s="218"/>
      <c r="C1" s="218"/>
      <c r="D1" s="218"/>
      <c r="E1" s="218"/>
      <c r="F1" s="218"/>
      <c r="G1" s="218"/>
      <c r="H1" s="218"/>
      <c r="I1" s="218"/>
      <c r="J1" s="218"/>
    </row>
    <row r="2" spans="1:11" ht="17.399999999999999" x14ac:dyDescent="0.3">
      <c r="A2" s="202" t="s">
        <v>2244</v>
      </c>
      <c r="B2" s="202"/>
      <c r="C2" s="202"/>
      <c r="D2" s="202"/>
      <c r="E2" s="202"/>
      <c r="F2" s="202"/>
    </row>
    <row r="3" spans="1:11" ht="13.2" x14ac:dyDescent="0.25">
      <c r="B3" s="2"/>
      <c r="C3" s="2"/>
      <c r="D3" s="2"/>
      <c r="E3" s="2"/>
      <c r="F3" s="2"/>
    </row>
    <row r="4" spans="1:11" ht="13.2" x14ac:dyDescent="0.25">
      <c r="B4" s="2"/>
      <c r="C4" s="2"/>
      <c r="D4" s="2"/>
      <c r="E4" s="9" t="s">
        <v>251</v>
      </c>
      <c r="F4" s="9" t="s">
        <v>252</v>
      </c>
      <c r="G4" s="9" t="s">
        <v>73</v>
      </c>
      <c r="H4" s="9" t="s">
        <v>430</v>
      </c>
      <c r="I4" s="2" t="s">
        <v>330</v>
      </c>
      <c r="J4" s="2" t="s">
        <v>364</v>
      </c>
    </row>
    <row r="5" spans="1:11" ht="15" x14ac:dyDescent="0.4">
      <c r="B5" s="2"/>
      <c r="C5" s="2"/>
      <c r="D5" s="2"/>
      <c r="E5" s="10" t="s">
        <v>1684</v>
      </c>
      <c r="F5" s="10" t="s">
        <v>1874</v>
      </c>
      <c r="G5" s="10" t="s">
        <v>1944</v>
      </c>
      <c r="H5" s="10" t="s">
        <v>1944</v>
      </c>
      <c r="I5" s="10" t="s">
        <v>1944</v>
      </c>
      <c r="J5" s="10" t="s">
        <v>1944</v>
      </c>
    </row>
    <row r="6" spans="1:11" ht="13.8" x14ac:dyDescent="0.3">
      <c r="A6" s="11" t="s">
        <v>1170</v>
      </c>
      <c r="B6" s="2"/>
      <c r="C6" s="2"/>
      <c r="D6" s="2"/>
      <c r="E6" s="2">
        <v>37357</v>
      </c>
      <c r="F6" s="67">
        <v>39962</v>
      </c>
      <c r="G6" s="67">
        <v>39208</v>
      </c>
      <c r="H6" s="67">
        <v>39208</v>
      </c>
      <c r="I6" s="67">
        <v>39208</v>
      </c>
      <c r="J6" s="67">
        <v>39988</v>
      </c>
      <c r="K6" s="67"/>
    </row>
    <row r="7" spans="1:11" ht="13.2" x14ac:dyDescent="0.25">
      <c r="A7" s="8" t="s">
        <v>154</v>
      </c>
      <c r="B7" s="2">
        <v>52</v>
      </c>
      <c r="C7" s="2">
        <v>769</v>
      </c>
      <c r="D7" s="2">
        <f>ROUND(B7*C7,0)</f>
        <v>39988</v>
      </c>
      <c r="E7" s="2"/>
      <c r="F7" s="2"/>
      <c r="H7" s="2"/>
      <c r="I7" s="2"/>
      <c r="J7" s="2"/>
      <c r="K7" s="2"/>
    </row>
    <row r="8" spans="1:11" ht="13.2" x14ac:dyDescent="0.25">
      <c r="B8" s="2"/>
      <c r="C8" s="2"/>
      <c r="D8" s="2"/>
      <c r="E8" s="2"/>
      <c r="F8" s="2"/>
      <c r="H8" s="2"/>
      <c r="I8" s="2"/>
      <c r="J8" s="2"/>
      <c r="K8" s="2"/>
    </row>
    <row r="9" spans="1:11" ht="13.8" x14ac:dyDescent="0.3">
      <c r="A9" s="11" t="s">
        <v>1171</v>
      </c>
      <c r="B9" s="2"/>
      <c r="C9" s="2"/>
      <c r="D9" s="2"/>
      <c r="E9" s="2">
        <v>74374</v>
      </c>
      <c r="F9" s="76">
        <v>81414</v>
      </c>
      <c r="G9" s="2">
        <v>79977</v>
      </c>
      <c r="H9" s="2">
        <v>79977</v>
      </c>
      <c r="I9" s="2">
        <v>79977</v>
      </c>
      <c r="J9" s="2">
        <v>81567</v>
      </c>
      <c r="K9" s="76"/>
    </row>
    <row r="10" spans="1:11" ht="13.2" x14ac:dyDescent="0.25">
      <c r="A10" s="8" t="s">
        <v>411</v>
      </c>
      <c r="B10" s="2">
        <v>52</v>
      </c>
      <c r="C10" s="2">
        <v>1539</v>
      </c>
      <c r="D10" s="2">
        <f>ROUND(B10*C10,0)</f>
        <v>80028</v>
      </c>
      <c r="E10" s="2"/>
      <c r="F10" s="2"/>
      <c r="H10" s="2"/>
      <c r="I10" s="2"/>
      <c r="J10" s="2"/>
      <c r="K10" s="2"/>
    </row>
    <row r="11" spans="1:11" ht="15" x14ac:dyDescent="0.4">
      <c r="A11" s="8" t="s">
        <v>995</v>
      </c>
      <c r="B11" s="2"/>
      <c r="C11" s="2"/>
      <c r="D11" s="12">
        <f>+C10</f>
        <v>1539</v>
      </c>
      <c r="E11" s="2"/>
      <c r="F11" s="2"/>
      <c r="G11" s="76"/>
      <c r="H11" s="76"/>
      <c r="I11" s="76"/>
      <c r="J11" s="76"/>
      <c r="K11" s="2"/>
    </row>
    <row r="12" spans="1:11" ht="13.2" x14ac:dyDescent="0.25">
      <c r="A12" s="8" t="s">
        <v>1279</v>
      </c>
      <c r="B12" s="2"/>
      <c r="C12" s="2"/>
      <c r="D12" s="2">
        <f>SUM(D10:D11)</f>
        <v>81567</v>
      </c>
      <c r="E12" s="2"/>
      <c r="F12" s="2"/>
      <c r="H12" s="2"/>
      <c r="I12" s="2"/>
      <c r="J12" s="2"/>
      <c r="K12" s="2"/>
    </row>
    <row r="13" spans="1:11" ht="13.2" x14ac:dyDescent="0.25">
      <c r="B13" s="2"/>
      <c r="C13" s="2"/>
      <c r="D13" s="2"/>
      <c r="E13" s="2"/>
      <c r="F13" s="2"/>
      <c r="H13" s="2"/>
      <c r="I13" s="2"/>
      <c r="J13" s="2"/>
      <c r="K13" s="2"/>
    </row>
    <row r="14" spans="1:11" ht="13.8" x14ac:dyDescent="0.3">
      <c r="A14" s="11" t="s">
        <v>1172</v>
      </c>
      <c r="B14" s="2"/>
      <c r="C14" s="2"/>
      <c r="D14" s="2"/>
      <c r="E14" s="2">
        <v>59272</v>
      </c>
      <c r="F14" s="67">
        <v>62855</v>
      </c>
      <c r="G14" s="2">
        <v>61745</v>
      </c>
      <c r="H14" s="2">
        <v>61745</v>
      </c>
      <c r="I14" s="2">
        <v>61745</v>
      </c>
      <c r="J14" s="2">
        <v>62964</v>
      </c>
      <c r="K14" s="67"/>
    </row>
    <row r="15" spans="1:11" ht="13.2" x14ac:dyDescent="0.25">
      <c r="A15" s="8" t="s">
        <v>647</v>
      </c>
      <c r="B15" s="2">
        <v>52</v>
      </c>
      <c r="C15" s="2">
        <v>1188</v>
      </c>
      <c r="D15" s="2">
        <f>ROUND(B15*C15,0)</f>
        <v>61776</v>
      </c>
      <c r="E15" s="2"/>
      <c r="F15" s="2"/>
      <c r="H15" s="2"/>
      <c r="I15" s="2"/>
      <c r="J15" s="2"/>
      <c r="K15" s="2"/>
    </row>
    <row r="16" spans="1:11" ht="15" x14ac:dyDescent="0.4">
      <c r="A16" s="8" t="s">
        <v>995</v>
      </c>
      <c r="B16" s="2"/>
      <c r="C16" s="2"/>
      <c r="D16" s="12">
        <f>+C15</f>
        <v>1188</v>
      </c>
      <c r="E16" s="2"/>
      <c r="F16" s="2"/>
      <c r="G16" s="67"/>
      <c r="H16" s="67"/>
      <c r="I16" s="67"/>
      <c r="J16" s="67"/>
      <c r="K16" s="2"/>
    </row>
    <row r="17" spans="1:11" ht="13.2" x14ac:dyDescent="0.25">
      <c r="A17" s="8" t="s">
        <v>1279</v>
      </c>
      <c r="B17" s="2"/>
      <c r="C17" s="2"/>
      <c r="D17" s="2">
        <f>SUM(D15:D16)</f>
        <v>62964</v>
      </c>
      <c r="E17" s="2"/>
      <c r="F17" s="2"/>
      <c r="H17" s="2"/>
      <c r="I17" s="2"/>
      <c r="J17" s="2"/>
      <c r="K17" s="2"/>
    </row>
    <row r="18" spans="1:11" ht="13.2" x14ac:dyDescent="0.25">
      <c r="D18" s="2"/>
      <c r="E18" s="2"/>
      <c r="F18" s="2"/>
      <c r="H18" s="2"/>
      <c r="I18" s="2"/>
      <c r="J18" s="2"/>
      <c r="K18" s="2"/>
    </row>
    <row r="19" spans="1:11" ht="13.8" x14ac:dyDescent="0.3">
      <c r="A19" s="11" t="s">
        <v>1173</v>
      </c>
      <c r="D19" s="2"/>
      <c r="E19" s="2">
        <v>44257</v>
      </c>
      <c r="F19" s="67">
        <v>54956</v>
      </c>
      <c r="G19" s="2">
        <v>56946</v>
      </c>
      <c r="H19" s="2">
        <v>54916</v>
      </c>
      <c r="I19" s="2">
        <v>54916</v>
      </c>
      <c r="J19" s="2">
        <v>56016</v>
      </c>
      <c r="K19" s="67"/>
    </row>
    <row r="20" spans="1:11" ht="13.2" x14ac:dyDescent="0.25">
      <c r="A20" s="8" t="s">
        <v>631</v>
      </c>
      <c r="B20" s="2">
        <v>1325</v>
      </c>
      <c r="C20" s="13">
        <v>28.14</v>
      </c>
      <c r="D20" s="2">
        <f>ROUND(B20*C20,0)</f>
        <v>37286</v>
      </c>
      <c r="E20" s="2"/>
      <c r="F20" s="2"/>
      <c r="H20" s="2"/>
      <c r="I20" s="2"/>
      <c r="J20" s="2"/>
      <c r="K20" s="2"/>
    </row>
    <row r="21" spans="1:11" ht="15" x14ac:dyDescent="0.4">
      <c r="A21" s="8" t="s">
        <v>1897</v>
      </c>
      <c r="B21" s="2">
        <v>1060</v>
      </c>
      <c r="C21" s="13">
        <v>17.670000000000002</v>
      </c>
      <c r="D21" s="12">
        <f>ROUND(B21*C21,0)</f>
        <v>18730</v>
      </c>
      <c r="E21" s="2"/>
      <c r="F21" s="2"/>
      <c r="G21" s="67"/>
      <c r="H21" s="67"/>
      <c r="I21" s="67"/>
      <c r="J21" s="67"/>
      <c r="K21" s="2"/>
    </row>
    <row r="22" spans="1:11" ht="13.2" x14ac:dyDescent="0.25">
      <c r="B22" s="2"/>
      <c r="C22" s="13"/>
      <c r="D22" s="2">
        <f>SUM(D20:D21)</f>
        <v>56016</v>
      </c>
      <c r="E22" s="2"/>
      <c r="F22" s="2"/>
      <c r="H22" s="2"/>
      <c r="I22" s="2"/>
      <c r="J22" s="2"/>
      <c r="K22" s="2"/>
    </row>
    <row r="23" spans="1:11" ht="13.2" x14ac:dyDescent="0.25">
      <c r="D23" s="2"/>
      <c r="E23" s="2"/>
      <c r="F23" s="2"/>
      <c r="H23" s="2"/>
      <c r="I23" s="2"/>
      <c r="J23" s="2"/>
      <c r="K23" s="2"/>
    </row>
    <row r="24" spans="1:11" ht="13.8" x14ac:dyDescent="0.3">
      <c r="A24" s="55" t="s">
        <v>118</v>
      </c>
      <c r="B24" s="2"/>
      <c r="C24" s="13"/>
      <c r="D24" s="2"/>
      <c r="E24" s="2">
        <v>3844</v>
      </c>
      <c r="F24" s="2">
        <v>4010</v>
      </c>
      <c r="G24" s="2">
        <v>4061</v>
      </c>
      <c r="H24" s="2">
        <v>4061</v>
      </c>
      <c r="I24" s="2">
        <v>4061</v>
      </c>
      <c r="J24" s="2">
        <v>4142</v>
      </c>
      <c r="K24" s="2"/>
    </row>
    <row r="25" spans="1:11" ht="13.2" x14ac:dyDescent="0.25">
      <c r="A25" s="54" t="s">
        <v>1858</v>
      </c>
      <c r="B25" s="2">
        <v>105</v>
      </c>
      <c r="C25" s="13">
        <f>+C7/40*1.5</f>
        <v>28.837500000000002</v>
      </c>
      <c r="D25" s="2">
        <f>C25*B25</f>
        <v>3027.9375</v>
      </c>
      <c r="E25" s="2"/>
      <c r="F25" s="2"/>
      <c r="H25" s="2"/>
      <c r="I25" s="2"/>
      <c r="J25" s="2"/>
      <c r="K25" s="2"/>
    </row>
    <row r="26" spans="1:11" ht="15" x14ac:dyDescent="0.4">
      <c r="A26" s="54" t="s">
        <v>1857</v>
      </c>
      <c r="B26" s="2">
        <v>25</v>
      </c>
      <c r="C26" s="13">
        <f>+C15/40*1.5</f>
        <v>44.55</v>
      </c>
      <c r="D26" s="12">
        <f>C26*B26</f>
        <v>1113.75</v>
      </c>
      <c r="E26" s="2"/>
      <c r="F26" s="2"/>
      <c r="H26" s="2"/>
      <c r="I26" s="2"/>
      <c r="J26" s="2"/>
      <c r="K26" s="2"/>
    </row>
    <row r="27" spans="1:11" ht="13.2" x14ac:dyDescent="0.25">
      <c r="A27" s="54"/>
      <c r="B27" s="2"/>
      <c r="C27" s="13"/>
      <c r="D27" s="2">
        <f>SUM(D25:D26)</f>
        <v>4141.6875</v>
      </c>
      <c r="E27" s="2"/>
      <c r="F27" s="2"/>
      <c r="H27" s="2"/>
      <c r="I27" s="2"/>
      <c r="J27" s="2"/>
      <c r="K27" s="2"/>
    </row>
    <row r="28" spans="1:11" ht="13.2" x14ac:dyDescent="0.25">
      <c r="A28" s="17"/>
      <c r="B28" s="2"/>
      <c r="C28" s="13"/>
      <c r="D28" s="2"/>
      <c r="E28" s="2"/>
      <c r="F28" s="2"/>
      <c r="H28" s="2"/>
      <c r="I28" s="2"/>
      <c r="J28" s="2"/>
      <c r="K28" s="2"/>
    </row>
    <row r="29" spans="1:11" ht="13.8" x14ac:dyDescent="0.3">
      <c r="A29" s="11" t="s">
        <v>1174</v>
      </c>
      <c r="B29" s="77"/>
      <c r="D29" s="2"/>
      <c r="E29" s="2">
        <v>17402</v>
      </c>
      <c r="F29" s="2">
        <v>18604</v>
      </c>
      <c r="G29" s="2">
        <v>18507</v>
      </c>
      <c r="H29" s="2">
        <v>18507</v>
      </c>
      <c r="I29" s="2">
        <v>18507</v>
      </c>
      <c r="J29" s="2">
        <v>18718</v>
      </c>
      <c r="K29" s="2"/>
    </row>
    <row r="30" spans="1:11" ht="13.2" hidden="1" x14ac:dyDescent="0.25">
      <c r="A30" s="14" t="s">
        <v>1280</v>
      </c>
      <c r="B30" s="2">
        <f>+D7</f>
        <v>39988</v>
      </c>
      <c r="C30" s="15">
        <v>7.6499999999999999E-2</v>
      </c>
      <c r="D30" s="2">
        <f>ROUND(B30*C30,0)</f>
        <v>3059</v>
      </c>
      <c r="E30" s="2"/>
      <c r="F30" s="2"/>
      <c r="H30" s="2"/>
      <c r="I30" s="2"/>
      <c r="J30" s="2"/>
      <c r="K30" s="2"/>
    </row>
    <row r="31" spans="1:11" ht="13.2" hidden="1" x14ac:dyDescent="0.25">
      <c r="A31" s="14" t="s">
        <v>1281</v>
      </c>
      <c r="B31" s="2">
        <f>+D12</f>
        <v>81567</v>
      </c>
      <c r="C31" s="15">
        <v>7.6499999999999999E-2</v>
      </c>
      <c r="D31" s="2">
        <f>ROUND(B31*C31,0)</f>
        <v>6240</v>
      </c>
      <c r="E31" s="2"/>
      <c r="H31" s="2"/>
      <c r="I31" s="2"/>
      <c r="J31" s="2"/>
      <c r="K31" s="2"/>
    </row>
    <row r="32" spans="1:11" ht="13.2" hidden="1" x14ac:dyDescent="0.25">
      <c r="A32" s="14" t="s">
        <v>1282</v>
      </c>
      <c r="B32" s="2">
        <f>+D17</f>
        <v>62964</v>
      </c>
      <c r="C32" s="15">
        <v>7.6499999999999999E-2</v>
      </c>
      <c r="D32" s="2">
        <f>ROUND(B32*C32,0)</f>
        <v>4817</v>
      </c>
      <c r="E32" s="2"/>
      <c r="H32" s="2"/>
      <c r="I32" s="2"/>
      <c r="J32" s="2"/>
      <c r="K32" s="2"/>
    </row>
    <row r="33" spans="1:11" ht="13.2" hidden="1" x14ac:dyDescent="0.25">
      <c r="A33" s="14" t="s">
        <v>1283</v>
      </c>
      <c r="B33" s="2">
        <f>+D22</f>
        <v>56016</v>
      </c>
      <c r="C33" s="15">
        <v>7.6499999999999999E-2</v>
      </c>
      <c r="D33" s="2">
        <f>ROUND(B33*C33,0)</f>
        <v>4285</v>
      </c>
      <c r="E33" s="2"/>
      <c r="H33" s="2"/>
      <c r="I33" s="2"/>
      <c r="J33" s="2"/>
      <c r="K33" s="2"/>
    </row>
    <row r="34" spans="1:11" ht="15" hidden="1" x14ac:dyDescent="0.4">
      <c r="A34" s="14" t="s">
        <v>1438</v>
      </c>
      <c r="B34" s="2">
        <f>+D27</f>
        <v>4141.6875</v>
      </c>
      <c r="C34" s="15">
        <v>7.6499999999999999E-2</v>
      </c>
      <c r="D34" s="12">
        <f>ROUND(B34*C34,0)</f>
        <v>317</v>
      </c>
      <c r="E34" s="2"/>
      <c r="H34" s="2"/>
      <c r="I34" s="2"/>
      <c r="J34" s="2"/>
      <c r="K34" s="2"/>
    </row>
    <row r="35" spans="1:11" ht="13.2" hidden="1" x14ac:dyDescent="0.25">
      <c r="A35" s="8" t="s">
        <v>1279</v>
      </c>
      <c r="B35" s="2"/>
      <c r="C35" s="15"/>
      <c r="D35" s="2">
        <f>SUM(D30:D34)</f>
        <v>18718</v>
      </c>
      <c r="E35" s="2"/>
      <c r="H35" s="2"/>
      <c r="I35" s="2"/>
      <c r="J35" s="2"/>
      <c r="K35" s="2"/>
    </row>
    <row r="36" spans="1:11" ht="13.2" x14ac:dyDescent="0.25">
      <c r="D36" s="2"/>
      <c r="E36" s="2"/>
      <c r="H36" s="2"/>
      <c r="I36" s="2"/>
      <c r="J36" s="2"/>
      <c r="K36" s="2"/>
    </row>
    <row r="37" spans="1:11" ht="13.8" x14ac:dyDescent="0.3">
      <c r="A37" s="16" t="s">
        <v>1175</v>
      </c>
      <c r="D37" s="2"/>
      <c r="E37" s="2">
        <v>19545</v>
      </c>
      <c r="F37" s="2">
        <v>21027</v>
      </c>
      <c r="G37" s="2">
        <v>22476</v>
      </c>
      <c r="H37" s="2">
        <v>22476</v>
      </c>
      <c r="I37" s="2">
        <v>22476</v>
      </c>
      <c r="J37" s="2">
        <v>22922</v>
      </c>
      <c r="K37" s="2"/>
    </row>
    <row r="38" spans="1:11" ht="13.2" hidden="1" x14ac:dyDescent="0.25">
      <c r="A38" s="14" t="s">
        <v>1280</v>
      </c>
      <c r="B38" s="2">
        <f>+D7</f>
        <v>39988</v>
      </c>
      <c r="C38" s="15">
        <v>0.1215</v>
      </c>
      <c r="D38" s="2">
        <f>ROUND(B38*C38,0)</f>
        <v>4859</v>
      </c>
      <c r="E38" s="2"/>
      <c r="F38" s="2"/>
      <c r="H38" s="2"/>
      <c r="I38" s="2"/>
      <c r="J38" s="2"/>
      <c r="K38" s="2"/>
    </row>
    <row r="39" spans="1:11" ht="13.2" hidden="1" x14ac:dyDescent="0.25">
      <c r="A39" s="14" t="s">
        <v>1281</v>
      </c>
      <c r="B39" s="2">
        <f>+D12</f>
        <v>81567</v>
      </c>
      <c r="C39" s="15">
        <v>0.1215</v>
      </c>
      <c r="D39" s="2">
        <f>ROUND(B39*C39,0)</f>
        <v>9910</v>
      </c>
      <c r="E39" s="2"/>
      <c r="F39" s="67"/>
      <c r="H39" s="2"/>
      <c r="I39" s="2"/>
      <c r="J39" s="2"/>
      <c r="K39" s="67"/>
    </row>
    <row r="40" spans="1:11" ht="13.2" hidden="1" x14ac:dyDescent="0.25">
      <c r="A40" s="14" t="s">
        <v>1282</v>
      </c>
      <c r="B40" s="2">
        <f>+D17</f>
        <v>62964</v>
      </c>
      <c r="C40" s="15">
        <v>0.1215</v>
      </c>
      <c r="D40" s="2">
        <f>ROUND(B40*C40,0)</f>
        <v>7650</v>
      </c>
      <c r="E40" s="2"/>
      <c r="F40" s="67"/>
      <c r="H40" s="2"/>
      <c r="I40" s="2"/>
      <c r="J40" s="2"/>
      <c r="K40" s="67"/>
    </row>
    <row r="41" spans="1:11" ht="15" hidden="1" x14ac:dyDescent="0.4">
      <c r="A41" s="14" t="s">
        <v>1859</v>
      </c>
      <c r="B41" s="2">
        <f>+D27</f>
        <v>4141.6875</v>
      </c>
      <c r="C41" s="15">
        <v>0.1215</v>
      </c>
      <c r="D41" s="12">
        <f>ROUND(B41*C41,0)</f>
        <v>503</v>
      </c>
      <c r="E41" s="2"/>
      <c r="F41" s="2"/>
      <c r="G41" s="67"/>
      <c r="H41" s="67"/>
      <c r="I41" s="67"/>
      <c r="J41" s="67"/>
      <c r="K41" s="2"/>
    </row>
    <row r="42" spans="1:11" ht="13.2" hidden="1" x14ac:dyDescent="0.25">
      <c r="A42" s="8" t="s">
        <v>1279</v>
      </c>
      <c r="D42" s="2">
        <f>SUM(D38:D41)</f>
        <v>22922</v>
      </c>
      <c r="E42" s="2"/>
      <c r="F42" s="2"/>
      <c r="G42" s="67"/>
      <c r="H42" s="67"/>
      <c r="I42" s="67"/>
      <c r="J42" s="67"/>
      <c r="K42" s="2"/>
    </row>
    <row r="43" spans="1:11" ht="13.2" x14ac:dyDescent="0.25">
      <c r="D43" s="2"/>
      <c r="E43" s="2"/>
      <c r="F43" s="2"/>
      <c r="H43" s="2"/>
      <c r="I43" s="2"/>
      <c r="J43" s="2"/>
      <c r="K43" s="2"/>
    </row>
    <row r="44" spans="1:11" ht="13.8" x14ac:dyDescent="0.3">
      <c r="A44" s="11" t="s">
        <v>1176</v>
      </c>
      <c r="D44" s="2"/>
      <c r="E44" s="2">
        <v>53253</v>
      </c>
      <c r="F44" s="2">
        <v>51000</v>
      </c>
      <c r="G44" s="2">
        <v>51750</v>
      </c>
      <c r="H44" s="2">
        <v>51750</v>
      </c>
      <c r="I44" s="2">
        <v>51750</v>
      </c>
      <c r="J44" s="2">
        <v>51750</v>
      </c>
      <c r="K44" s="2"/>
    </row>
    <row r="45" spans="1:11" ht="13.2" x14ac:dyDescent="0.25">
      <c r="A45" s="8" t="s">
        <v>243</v>
      </c>
      <c r="B45" s="2">
        <v>3</v>
      </c>
      <c r="C45" s="2">
        <v>17250</v>
      </c>
      <c r="D45" s="2">
        <f>ROUND(B45*C45,0)</f>
        <v>51750</v>
      </c>
      <c r="E45" s="2"/>
      <c r="F45" s="67"/>
      <c r="H45" s="2"/>
      <c r="I45" s="2"/>
      <c r="J45" s="2"/>
      <c r="K45" s="67"/>
    </row>
    <row r="46" spans="1:11" ht="13.2" x14ac:dyDescent="0.25">
      <c r="D46" s="2"/>
      <c r="E46" s="2"/>
      <c r="F46" s="2"/>
      <c r="H46" s="2"/>
      <c r="I46" s="2"/>
      <c r="J46" s="2"/>
      <c r="K46" s="2"/>
    </row>
    <row r="47" spans="1:11" ht="13.8" x14ac:dyDescent="0.3">
      <c r="A47" s="11" t="s">
        <v>1177</v>
      </c>
      <c r="D47" s="2"/>
      <c r="E47" s="2">
        <v>3562</v>
      </c>
      <c r="F47" s="2">
        <v>3510</v>
      </c>
      <c r="G47" s="67">
        <v>3510</v>
      </c>
      <c r="H47" s="67">
        <v>3510</v>
      </c>
      <c r="I47" s="67">
        <v>3510</v>
      </c>
      <c r="J47" s="67">
        <v>3510</v>
      </c>
      <c r="K47" s="2"/>
    </row>
    <row r="48" spans="1:11" ht="13.2" x14ac:dyDescent="0.25">
      <c r="A48" s="8" t="s">
        <v>438</v>
      </c>
      <c r="B48" s="2">
        <v>3</v>
      </c>
      <c r="C48" s="2">
        <v>1300</v>
      </c>
      <c r="D48" s="2">
        <f>ROUND(B48*C48,0)</f>
        <v>3900</v>
      </c>
      <c r="E48" s="2"/>
      <c r="F48" s="2"/>
      <c r="H48" s="2"/>
      <c r="I48" s="2"/>
      <c r="J48" s="2"/>
      <c r="K48" s="2"/>
    </row>
    <row r="49" spans="1:11" ht="15" x14ac:dyDescent="0.4">
      <c r="A49" s="8" t="s">
        <v>245</v>
      </c>
      <c r="B49" s="2"/>
      <c r="C49" s="2"/>
      <c r="D49" s="12">
        <f>-C48*B48*0.1</f>
        <v>-390</v>
      </c>
      <c r="E49" s="2"/>
      <c r="F49" s="2"/>
      <c r="H49" s="2"/>
      <c r="I49" s="2"/>
      <c r="J49" s="2"/>
      <c r="K49" s="2"/>
    </row>
    <row r="50" spans="1:11" ht="13.2" x14ac:dyDescent="0.25">
      <c r="A50" s="8" t="s">
        <v>825</v>
      </c>
      <c r="B50" s="2"/>
      <c r="C50" s="2"/>
      <c r="D50" s="2">
        <f>SUM(D48:D49)</f>
        <v>3510</v>
      </c>
      <c r="E50" s="2"/>
      <c r="F50" s="2"/>
      <c r="H50" s="2"/>
      <c r="I50" s="2"/>
      <c r="J50" s="2"/>
      <c r="K50" s="2"/>
    </row>
    <row r="51" spans="1:11" ht="13.2" x14ac:dyDescent="0.25">
      <c r="D51" s="2"/>
      <c r="E51" s="2"/>
      <c r="F51" s="2"/>
      <c r="H51" s="2"/>
      <c r="I51" s="2"/>
      <c r="J51" s="2"/>
      <c r="K51" s="2"/>
    </row>
    <row r="52" spans="1:11" ht="13.8" x14ac:dyDescent="0.3">
      <c r="A52" s="11" t="s">
        <v>1178</v>
      </c>
      <c r="D52" s="2"/>
      <c r="E52" s="2">
        <v>383</v>
      </c>
      <c r="F52" s="2">
        <v>405</v>
      </c>
      <c r="G52" s="2">
        <v>405</v>
      </c>
      <c r="H52" s="2">
        <v>405</v>
      </c>
      <c r="I52" s="2">
        <v>405</v>
      </c>
      <c r="J52" s="2">
        <v>405</v>
      </c>
      <c r="K52" s="2"/>
    </row>
    <row r="53" spans="1:11" ht="13.2" x14ac:dyDescent="0.25">
      <c r="A53" s="8" t="s">
        <v>438</v>
      </c>
      <c r="B53" s="2">
        <v>3</v>
      </c>
      <c r="C53" s="2">
        <v>135</v>
      </c>
      <c r="D53" s="2">
        <f>ROUND(B53*C53,0)</f>
        <v>405</v>
      </c>
      <c r="E53" s="2"/>
      <c r="F53" s="2"/>
      <c r="H53" s="2"/>
      <c r="I53" s="2"/>
      <c r="J53" s="2"/>
      <c r="K53" s="2"/>
    </row>
    <row r="54" spans="1:11" ht="13.2" x14ac:dyDescent="0.25">
      <c r="D54" s="2"/>
      <c r="E54" s="2"/>
      <c r="F54" s="67"/>
      <c r="H54" s="2"/>
      <c r="I54" s="2"/>
      <c r="J54" s="2"/>
      <c r="K54" s="67"/>
    </row>
    <row r="55" spans="1:11" ht="13.8" x14ac:dyDescent="0.3">
      <c r="A55" s="11" t="s">
        <v>1179</v>
      </c>
      <c r="D55" s="2"/>
      <c r="E55" s="2">
        <v>1405</v>
      </c>
      <c r="F55" s="3">
        <v>1230</v>
      </c>
      <c r="G55" s="2">
        <v>1230</v>
      </c>
      <c r="H55" s="2">
        <v>1230</v>
      </c>
      <c r="I55" s="2">
        <v>1230</v>
      </c>
      <c r="J55" s="2">
        <v>1230</v>
      </c>
      <c r="K55" s="3"/>
    </row>
    <row r="56" spans="1:11" ht="13.2" hidden="1" x14ac:dyDescent="0.25">
      <c r="A56" s="8" t="s">
        <v>438</v>
      </c>
      <c r="B56" s="2">
        <v>3</v>
      </c>
      <c r="C56" s="2">
        <v>410</v>
      </c>
      <c r="D56" s="2">
        <f>ROUND(B56*C56,0)</f>
        <v>1230</v>
      </c>
      <c r="E56" s="2"/>
      <c r="F56" s="3"/>
      <c r="G56" s="67"/>
      <c r="H56" s="67"/>
      <c r="I56" s="67"/>
      <c r="J56" s="67"/>
      <c r="K56" s="3"/>
    </row>
    <row r="57" spans="1:11" ht="13.2" x14ac:dyDescent="0.25">
      <c r="D57" s="2"/>
      <c r="E57" s="2"/>
      <c r="F57" s="3"/>
      <c r="G57" s="3"/>
      <c r="H57" s="3"/>
      <c r="I57" s="3"/>
      <c r="J57" s="3"/>
      <c r="K57" s="3"/>
    </row>
    <row r="58" spans="1:11" ht="13.8" x14ac:dyDescent="0.3">
      <c r="A58" s="11" t="s">
        <v>1180</v>
      </c>
      <c r="D58" s="2"/>
      <c r="E58" s="2">
        <v>6933</v>
      </c>
      <c r="F58" s="3">
        <v>6292</v>
      </c>
      <c r="G58" s="3">
        <v>7065</v>
      </c>
      <c r="H58" s="3">
        <v>7025</v>
      </c>
      <c r="I58" s="3">
        <v>7025</v>
      </c>
      <c r="J58" s="3">
        <v>7164</v>
      </c>
      <c r="K58" s="3"/>
    </row>
    <row r="59" spans="1:11" ht="13.2" hidden="1" x14ac:dyDescent="0.25">
      <c r="A59" s="14" t="s">
        <v>1280</v>
      </c>
      <c r="B59" s="2">
        <f>+D7</f>
        <v>39988</v>
      </c>
      <c r="C59" s="15">
        <v>1.6999999999999999E-3</v>
      </c>
      <c r="D59" s="2">
        <f>ROUND(B59*C59,0)</f>
        <v>68</v>
      </c>
      <c r="E59" s="2"/>
      <c r="F59" s="3"/>
      <c r="G59" s="3"/>
      <c r="H59" s="3"/>
      <c r="I59" s="3"/>
      <c r="J59" s="3"/>
      <c r="K59" s="3"/>
    </row>
    <row r="60" spans="1:11" ht="13.2" hidden="1" x14ac:dyDescent="0.25">
      <c r="A60" s="14" t="s">
        <v>1285</v>
      </c>
      <c r="B60" s="2">
        <f>+D12</f>
        <v>81567</v>
      </c>
      <c r="C60" s="15">
        <v>3.49E-2</v>
      </c>
      <c r="D60" s="2">
        <f>ROUND(B60*C60,0)</f>
        <v>2847</v>
      </c>
      <c r="E60" s="2"/>
      <c r="F60" s="3"/>
      <c r="G60" s="3"/>
      <c r="H60" s="3"/>
      <c r="I60" s="3"/>
      <c r="J60" s="3"/>
      <c r="K60" s="3"/>
    </row>
    <row r="61" spans="1:11" ht="13.2" hidden="1" x14ac:dyDescent="0.25">
      <c r="A61" s="14" t="s">
        <v>497</v>
      </c>
      <c r="B61" s="2">
        <f>+D17</f>
        <v>62964</v>
      </c>
      <c r="C61" s="15">
        <v>3.49E-2</v>
      </c>
      <c r="D61" s="2">
        <f>ROUND(B61*C61,0)</f>
        <v>2197</v>
      </c>
      <c r="E61" s="2"/>
      <c r="F61" s="3"/>
      <c r="G61" s="3"/>
      <c r="H61" s="3"/>
      <c r="I61" s="3"/>
      <c r="J61" s="3"/>
      <c r="K61" s="3"/>
    </row>
    <row r="62" spans="1:11" ht="13.2" hidden="1" x14ac:dyDescent="0.25">
      <c r="A62" s="14" t="s">
        <v>1286</v>
      </c>
      <c r="B62" s="2">
        <f>+D22</f>
        <v>56016</v>
      </c>
      <c r="C62" s="15">
        <v>3.49E-2</v>
      </c>
      <c r="D62" s="2">
        <f>ROUND(B62*C62,0)</f>
        <v>1955</v>
      </c>
      <c r="E62" s="2"/>
      <c r="F62" s="3"/>
      <c r="G62" s="3"/>
      <c r="H62" s="3"/>
      <c r="I62" s="3"/>
      <c r="J62" s="3"/>
      <c r="K62" s="3"/>
    </row>
    <row r="63" spans="1:11" ht="15" hidden="1" x14ac:dyDescent="0.4">
      <c r="A63" s="14" t="s">
        <v>1860</v>
      </c>
      <c r="B63" s="2">
        <f>+D27</f>
        <v>4141.6875</v>
      </c>
      <c r="C63" s="15">
        <f>+C62*0.67</f>
        <v>2.3383000000000001E-2</v>
      </c>
      <c r="D63" s="12">
        <f>ROUND(B63*C63,0)</f>
        <v>97</v>
      </c>
      <c r="E63" s="2"/>
      <c r="F63" s="3"/>
      <c r="G63" s="3"/>
      <c r="H63" s="3"/>
      <c r="I63" s="3"/>
      <c r="J63" s="3"/>
      <c r="K63" s="3"/>
    </row>
    <row r="64" spans="1:11" ht="13.2" hidden="1" x14ac:dyDescent="0.25">
      <c r="A64" s="8" t="s">
        <v>1279</v>
      </c>
      <c r="D64" s="2">
        <f>SUM(D59:D63)</f>
        <v>7164</v>
      </c>
      <c r="E64" s="2"/>
      <c r="F64" s="3"/>
      <c r="G64" s="3"/>
      <c r="H64" s="3"/>
      <c r="I64" s="3"/>
      <c r="J64" s="3"/>
      <c r="K64" s="3"/>
    </row>
    <row r="65" spans="1:11" ht="13.2" x14ac:dyDescent="0.25">
      <c r="D65" s="2"/>
      <c r="E65" s="2"/>
      <c r="F65" s="3"/>
      <c r="G65" s="3"/>
      <c r="H65" s="3"/>
      <c r="I65" s="3"/>
      <c r="J65" s="3"/>
      <c r="K65" s="3"/>
    </row>
    <row r="66" spans="1:11" ht="13.8" x14ac:dyDescent="0.3">
      <c r="A66" s="11" t="s">
        <v>1181</v>
      </c>
      <c r="D66" s="2"/>
      <c r="E66" s="2">
        <v>188</v>
      </c>
      <c r="F66" s="3">
        <v>240</v>
      </c>
      <c r="G66" s="3">
        <v>175</v>
      </c>
      <c r="H66" s="3">
        <v>175</v>
      </c>
      <c r="I66" s="3">
        <v>175</v>
      </c>
      <c r="J66" s="3">
        <v>175</v>
      </c>
      <c r="K66" s="3"/>
    </row>
    <row r="67" spans="1:11" ht="12.6" hidden="1" customHeight="1" x14ac:dyDescent="0.25">
      <c r="A67" s="14" t="s">
        <v>1280</v>
      </c>
      <c r="B67" s="2">
        <v>1</v>
      </c>
      <c r="C67" s="2">
        <v>35</v>
      </c>
      <c r="D67" s="2">
        <f>ROUND(B67*C67,0)</f>
        <v>35</v>
      </c>
      <c r="E67" s="2"/>
      <c r="F67" s="3"/>
      <c r="G67" s="3"/>
      <c r="H67" s="3"/>
      <c r="I67" s="3"/>
      <c r="J67" s="3"/>
      <c r="K67" s="3"/>
    </row>
    <row r="68" spans="1:11" ht="12.6" hidden="1" customHeight="1" x14ac:dyDescent="0.25">
      <c r="A68" s="14" t="s">
        <v>1281</v>
      </c>
      <c r="B68" s="2">
        <v>1</v>
      </c>
      <c r="C68" s="2">
        <v>35</v>
      </c>
      <c r="D68" s="2">
        <f>ROUND(B68*C68,0)</f>
        <v>35</v>
      </c>
      <c r="E68" s="2"/>
      <c r="F68" s="3"/>
      <c r="G68" s="3"/>
      <c r="H68" s="3"/>
      <c r="I68" s="3"/>
      <c r="J68" s="3"/>
      <c r="K68" s="3"/>
    </row>
    <row r="69" spans="1:11" ht="12.6" hidden="1" customHeight="1" x14ac:dyDescent="0.25">
      <c r="A69" s="14" t="s">
        <v>1282</v>
      </c>
      <c r="B69" s="2">
        <v>1</v>
      </c>
      <c r="C69" s="2">
        <v>35</v>
      </c>
      <c r="D69" s="2">
        <f>ROUND(B69*C69,0)</f>
        <v>35</v>
      </c>
      <c r="E69" s="2"/>
      <c r="F69" s="3"/>
      <c r="G69" s="3"/>
      <c r="H69" s="3"/>
      <c r="I69" s="3"/>
      <c r="J69" s="3"/>
      <c r="K69" s="3"/>
    </row>
    <row r="70" spans="1:11" ht="12.6" hidden="1" customHeight="1" x14ac:dyDescent="0.25">
      <c r="A70" s="14" t="s">
        <v>1283</v>
      </c>
      <c r="B70" s="2">
        <v>14000</v>
      </c>
      <c r="C70" s="15">
        <v>2.5000000000000001E-3</v>
      </c>
      <c r="D70" s="2">
        <f>ROUND(B70*C70,0)</f>
        <v>35</v>
      </c>
      <c r="E70" s="2"/>
      <c r="F70" s="76"/>
      <c r="G70" s="3"/>
      <c r="H70" s="3"/>
      <c r="I70" s="3"/>
      <c r="J70" s="3"/>
      <c r="K70" s="76"/>
    </row>
    <row r="71" spans="1:11" ht="12.6" hidden="1" customHeight="1" x14ac:dyDescent="0.25">
      <c r="A71" s="14" t="s">
        <v>1283</v>
      </c>
      <c r="B71" s="2">
        <v>14000</v>
      </c>
      <c r="C71" s="15">
        <v>2.5000000000000001E-3</v>
      </c>
      <c r="D71" s="19">
        <f>ROUND(B71*C71,0)</f>
        <v>35</v>
      </c>
      <c r="E71" s="2"/>
      <c r="F71" s="3"/>
      <c r="G71" s="3"/>
      <c r="H71" s="3"/>
      <c r="I71" s="3"/>
      <c r="J71" s="3"/>
      <c r="K71" s="3"/>
    </row>
    <row r="72" spans="1:11" ht="12.6" hidden="1" customHeight="1" x14ac:dyDescent="0.25">
      <c r="A72" s="8" t="s">
        <v>1279</v>
      </c>
      <c r="B72" s="2" t="s">
        <v>417</v>
      </c>
      <c r="C72" s="15" t="s">
        <v>417</v>
      </c>
      <c r="D72" s="2">
        <f>SUM(D67:D71)</f>
        <v>175</v>
      </c>
      <c r="E72" s="2"/>
      <c r="F72" s="3"/>
      <c r="G72" s="76"/>
      <c r="H72" s="76"/>
      <c r="I72" s="76"/>
      <c r="J72" s="76"/>
      <c r="K72" s="3"/>
    </row>
    <row r="73" spans="1:11" ht="12.6" customHeight="1" x14ac:dyDescent="0.25">
      <c r="D73" s="2"/>
      <c r="E73" s="2"/>
      <c r="F73" s="3"/>
      <c r="G73" s="3"/>
      <c r="H73" s="3"/>
      <c r="I73" s="3"/>
      <c r="J73" s="3"/>
      <c r="K73" s="3"/>
    </row>
    <row r="74" spans="1:11" ht="13.8" x14ac:dyDescent="0.3">
      <c r="A74" s="11" t="s">
        <v>1182</v>
      </c>
      <c r="D74" s="2"/>
      <c r="E74" s="2">
        <v>2411</v>
      </c>
      <c r="F74" s="76">
        <v>2995</v>
      </c>
      <c r="G74" s="3">
        <v>2995</v>
      </c>
      <c r="H74" s="3">
        <v>2995</v>
      </c>
      <c r="I74" s="3">
        <v>2995</v>
      </c>
      <c r="J74" s="3">
        <v>2995</v>
      </c>
      <c r="K74" s="76"/>
    </row>
    <row r="75" spans="1:11" ht="13.2" x14ac:dyDescent="0.25">
      <c r="A75" s="8" t="s">
        <v>1696</v>
      </c>
      <c r="D75" s="2">
        <v>2500</v>
      </c>
      <c r="E75" s="2"/>
      <c r="F75" s="3"/>
      <c r="G75" s="3"/>
      <c r="H75" s="3"/>
      <c r="I75" s="3"/>
      <c r="J75" s="3"/>
      <c r="K75" s="3"/>
    </row>
    <row r="76" spans="1:11" ht="13.2" x14ac:dyDescent="0.25">
      <c r="A76" s="8" t="s">
        <v>1697</v>
      </c>
      <c r="C76" s="8">
        <v>1</v>
      </c>
      <c r="D76" s="2">
        <v>195</v>
      </c>
      <c r="E76" s="2"/>
      <c r="F76" s="3"/>
      <c r="G76" s="76"/>
      <c r="H76" s="76"/>
      <c r="I76" s="76"/>
      <c r="J76" s="76"/>
      <c r="K76" s="3"/>
    </row>
    <row r="77" spans="1:11" ht="15" x14ac:dyDescent="0.4">
      <c r="A77" s="8" t="s">
        <v>1698</v>
      </c>
      <c r="C77" s="8">
        <v>1</v>
      </c>
      <c r="D77" s="12">
        <v>300</v>
      </c>
      <c r="E77" s="2"/>
      <c r="F77" s="3"/>
      <c r="G77" s="3"/>
      <c r="H77" s="3"/>
      <c r="I77" s="3"/>
      <c r="J77" s="3"/>
      <c r="K77" s="3"/>
    </row>
    <row r="78" spans="1:11" ht="13.2" x14ac:dyDescent="0.25">
      <c r="D78" s="2">
        <f>SUM(D75:D77)</f>
        <v>2995</v>
      </c>
      <c r="E78" s="2"/>
      <c r="F78" s="3"/>
      <c r="G78" s="3"/>
      <c r="H78" s="3"/>
      <c r="I78" s="3"/>
      <c r="J78" s="3"/>
      <c r="K78" s="3"/>
    </row>
    <row r="79" spans="1:11" ht="13.2" x14ac:dyDescent="0.25">
      <c r="A79" s="8" t="s">
        <v>417</v>
      </c>
      <c r="D79" s="2" t="s">
        <v>417</v>
      </c>
      <c r="E79" s="2"/>
      <c r="F79" s="3"/>
      <c r="G79" s="3"/>
      <c r="H79" s="3"/>
      <c r="I79" s="3"/>
      <c r="J79" s="3"/>
      <c r="K79" s="3"/>
    </row>
    <row r="80" spans="1:11" ht="13.8" x14ac:dyDescent="0.3">
      <c r="A80" s="190" t="s">
        <v>863</v>
      </c>
      <c r="B80" s="178"/>
      <c r="C80" s="178"/>
      <c r="D80" s="178"/>
      <c r="E80" s="2">
        <v>0</v>
      </c>
      <c r="F80" s="76">
        <v>0</v>
      </c>
      <c r="G80" s="3">
        <v>0</v>
      </c>
      <c r="H80" s="3">
        <v>0</v>
      </c>
      <c r="I80" s="3">
        <v>0</v>
      </c>
      <c r="J80" s="3">
        <v>0</v>
      </c>
      <c r="K80" s="76"/>
    </row>
    <row r="81" spans="1:11" ht="13.2" x14ac:dyDescent="0.25">
      <c r="A81" s="191" t="s">
        <v>972</v>
      </c>
      <c r="B81" s="188" t="s">
        <v>263</v>
      </c>
      <c r="C81" s="188" t="s">
        <v>1723</v>
      </c>
      <c r="D81" s="188"/>
      <c r="E81" s="2"/>
      <c r="F81" s="3"/>
      <c r="G81" s="3"/>
      <c r="H81" s="3"/>
      <c r="I81" s="3"/>
      <c r="J81" s="3"/>
      <c r="K81" s="3"/>
    </row>
    <row r="82" spans="1:11" ht="13.2" x14ac:dyDescent="0.25">
      <c r="A82" s="178" t="s">
        <v>2075</v>
      </c>
      <c r="B82" s="178">
        <v>3</v>
      </c>
      <c r="C82" s="178">
        <v>100</v>
      </c>
      <c r="D82" s="178">
        <v>0</v>
      </c>
      <c r="E82" s="2"/>
      <c r="F82" s="3"/>
      <c r="G82" s="3"/>
      <c r="H82" s="3"/>
      <c r="I82" s="3"/>
      <c r="J82" s="3"/>
      <c r="K82" s="3"/>
    </row>
    <row r="83" spans="1:11" ht="13.2" x14ac:dyDescent="0.25">
      <c r="A83" s="178" t="s">
        <v>2076</v>
      </c>
      <c r="B83" s="178">
        <v>4</v>
      </c>
      <c r="C83" s="178">
        <v>300</v>
      </c>
      <c r="D83" s="178">
        <v>0</v>
      </c>
      <c r="E83" s="2"/>
      <c r="F83" s="3"/>
      <c r="G83" s="3"/>
      <c r="H83" s="3"/>
      <c r="I83" s="3"/>
      <c r="J83" s="3"/>
      <c r="K83" s="3"/>
    </row>
    <row r="84" spans="1:11" ht="13.2" x14ac:dyDescent="0.25">
      <c r="A84" s="178" t="s">
        <v>2077</v>
      </c>
      <c r="B84" s="178">
        <v>1</v>
      </c>
      <c r="C84" s="178">
        <v>150</v>
      </c>
      <c r="D84" s="178">
        <v>0</v>
      </c>
      <c r="E84" s="2"/>
      <c r="F84" s="3"/>
      <c r="G84" s="3"/>
      <c r="H84" s="3"/>
      <c r="I84" s="3"/>
      <c r="J84" s="3"/>
      <c r="K84" s="3"/>
    </row>
    <row r="85" spans="1:11" ht="13.2" x14ac:dyDescent="0.25">
      <c r="A85" s="178" t="s">
        <v>2078</v>
      </c>
      <c r="B85" s="178">
        <v>2</v>
      </c>
      <c r="C85" s="178">
        <v>150</v>
      </c>
      <c r="D85" s="178">
        <v>0</v>
      </c>
      <c r="E85" s="2"/>
      <c r="F85" s="76"/>
      <c r="G85" s="3"/>
      <c r="H85" s="3"/>
      <c r="I85" s="3"/>
      <c r="J85" s="3"/>
      <c r="K85" s="76"/>
    </row>
    <row r="86" spans="1:11" ht="15" x14ac:dyDescent="0.4">
      <c r="A86" s="178"/>
      <c r="B86" s="178"/>
      <c r="C86" s="178"/>
      <c r="D86" s="189">
        <v>0</v>
      </c>
      <c r="E86" s="2"/>
      <c r="F86" s="76"/>
      <c r="G86" s="3"/>
      <c r="H86" s="3"/>
      <c r="I86" s="3"/>
      <c r="J86" s="3"/>
      <c r="K86" s="76"/>
    </row>
    <row r="87" spans="1:11" ht="13.2" x14ac:dyDescent="0.25">
      <c r="A87" s="192" t="s">
        <v>1279</v>
      </c>
      <c r="B87" s="178"/>
      <c r="C87" s="178"/>
      <c r="D87" s="178">
        <f>SUM(D82:D86)</f>
        <v>0</v>
      </c>
      <c r="E87" s="2"/>
      <c r="F87" s="76"/>
      <c r="G87" s="3"/>
      <c r="H87" s="3"/>
      <c r="I87" s="3"/>
      <c r="J87" s="3"/>
      <c r="K87" s="76"/>
    </row>
    <row r="88" spans="1:11" ht="13.8" x14ac:dyDescent="0.3">
      <c r="A88" s="11"/>
      <c r="E88" s="2"/>
      <c r="F88" s="3"/>
      <c r="G88" s="3"/>
      <c r="H88" s="3"/>
      <c r="I88" s="3"/>
      <c r="J88" s="3"/>
      <c r="K88" s="3"/>
    </row>
    <row r="89" spans="1:11" ht="13.8" x14ac:dyDescent="0.3">
      <c r="A89" s="11" t="s">
        <v>1183</v>
      </c>
      <c r="D89" s="2"/>
      <c r="E89" s="2">
        <v>380</v>
      </c>
      <c r="F89" s="76">
        <v>655</v>
      </c>
      <c r="G89" s="3">
        <v>655</v>
      </c>
      <c r="H89" s="3">
        <v>655</v>
      </c>
      <c r="I89" s="3">
        <v>655</v>
      </c>
      <c r="J89" s="3">
        <v>655</v>
      </c>
      <c r="K89" s="3"/>
    </row>
    <row r="90" spans="1:11" ht="13.2" x14ac:dyDescent="0.25">
      <c r="A90" s="8" t="s">
        <v>1641</v>
      </c>
      <c r="D90" s="2">
        <v>295</v>
      </c>
      <c r="E90" s="2"/>
      <c r="F90" s="3"/>
      <c r="G90" s="3"/>
      <c r="H90" s="3"/>
      <c r="I90" s="3"/>
      <c r="J90" s="3"/>
      <c r="K90" s="3"/>
    </row>
    <row r="91" spans="1:11" ht="15" x14ac:dyDescent="0.4">
      <c r="A91" s="8" t="s">
        <v>1642</v>
      </c>
      <c r="D91" s="12">
        <v>360</v>
      </c>
      <c r="E91" s="2"/>
      <c r="F91" s="3"/>
      <c r="G91" s="76"/>
      <c r="H91" s="76"/>
      <c r="I91" s="76"/>
      <c r="J91" s="76"/>
      <c r="K91" s="3"/>
    </row>
    <row r="92" spans="1:11" ht="13.2" x14ac:dyDescent="0.25">
      <c r="D92" s="2">
        <f>SUM(D90:D91)</f>
        <v>655</v>
      </c>
      <c r="E92" s="2"/>
      <c r="F92" s="3"/>
      <c r="G92" s="3"/>
      <c r="H92" s="3"/>
      <c r="I92" s="3"/>
      <c r="J92" s="3"/>
      <c r="K92" s="76"/>
    </row>
    <row r="93" spans="1:11" ht="13.2" x14ac:dyDescent="0.25">
      <c r="D93" s="2"/>
      <c r="E93" s="2"/>
      <c r="F93" s="3"/>
      <c r="G93" s="3"/>
      <c r="H93" s="3"/>
      <c r="I93" s="3"/>
      <c r="J93" s="3"/>
      <c r="K93" s="3"/>
    </row>
    <row r="94" spans="1:11" ht="13.2" x14ac:dyDescent="0.25">
      <c r="A94" s="130" t="s">
        <v>91</v>
      </c>
      <c r="E94" s="2">
        <v>13</v>
      </c>
      <c r="F94" s="76">
        <v>25</v>
      </c>
      <c r="G94" s="3">
        <v>25</v>
      </c>
      <c r="H94" s="3">
        <v>25</v>
      </c>
      <c r="I94" s="3">
        <v>25</v>
      </c>
      <c r="J94" s="3">
        <v>25</v>
      </c>
      <c r="K94" s="3"/>
    </row>
    <row r="95" spans="1:11" ht="13.2" x14ac:dyDescent="0.25">
      <c r="A95" s="2" t="s">
        <v>336</v>
      </c>
      <c r="D95" s="8">
        <v>25</v>
      </c>
      <c r="E95" s="2"/>
      <c r="F95" s="76"/>
      <c r="G95" s="3"/>
      <c r="H95" s="3"/>
      <c r="I95" s="3"/>
      <c r="J95" s="3"/>
      <c r="K95" s="3"/>
    </row>
    <row r="96" spans="1:11" ht="13.2" x14ac:dyDescent="0.25">
      <c r="E96" s="2"/>
      <c r="F96" s="76"/>
      <c r="G96" s="76"/>
      <c r="H96" s="76"/>
      <c r="I96" s="76"/>
      <c r="J96" s="76"/>
      <c r="K96" s="3"/>
    </row>
    <row r="97" spans="1:11" ht="13.8" x14ac:dyDescent="0.3">
      <c r="A97" s="11" t="s">
        <v>1184</v>
      </c>
      <c r="E97" s="2">
        <v>1121</v>
      </c>
      <c r="F97" s="3">
        <v>1200</v>
      </c>
      <c r="G97" s="76">
        <v>1250</v>
      </c>
      <c r="H97" s="76">
        <v>1250</v>
      </c>
      <c r="I97" s="76">
        <v>1250</v>
      </c>
      <c r="J97" s="76">
        <v>1250</v>
      </c>
      <c r="K97" s="3"/>
    </row>
    <row r="98" spans="1:11" ht="13.2" x14ac:dyDescent="0.25">
      <c r="A98" s="8" t="s">
        <v>1317</v>
      </c>
      <c r="B98" s="2">
        <v>500</v>
      </c>
      <c r="C98" s="13">
        <v>2.5</v>
      </c>
      <c r="D98" s="2">
        <f>+C98*B98</f>
        <v>1250</v>
      </c>
      <c r="E98" s="2"/>
      <c r="F98" s="3"/>
      <c r="G98" s="76"/>
      <c r="H98" s="76"/>
      <c r="I98" s="76"/>
      <c r="J98" s="76"/>
      <c r="K98" s="3"/>
    </row>
    <row r="99" spans="1:11" ht="13.2" x14ac:dyDescent="0.25">
      <c r="B99" s="2"/>
      <c r="D99" s="15"/>
      <c r="E99" s="2"/>
      <c r="F99" s="3"/>
      <c r="G99" s="3"/>
      <c r="H99" s="3"/>
      <c r="I99" s="3"/>
      <c r="J99" s="3"/>
      <c r="K99" s="3"/>
    </row>
    <row r="100" spans="1:11" ht="13.8" x14ac:dyDescent="0.3">
      <c r="A100" s="11" t="s">
        <v>1185</v>
      </c>
      <c r="B100" s="2"/>
      <c r="D100" s="15"/>
      <c r="E100" s="2">
        <v>2291</v>
      </c>
      <c r="F100" s="3">
        <v>2105</v>
      </c>
      <c r="G100" s="3">
        <v>2335</v>
      </c>
      <c r="H100" s="3">
        <v>2335</v>
      </c>
      <c r="I100" s="3">
        <v>2335</v>
      </c>
      <c r="J100" s="3">
        <v>2335</v>
      </c>
      <c r="K100" s="3"/>
    </row>
    <row r="101" spans="1:11" ht="13.2" x14ac:dyDescent="0.25">
      <c r="A101" s="8" t="s">
        <v>977</v>
      </c>
      <c r="B101" s="2"/>
      <c r="D101" s="2">
        <v>895</v>
      </c>
      <c r="E101" s="2"/>
      <c r="F101" s="76"/>
      <c r="G101" s="3"/>
      <c r="H101" s="3"/>
      <c r="I101" s="3"/>
      <c r="J101" s="3"/>
      <c r="K101" s="3"/>
    </row>
    <row r="102" spans="1:11" ht="13.2" x14ac:dyDescent="0.25">
      <c r="A102" s="2" t="s">
        <v>912</v>
      </c>
      <c r="B102" s="2">
        <v>12</v>
      </c>
      <c r="C102" s="2">
        <v>40</v>
      </c>
      <c r="D102" s="2">
        <f>C102*B102</f>
        <v>480</v>
      </c>
      <c r="E102" s="2"/>
      <c r="F102" s="3"/>
      <c r="G102" s="3"/>
      <c r="H102" s="3"/>
      <c r="I102" s="3"/>
      <c r="J102" s="3"/>
      <c r="K102" s="3"/>
    </row>
    <row r="103" spans="1:11" ht="13.2" x14ac:dyDescent="0.25">
      <c r="A103" s="2" t="s">
        <v>913</v>
      </c>
      <c r="B103" s="2">
        <v>12</v>
      </c>
      <c r="C103" s="2">
        <v>40</v>
      </c>
      <c r="D103" s="2">
        <f>C103*B103</f>
        <v>480</v>
      </c>
      <c r="E103" s="2"/>
      <c r="F103" s="3"/>
      <c r="G103" s="76"/>
      <c r="H103" s="76"/>
      <c r="I103" s="76"/>
      <c r="J103" s="76"/>
      <c r="K103" s="3"/>
    </row>
    <row r="104" spans="1:11" ht="15" x14ac:dyDescent="0.4">
      <c r="A104" s="2" t="s">
        <v>914</v>
      </c>
      <c r="B104" s="2">
        <v>12</v>
      </c>
      <c r="C104" s="2">
        <v>40</v>
      </c>
      <c r="D104" s="12">
        <f>C104*B104</f>
        <v>480</v>
      </c>
      <c r="E104" s="2"/>
      <c r="F104" s="3"/>
      <c r="G104" s="3"/>
      <c r="H104" s="3"/>
      <c r="I104" s="3"/>
      <c r="J104" s="3"/>
      <c r="K104" s="3"/>
    </row>
    <row r="105" spans="1:11" ht="13.2" x14ac:dyDescent="0.25">
      <c r="A105" s="8" t="s">
        <v>1279</v>
      </c>
      <c r="B105" s="2"/>
      <c r="D105" s="2">
        <f>SUM(D101:D104)</f>
        <v>2335</v>
      </c>
      <c r="E105" s="2"/>
      <c r="F105" s="3"/>
      <c r="G105" s="3"/>
      <c r="H105" s="3"/>
      <c r="I105" s="3"/>
      <c r="J105" s="3"/>
      <c r="K105" s="3"/>
    </row>
    <row r="106" spans="1:11" ht="13.2" x14ac:dyDescent="0.25">
      <c r="B106" s="2"/>
      <c r="D106" s="2"/>
      <c r="E106" s="2"/>
      <c r="F106" s="3"/>
      <c r="G106" s="3"/>
      <c r="H106" s="3"/>
      <c r="I106" s="3"/>
      <c r="J106" s="3"/>
      <c r="K106" s="3"/>
    </row>
    <row r="107" spans="1:11" ht="13.2" x14ac:dyDescent="0.25">
      <c r="D107" s="2"/>
      <c r="E107" s="2"/>
      <c r="F107" s="3"/>
      <c r="G107" s="3"/>
      <c r="H107" s="3"/>
      <c r="I107" s="3"/>
      <c r="J107" s="3"/>
      <c r="K107" s="3"/>
    </row>
    <row r="108" spans="1:11" ht="13.8" x14ac:dyDescent="0.3">
      <c r="A108" s="11" t="s">
        <v>1186</v>
      </c>
      <c r="D108" s="2"/>
      <c r="E108" s="2">
        <v>380</v>
      </c>
      <c r="F108" s="3">
        <v>1140</v>
      </c>
      <c r="G108" s="3">
        <v>1140</v>
      </c>
      <c r="H108" s="3">
        <v>1140</v>
      </c>
      <c r="I108" s="3">
        <v>1140</v>
      </c>
      <c r="J108" s="3">
        <v>1140</v>
      </c>
      <c r="K108" s="3"/>
    </row>
    <row r="109" spans="1:11" ht="13.2" x14ac:dyDescent="0.25">
      <c r="A109" s="8" t="s">
        <v>1643</v>
      </c>
      <c r="B109" s="2">
        <v>1</v>
      </c>
      <c r="C109" s="8">
        <v>175</v>
      </c>
      <c r="D109" s="2">
        <v>175</v>
      </c>
      <c r="E109" s="2"/>
      <c r="F109" s="3"/>
      <c r="G109" s="3"/>
      <c r="H109" s="3"/>
      <c r="I109" s="3"/>
      <c r="J109" s="3"/>
      <c r="K109" s="3"/>
    </row>
    <row r="110" spans="1:11" ht="13.2" x14ac:dyDescent="0.25">
      <c r="A110" s="8" t="s">
        <v>1699</v>
      </c>
      <c r="B110" s="2">
        <v>1</v>
      </c>
      <c r="C110" s="8">
        <v>125</v>
      </c>
      <c r="D110" s="2">
        <f>C110*B110</f>
        <v>125</v>
      </c>
      <c r="E110" s="2"/>
      <c r="F110" s="3"/>
      <c r="G110" s="3"/>
      <c r="H110" s="3"/>
      <c r="I110" s="3"/>
      <c r="J110" s="3"/>
      <c r="K110" s="3"/>
    </row>
    <row r="111" spans="1:11" ht="13.2" x14ac:dyDescent="0.25">
      <c r="A111" s="8" t="s">
        <v>1644</v>
      </c>
      <c r="B111" s="2">
        <v>1</v>
      </c>
      <c r="C111" s="8">
        <v>75</v>
      </c>
      <c r="D111" s="2">
        <v>75</v>
      </c>
      <c r="E111" s="2"/>
      <c r="F111" s="3"/>
      <c r="G111" s="3"/>
      <c r="H111" s="3"/>
      <c r="I111" s="3"/>
      <c r="J111" s="3"/>
      <c r="K111" s="3"/>
    </row>
    <row r="112" spans="1:11" ht="13.2" x14ac:dyDescent="0.25">
      <c r="A112" s="8" t="s">
        <v>195</v>
      </c>
      <c r="B112" s="2">
        <v>1</v>
      </c>
      <c r="C112" s="8">
        <v>30</v>
      </c>
      <c r="D112" s="2">
        <v>30</v>
      </c>
      <c r="E112" s="2"/>
      <c r="F112" s="3"/>
      <c r="G112" s="3"/>
      <c r="H112" s="3"/>
      <c r="I112" s="3"/>
      <c r="J112" s="3"/>
      <c r="K112" s="3"/>
    </row>
    <row r="113" spans="1:11" ht="13.2" x14ac:dyDescent="0.25">
      <c r="A113" s="8" t="s">
        <v>1645</v>
      </c>
      <c r="B113" s="2">
        <v>1</v>
      </c>
      <c r="C113" s="8">
        <v>85</v>
      </c>
      <c r="D113" s="2">
        <v>85</v>
      </c>
      <c r="E113" s="2"/>
      <c r="F113" s="3"/>
      <c r="G113" s="3"/>
      <c r="H113" s="3"/>
      <c r="I113" s="3"/>
      <c r="J113" s="3"/>
      <c r="K113" s="3"/>
    </row>
    <row r="114" spans="1:11" ht="13.2" hidden="1" x14ac:dyDescent="0.25">
      <c r="A114" s="8" t="s">
        <v>1646</v>
      </c>
      <c r="B114" s="2">
        <v>1</v>
      </c>
      <c r="D114" s="2"/>
      <c r="E114" s="2"/>
      <c r="F114" s="3"/>
      <c r="G114" s="3"/>
      <c r="H114" s="3"/>
      <c r="I114" s="3"/>
      <c r="J114" s="3"/>
      <c r="K114" s="76"/>
    </row>
    <row r="115" spans="1:11" ht="13.2" x14ac:dyDescent="0.25">
      <c r="A115" s="8" t="s">
        <v>1387</v>
      </c>
      <c r="B115" s="2">
        <v>1</v>
      </c>
      <c r="C115" s="8">
        <v>25</v>
      </c>
      <c r="D115" s="2">
        <v>25</v>
      </c>
      <c r="E115" s="2"/>
      <c r="F115" s="3"/>
      <c r="G115" s="3"/>
      <c r="H115" s="3"/>
      <c r="I115" s="3"/>
      <c r="J115" s="3"/>
      <c r="K115" s="3"/>
    </row>
    <row r="116" spans="1:11" ht="13.2" x14ac:dyDescent="0.25">
      <c r="A116" s="8" t="s">
        <v>893</v>
      </c>
      <c r="B116" s="2">
        <v>1</v>
      </c>
      <c r="C116" s="8">
        <v>125</v>
      </c>
      <c r="D116" s="2">
        <v>125</v>
      </c>
      <c r="E116" s="2"/>
      <c r="F116" s="3"/>
      <c r="G116" s="3"/>
      <c r="H116" s="3"/>
      <c r="I116" s="3"/>
      <c r="J116" s="3"/>
      <c r="K116" s="3"/>
    </row>
    <row r="117" spans="1:11" ht="13.2" x14ac:dyDescent="0.25">
      <c r="A117" s="8" t="s">
        <v>894</v>
      </c>
      <c r="B117" s="2">
        <v>1</v>
      </c>
      <c r="C117" s="8">
        <v>150</v>
      </c>
      <c r="D117" s="2">
        <v>150</v>
      </c>
      <c r="E117" s="2"/>
      <c r="F117" s="3"/>
      <c r="G117" s="3"/>
      <c r="H117" s="3"/>
      <c r="I117" s="3"/>
      <c r="J117" s="3"/>
      <c r="K117" s="76"/>
    </row>
    <row r="118" spans="1:11" ht="13.2" x14ac:dyDescent="0.25">
      <c r="A118" s="8" t="s">
        <v>1647</v>
      </c>
      <c r="B118" s="2">
        <v>1</v>
      </c>
      <c r="C118" s="8">
        <v>250</v>
      </c>
      <c r="D118" s="2">
        <v>250</v>
      </c>
      <c r="E118" s="2"/>
      <c r="F118" s="3"/>
      <c r="G118" s="3"/>
      <c r="H118" s="3"/>
      <c r="I118" s="3"/>
      <c r="J118" s="3"/>
      <c r="K118" s="76"/>
    </row>
    <row r="119" spans="1:11" ht="15" x14ac:dyDescent="0.4">
      <c r="A119" s="8" t="s">
        <v>1648</v>
      </c>
      <c r="B119" s="2">
        <v>1</v>
      </c>
      <c r="C119" s="8">
        <v>100</v>
      </c>
      <c r="D119" s="12">
        <v>100</v>
      </c>
      <c r="E119" s="2"/>
      <c r="F119" s="3"/>
      <c r="G119" s="3"/>
      <c r="H119" s="3"/>
      <c r="I119" s="3"/>
      <c r="J119" s="3"/>
      <c r="K119" s="3"/>
    </row>
    <row r="120" spans="1:11" ht="13.2" x14ac:dyDescent="0.25">
      <c r="A120" s="8" t="s">
        <v>1279</v>
      </c>
      <c r="D120" s="2">
        <f>SUM(D109:D119)</f>
        <v>1140</v>
      </c>
      <c r="E120" s="2"/>
      <c r="F120" s="3"/>
      <c r="G120" s="3"/>
      <c r="H120" s="3"/>
      <c r="I120" s="3"/>
      <c r="J120" s="3"/>
      <c r="K120" s="3"/>
    </row>
    <row r="121" spans="1:11" ht="13.2" x14ac:dyDescent="0.25">
      <c r="D121" s="2"/>
      <c r="E121" s="2"/>
      <c r="F121" s="3"/>
      <c r="G121" s="3"/>
      <c r="H121" s="3"/>
      <c r="I121" s="3"/>
      <c r="J121" s="3"/>
      <c r="K121" s="3"/>
    </row>
    <row r="122" spans="1:11" ht="13.8" x14ac:dyDescent="0.3">
      <c r="A122" s="18" t="s">
        <v>1187</v>
      </c>
      <c r="D122" s="2"/>
      <c r="E122" s="2">
        <v>2852</v>
      </c>
      <c r="F122" s="3">
        <v>2690</v>
      </c>
      <c r="G122" s="3">
        <v>3357</v>
      </c>
      <c r="H122" s="3">
        <v>3155</v>
      </c>
      <c r="I122" s="3">
        <v>3155</v>
      </c>
      <c r="J122" s="3">
        <v>3155</v>
      </c>
      <c r="K122" s="3"/>
    </row>
    <row r="123" spans="1:11" ht="13.2" x14ac:dyDescent="0.25">
      <c r="A123" s="8" t="s">
        <v>897</v>
      </c>
      <c r="D123" s="2">
        <v>3155</v>
      </c>
      <c r="E123" s="2"/>
      <c r="F123" s="76"/>
      <c r="G123" s="3"/>
      <c r="H123" s="3"/>
      <c r="I123" s="3"/>
      <c r="J123" s="3"/>
      <c r="K123" s="3"/>
    </row>
    <row r="124" spans="1:11" ht="13.2" x14ac:dyDescent="0.25">
      <c r="D124" s="2"/>
      <c r="E124" s="2"/>
      <c r="F124" s="3"/>
      <c r="G124" s="3"/>
      <c r="H124" s="3"/>
      <c r="I124" s="3"/>
      <c r="J124" s="3"/>
      <c r="K124" s="3"/>
    </row>
    <row r="125" spans="1:11" ht="13.8" x14ac:dyDescent="0.3">
      <c r="A125" s="11" t="s">
        <v>1188</v>
      </c>
      <c r="D125" s="2"/>
      <c r="E125" s="2">
        <v>0</v>
      </c>
      <c r="F125" s="3">
        <v>255</v>
      </c>
      <c r="G125" s="76">
        <v>225</v>
      </c>
      <c r="H125" s="76">
        <v>225</v>
      </c>
      <c r="I125" s="76">
        <v>225</v>
      </c>
      <c r="J125" s="76">
        <v>225</v>
      </c>
      <c r="K125" s="3"/>
    </row>
    <row r="126" spans="1:11" ht="13.2" x14ac:dyDescent="0.25">
      <c r="A126" s="8" t="s">
        <v>1700</v>
      </c>
      <c r="D126" s="2">
        <v>255</v>
      </c>
      <c r="E126" s="2"/>
      <c r="F126" s="76"/>
      <c r="G126" s="3"/>
      <c r="H126" s="3"/>
      <c r="I126" s="3"/>
      <c r="J126" s="3"/>
      <c r="K126" s="3"/>
    </row>
    <row r="127" spans="1:11" ht="13.2" x14ac:dyDescent="0.25">
      <c r="D127" s="2"/>
      <c r="E127" s="2"/>
      <c r="F127" s="76"/>
      <c r="G127" s="3"/>
      <c r="H127" s="3"/>
      <c r="I127" s="3"/>
      <c r="J127" s="3"/>
      <c r="K127" s="3"/>
    </row>
    <row r="128" spans="1:11" ht="13.8" x14ac:dyDescent="0.3">
      <c r="A128" s="55" t="s">
        <v>1701</v>
      </c>
      <c r="B128" s="131"/>
      <c r="C128" s="9"/>
      <c r="D128" s="9"/>
      <c r="E128" s="9">
        <v>0</v>
      </c>
      <c r="F128" s="3">
        <v>3200</v>
      </c>
      <c r="G128" s="76">
        <v>3200</v>
      </c>
      <c r="H128" s="76">
        <v>3200</v>
      </c>
      <c r="I128" s="76">
        <v>3200</v>
      </c>
      <c r="J128" s="76">
        <v>3200</v>
      </c>
      <c r="K128" s="3"/>
    </row>
    <row r="129" spans="1:11" ht="13.2" x14ac:dyDescent="0.25">
      <c r="A129" s="2" t="s">
        <v>1898</v>
      </c>
      <c r="B129" s="2">
        <v>1</v>
      </c>
      <c r="C129" s="2">
        <v>1200</v>
      </c>
      <c r="D129" s="9">
        <f>C129*B129</f>
        <v>1200</v>
      </c>
      <c r="E129" s="9"/>
      <c r="F129" s="3"/>
      <c r="G129" s="76"/>
      <c r="H129" s="76"/>
      <c r="I129" s="76"/>
      <c r="J129" s="76"/>
      <c r="K129" s="3"/>
    </row>
    <row r="130" spans="1:11" ht="13.2" x14ac:dyDescent="0.25">
      <c r="A130" s="2" t="s">
        <v>1899</v>
      </c>
      <c r="B130" s="2">
        <v>1</v>
      </c>
      <c r="C130" s="2">
        <v>1000</v>
      </c>
      <c r="D130" s="9">
        <f>C130*B130</f>
        <v>1000</v>
      </c>
      <c r="E130" s="9"/>
      <c r="F130" s="3"/>
      <c r="G130" s="3"/>
      <c r="H130" s="3"/>
      <c r="I130" s="3"/>
      <c r="J130" s="3"/>
      <c r="K130" s="3"/>
    </row>
    <row r="131" spans="1:11" ht="15" x14ac:dyDescent="0.4">
      <c r="A131" s="2" t="s">
        <v>1900</v>
      </c>
      <c r="B131" s="2">
        <v>1</v>
      </c>
      <c r="C131" s="2">
        <v>1000</v>
      </c>
      <c r="D131" s="10">
        <f>C131*B131</f>
        <v>1000</v>
      </c>
      <c r="E131" s="9"/>
      <c r="F131" s="3"/>
      <c r="G131" s="3"/>
      <c r="H131" s="3"/>
      <c r="I131" s="3"/>
      <c r="J131" s="3"/>
      <c r="K131" s="3"/>
    </row>
    <row r="132" spans="1:11" ht="13.2" x14ac:dyDescent="0.25">
      <c r="A132" s="2"/>
      <c r="B132" s="2"/>
      <c r="C132" s="2"/>
      <c r="D132" s="9">
        <f>SUM(D129:D131)</f>
        <v>3200</v>
      </c>
      <c r="E132" s="9"/>
      <c r="F132" s="3"/>
      <c r="G132" s="3"/>
      <c r="H132" s="3"/>
      <c r="I132" s="3"/>
      <c r="J132" s="3"/>
      <c r="K132" s="3"/>
    </row>
    <row r="133" spans="1:11" ht="13.2" x14ac:dyDescent="0.25">
      <c r="A133" s="8" t="s">
        <v>417</v>
      </c>
      <c r="D133" s="2" t="s">
        <v>417</v>
      </c>
      <c r="E133" s="2"/>
      <c r="F133" s="3"/>
      <c r="G133" s="3"/>
      <c r="H133" s="3"/>
      <c r="I133" s="3"/>
      <c r="J133" s="3"/>
      <c r="K133" s="3"/>
    </row>
    <row r="134" spans="1:11" ht="13.8" x14ac:dyDescent="0.3">
      <c r="A134" s="11" t="s">
        <v>1189</v>
      </c>
      <c r="D134" s="2"/>
      <c r="E134" s="2">
        <v>1657</v>
      </c>
      <c r="F134" s="3">
        <v>4700</v>
      </c>
      <c r="G134" s="3">
        <v>2700</v>
      </c>
      <c r="H134" s="3">
        <v>2700</v>
      </c>
      <c r="I134" s="3">
        <v>2700</v>
      </c>
      <c r="J134" s="3">
        <v>2700</v>
      </c>
      <c r="K134" s="3"/>
    </row>
    <row r="135" spans="1:11" ht="13.2" x14ac:dyDescent="0.25">
      <c r="A135" s="8" t="s">
        <v>193</v>
      </c>
      <c r="D135" s="2">
        <v>1500</v>
      </c>
      <c r="E135" s="2"/>
      <c r="F135" s="3"/>
      <c r="G135" s="3"/>
      <c r="H135" s="3"/>
      <c r="I135" s="3"/>
      <c r="J135" s="3"/>
      <c r="K135" s="3"/>
    </row>
    <row r="136" spans="1:11" ht="15" x14ac:dyDescent="0.4">
      <c r="A136" s="2" t="s">
        <v>1702</v>
      </c>
      <c r="B136" s="2">
        <v>1</v>
      </c>
      <c r="C136" s="2">
        <v>1200</v>
      </c>
      <c r="D136" s="12">
        <f>C136*B136</f>
        <v>1200</v>
      </c>
      <c r="E136" s="2"/>
      <c r="F136" s="3"/>
      <c r="G136" s="3"/>
      <c r="H136" s="3"/>
      <c r="I136" s="3"/>
      <c r="J136" s="3"/>
      <c r="K136" s="3"/>
    </row>
    <row r="137" spans="1:11" ht="13.2" x14ac:dyDescent="0.25">
      <c r="A137" s="26" t="s">
        <v>1279</v>
      </c>
      <c r="B137" s="2"/>
      <c r="C137" s="2"/>
      <c r="D137" s="2">
        <f>SUM(D135:D136)</f>
        <v>2700</v>
      </c>
      <c r="E137" s="2"/>
      <c r="F137" s="3"/>
      <c r="G137" s="3"/>
      <c r="H137" s="3"/>
      <c r="I137" s="3"/>
      <c r="J137" s="3"/>
      <c r="K137" s="3"/>
    </row>
    <row r="138" spans="1:11" ht="13.2" x14ac:dyDescent="0.25">
      <c r="D138" s="2"/>
      <c r="E138" s="2"/>
      <c r="F138" s="3"/>
      <c r="G138" s="3"/>
      <c r="H138" s="3"/>
      <c r="I138" s="3"/>
      <c r="J138" s="3"/>
      <c r="K138" s="3"/>
    </row>
    <row r="139" spans="1:11" ht="13.8" x14ac:dyDescent="0.3">
      <c r="A139" s="55" t="s">
        <v>599</v>
      </c>
      <c r="B139" s="20"/>
      <c r="C139" s="20"/>
      <c r="D139" s="20"/>
      <c r="E139" s="2">
        <v>795</v>
      </c>
      <c r="F139" s="3">
        <v>2073</v>
      </c>
      <c r="G139" s="3">
        <v>2073</v>
      </c>
      <c r="H139" s="3">
        <v>2073</v>
      </c>
      <c r="I139" s="3">
        <v>2073</v>
      </c>
      <c r="J139" s="3">
        <v>2073</v>
      </c>
      <c r="K139" s="3"/>
    </row>
    <row r="140" spans="1:11" ht="13.2" x14ac:dyDescent="0.25">
      <c r="A140" s="2" t="s">
        <v>1384</v>
      </c>
      <c r="B140" s="2"/>
      <c r="C140" s="2"/>
      <c r="D140" s="2">
        <v>198</v>
      </c>
      <c r="E140" s="2"/>
      <c r="F140" s="3"/>
      <c r="G140" s="3"/>
      <c r="H140" s="3"/>
      <c r="I140" s="3"/>
      <c r="J140" s="3"/>
      <c r="K140" s="3"/>
    </row>
    <row r="141" spans="1:11" ht="13.2" x14ac:dyDescent="0.25">
      <c r="A141" s="2" t="s">
        <v>36</v>
      </c>
      <c r="B141" s="2"/>
      <c r="C141" s="2"/>
      <c r="D141" s="2">
        <v>875</v>
      </c>
      <c r="E141" s="2"/>
      <c r="F141" s="3"/>
      <c r="G141" s="3"/>
      <c r="H141" s="3"/>
      <c r="I141" s="3"/>
      <c r="J141" s="3"/>
      <c r="K141" s="3"/>
    </row>
    <row r="142" spans="1:11" ht="15" x14ac:dyDescent="0.4">
      <c r="A142" s="2" t="s">
        <v>1582</v>
      </c>
      <c r="B142" s="2"/>
      <c r="C142" s="2"/>
      <c r="D142" s="12">
        <v>1000</v>
      </c>
      <c r="E142" s="2"/>
      <c r="F142" s="3"/>
      <c r="G142" s="3"/>
      <c r="H142" s="3"/>
      <c r="I142" s="3"/>
      <c r="J142" s="3"/>
      <c r="K142" s="3"/>
    </row>
    <row r="143" spans="1:11" ht="13.2" x14ac:dyDescent="0.25">
      <c r="A143" s="26" t="s">
        <v>1279</v>
      </c>
      <c r="B143" s="2"/>
      <c r="C143" s="2"/>
      <c r="D143" s="2">
        <f>SUM(D140:D142)</f>
        <v>2073</v>
      </c>
      <c r="E143" s="2"/>
      <c r="F143" s="3"/>
      <c r="G143" s="3"/>
      <c r="H143" s="3"/>
      <c r="I143" s="3"/>
      <c r="J143" s="3"/>
      <c r="K143" s="3"/>
    </row>
    <row r="144" spans="1:11" ht="13.2" x14ac:dyDescent="0.25">
      <c r="D144" s="2"/>
      <c r="E144" s="2"/>
      <c r="F144" s="3"/>
      <c r="G144" s="3"/>
      <c r="H144" s="3"/>
      <c r="I144" s="3"/>
      <c r="J144" s="3"/>
      <c r="K144" s="3"/>
    </row>
    <row r="145" spans="1:11" ht="13.8" x14ac:dyDescent="0.3">
      <c r="A145" s="11" t="s">
        <v>1190</v>
      </c>
      <c r="E145" s="2">
        <v>783</v>
      </c>
      <c r="F145" s="3">
        <v>2120</v>
      </c>
      <c r="G145" s="3">
        <v>2120</v>
      </c>
      <c r="H145" s="3">
        <v>2120</v>
      </c>
      <c r="I145" s="3">
        <v>2120</v>
      </c>
      <c r="J145" s="3">
        <v>2120</v>
      </c>
      <c r="K145" s="76"/>
    </row>
    <row r="146" spans="1:11" ht="13.8" x14ac:dyDescent="0.3">
      <c r="A146" s="127" t="s">
        <v>1649</v>
      </c>
      <c r="E146" s="2"/>
      <c r="F146" s="3"/>
      <c r="G146" s="3"/>
      <c r="H146" s="3"/>
      <c r="I146" s="3"/>
      <c r="J146" s="3"/>
      <c r="K146" s="3"/>
    </row>
    <row r="147" spans="1:11" ht="13.2" x14ac:dyDescent="0.25">
      <c r="A147" s="25" t="s">
        <v>1703</v>
      </c>
      <c r="B147" s="8">
        <v>1</v>
      </c>
      <c r="C147" s="8">
        <v>520</v>
      </c>
      <c r="D147" s="2">
        <f>C147*B147</f>
        <v>520</v>
      </c>
      <c r="E147" s="2"/>
      <c r="F147" s="3"/>
      <c r="G147" s="3"/>
      <c r="H147" s="3"/>
      <c r="I147" s="3"/>
      <c r="J147" s="3"/>
      <c r="K147" s="3"/>
    </row>
    <row r="148" spans="1:11" ht="13.2" x14ac:dyDescent="0.25">
      <c r="A148" s="25" t="s">
        <v>1704</v>
      </c>
      <c r="B148" s="8">
        <v>1</v>
      </c>
      <c r="C148" s="8">
        <v>300</v>
      </c>
      <c r="D148" s="2">
        <f>C148*B148</f>
        <v>300</v>
      </c>
      <c r="E148" s="2"/>
      <c r="F148" s="3"/>
      <c r="G148" s="3"/>
      <c r="H148" s="3"/>
      <c r="I148" s="3"/>
      <c r="J148" s="3"/>
      <c r="K148" s="3"/>
    </row>
    <row r="149" spans="1:11" ht="13.2" x14ac:dyDescent="0.25">
      <c r="A149" s="8" t="s">
        <v>1705</v>
      </c>
      <c r="B149" s="8">
        <v>1</v>
      </c>
      <c r="C149" s="8">
        <v>500</v>
      </c>
      <c r="D149" s="2">
        <f>C149*B149</f>
        <v>500</v>
      </c>
      <c r="E149" s="2"/>
      <c r="F149" s="3"/>
      <c r="G149" s="3"/>
      <c r="H149" s="3"/>
      <c r="I149" s="3"/>
      <c r="J149" s="3"/>
      <c r="K149" s="3"/>
    </row>
    <row r="150" spans="1:11" ht="13.2" x14ac:dyDescent="0.25">
      <c r="A150" s="8" t="s">
        <v>1706</v>
      </c>
      <c r="B150" s="8">
        <v>1</v>
      </c>
      <c r="C150" s="8">
        <v>400</v>
      </c>
      <c r="D150" s="2">
        <f>C150*B150</f>
        <v>400</v>
      </c>
      <c r="E150" s="2"/>
      <c r="F150" s="3"/>
      <c r="G150" s="3"/>
      <c r="H150" s="3"/>
      <c r="I150" s="3"/>
      <c r="J150" s="3"/>
      <c r="K150" s="3"/>
    </row>
    <row r="151" spans="1:11" ht="15" x14ac:dyDescent="0.4">
      <c r="A151" s="8" t="s">
        <v>1707</v>
      </c>
      <c r="B151" s="8">
        <v>1</v>
      </c>
      <c r="C151" s="8">
        <v>400</v>
      </c>
      <c r="D151" s="12">
        <f>C151*B151</f>
        <v>400</v>
      </c>
      <c r="E151" s="2"/>
      <c r="F151" s="3"/>
      <c r="G151" s="3"/>
      <c r="H151" s="3"/>
      <c r="I151" s="3"/>
      <c r="J151" s="3"/>
      <c r="K151" s="4"/>
    </row>
    <row r="152" spans="1:11" ht="13.2" x14ac:dyDescent="0.25">
      <c r="D152" s="2">
        <f>SUM(D147:D151)</f>
        <v>2120</v>
      </c>
      <c r="E152" s="2"/>
      <c r="F152" s="3"/>
      <c r="G152" s="3"/>
      <c r="H152" s="3"/>
      <c r="I152" s="3"/>
      <c r="J152" s="3"/>
      <c r="K152" s="4"/>
    </row>
    <row r="153" spans="1:11" ht="13.2" x14ac:dyDescent="0.25">
      <c r="D153" s="2"/>
      <c r="E153" s="2"/>
      <c r="F153" s="3"/>
      <c r="G153" s="3"/>
      <c r="H153" s="3"/>
      <c r="I153" s="3"/>
      <c r="J153" s="3"/>
      <c r="K153" s="3"/>
    </row>
    <row r="154" spans="1:11" ht="15" x14ac:dyDescent="0.4">
      <c r="A154" s="11" t="s">
        <v>1191</v>
      </c>
      <c r="D154" s="39"/>
      <c r="E154" s="2">
        <v>0</v>
      </c>
      <c r="F154" s="76">
        <v>900</v>
      </c>
      <c r="G154" s="3">
        <v>900</v>
      </c>
      <c r="H154" s="3">
        <v>900</v>
      </c>
      <c r="I154" s="3">
        <v>900</v>
      </c>
      <c r="J154" s="3">
        <v>900</v>
      </c>
      <c r="K154" s="33"/>
    </row>
    <row r="155" spans="1:11" ht="13.2" x14ac:dyDescent="0.25">
      <c r="A155" s="8" t="s">
        <v>1409</v>
      </c>
      <c r="D155" s="2">
        <v>500</v>
      </c>
      <c r="E155" s="2"/>
      <c r="F155" s="3"/>
      <c r="G155" s="3"/>
      <c r="H155" s="3"/>
      <c r="I155" s="3"/>
      <c r="J155" s="3"/>
      <c r="K155" s="2"/>
    </row>
    <row r="156" spans="1:11" ht="15" x14ac:dyDescent="0.4">
      <c r="A156" s="8" t="s">
        <v>240</v>
      </c>
      <c r="D156" s="12">
        <v>400</v>
      </c>
      <c r="E156" s="2"/>
      <c r="F156" s="3"/>
      <c r="G156" s="3"/>
      <c r="H156" s="3"/>
      <c r="I156" s="3"/>
      <c r="J156" s="3"/>
      <c r="K156" s="2"/>
    </row>
    <row r="157" spans="1:11" ht="13.2" x14ac:dyDescent="0.25">
      <c r="A157" s="8" t="s">
        <v>1279</v>
      </c>
      <c r="D157" s="2">
        <f>SUM(D155:D156)</f>
        <v>900</v>
      </c>
      <c r="E157" s="2"/>
      <c r="F157" s="3"/>
      <c r="G157" s="3"/>
      <c r="H157" s="3"/>
      <c r="I157" s="3"/>
      <c r="J157" s="3"/>
      <c r="K157" s="2"/>
    </row>
    <row r="158" spans="1:11" ht="13.2" x14ac:dyDescent="0.25">
      <c r="D158" s="2"/>
      <c r="E158" s="2"/>
      <c r="F158" s="3"/>
      <c r="G158" s="3"/>
      <c r="H158" s="3"/>
      <c r="I158" s="3"/>
      <c r="J158" s="3"/>
      <c r="K158" s="2"/>
    </row>
    <row r="159" spans="1:11" ht="13.8" x14ac:dyDescent="0.3">
      <c r="A159" s="64" t="s">
        <v>1258</v>
      </c>
      <c r="B159" s="72"/>
      <c r="C159" s="63"/>
      <c r="D159" s="75" t="s">
        <v>417</v>
      </c>
      <c r="E159" s="75"/>
      <c r="F159" s="3"/>
      <c r="G159" s="3"/>
      <c r="H159" s="3"/>
      <c r="I159" s="3"/>
      <c r="J159" s="3"/>
      <c r="K159" s="2"/>
    </row>
    <row r="160" spans="1:11" ht="15" x14ac:dyDescent="0.4">
      <c r="A160" s="43" t="s">
        <v>1259</v>
      </c>
      <c r="B160" s="47">
        <v>0</v>
      </c>
      <c r="C160" s="3">
        <v>0</v>
      </c>
      <c r="D160" s="33">
        <f>C160*B160</f>
        <v>0</v>
      </c>
      <c r="E160" s="74">
        <v>0</v>
      </c>
      <c r="F160" s="4">
        <v>0</v>
      </c>
      <c r="G160" s="4">
        <v>0</v>
      </c>
      <c r="H160" s="4">
        <v>0</v>
      </c>
      <c r="I160" s="4">
        <v>0</v>
      </c>
      <c r="J160" s="4">
        <v>0</v>
      </c>
      <c r="K160" s="2"/>
    </row>
    <row r="161" spans="1:11" ht="13.2" x14ac:dyDescent="0.25">
      <c r="A161" s="43"/>
      <c r="B161" s="47"/>
      <c r="C161" s="3"/>
      <c r="D161" s="3">
        <f>SUM(D160:D160)</f>
        <v>0</v>
      </c>
      <c r="E161" s="74"/>
      <c r="F161" s="4"/>
      <c r="G161" s="4"/>
      <c r="H161" s="4"/>
      <c r="I161" s="4"/>
      <c r="J161" s="4"/>
      <c r="K161" s="2"/>
    </row>
    <row r="162" spans="1:11" ht="13.2" x14ac:dyDescent="0.25">
      <c r="D162" s="2"/>
      <c r="E162" s="2"/>
      <c r="F162" s="3"/>
      <c r="G162" s="3"/>
      <c r="H162" s="3"/>
      <c r="I162" s="3"/>
      <c r="J162" s="3"/>
      <c r="K162" s="2"/>
    </row>
    <row r="163" spans="1:11" ht="15" x14ac:dyDescent="0.4">
      <c r="A163" s="55" t="s">
        <v>600</v>
      </c>
      <c r="B163" s="9"/>
      <c r="C163" s="9"/>
      <c r="D163" s="9"/>
      <c r="E163" s="12">
        <v>275</v>
      </c>
      <c r="F163" s="33">
        <v>3500</v>
      </c>
      <c r="G163" s="33">
        <f>D166</f>
        <v>12400</v>
      </c>
      <c r="H163" s="33">
        <v>12400</v>
      </c>
      <c r="I163" s="33">
        <v>12400</v>
      </c>
      <c r="J163" s="33">
        <v>12400</v>
      </c>
      <c r="K163" s="177">
        <v>0</v>
      </c>
    </row>
    <row r="164" spans="1:11" ht="13.2" x14ac:dyDescent="0.25">
      <c r="A164" s="2" t="s">
        <v>1708</v>
      </c>
      <c r="B164" s="2">
        <v>2</v>
      </c>
      <c r="C164" s="2">
        <v>1250</v>
      </c>
      <c r="D164" s="2">
        <f>+C164*B164</f>
        <v>2500</v>
      </c>
      <c r="E164" s="2"/>
      <c r="F164" s="2"/>
      <c r="H164" s="2"/>
      <c r="I164" s="2"/>
      <c r="J164" s="2"/>
      <c r="K164" s="2"/>
    </row>
    <row r="165" spans="1:11" ht="12.75" customHeight="1" x14ac:dyDescent="0.4">
      <c r="A165" s="178" t="s">
        <v>2079</v>
      </c>
      <c r="B165" s="2">
        <v>1</v>
      </c>
      <c r="C165" s="2">
        <v>9900</v>
      </c>
      <c r="D165" s="12">
        <f>C165*B165</f>
        <v>9900</v>
      </c>
      <c r="E165" s="2"/>
      <c r="F165" s="2"/>
      <c r="H165" s="2"/>
      <c r="I165" s="2"/>
      <c r="J165" s="2"/>
      <c r="K165" s="2"/>
    </row>
    <row r="166" spans="1:11" ht="12.75" customHeight="1" x14ac:dyDescent="0.25">
      <c r="A166" s="26" t="s">
        <v>1279</v>
      </c>
      <c r="B166" s="2"/>
      <c r="C166" s="2"/>
      <c r="D166" s="2">
        <f>SUM(D164:D165)</f>
        <v>12400</v>
      </c>
      <c r="E166" s="2"/>
      <c r="F166" s="2"/>
      <c r="H166" s="2"/>
      <c r="I166" s="2"/>
      <c r="J166" s="2"/>
      <c r="K166" s="2"/>
    </row>
    <row r="167" spans="1:11" ht="12.75" customHeight="1" x14ac:dyDescent="0.3">
      <c r="A167" s="61" t="s">
        <v>417</v>
      </c>
      <c r="D167" s="2"/>
      <c r="E167" s="2"/>
      <c r="F167" s="2"/>
      <c r="H167" s="2"/>
      <c r="I167" s="2"/>
      <c r="J167" s="2"/>
      <c r="K167" s="2"/>
    </row>
    <row r="168" spans="1:11" ht="12.75" customHeight="1" x14ac:dyDescent="0.25">
      <c r="A168" s="21" t="s">
        <v>1366</v>
      </c>
      <c r="D168" s="2"/>
      <c r="E168" s="2">
        <f t="shared" ref="E168:K168" si="0">SUM(E6:E163)</f>
        <v>334733</v>
      </c>
      <c r="F168" s="2">
        <f t="shared" si="0"/>
        <v>373063</v>
      </c>
      <c r="G168" s="2">
        <f t="shared" si="0"/>
        <v>382430</v>
      </c>
      <c r="H168" s="2">
        <f t="shared" si="0"/>
        <v>380158</v>
      </c>
      <c r="I168" s="2">
        <f>SUM(I6:I163)</f>
        <v>380158</v>
      </c>
      <c r="J168" s="2">
        <f>SUM(J6:J163)</f>
        <v>385724</v>
      </c>
      <c r="K168" s="2">
        <f t="shared" si="0"/>
        <v>0</v>
      </c>
    </row>
    <row r="169" spans="1:11" ht="12.75" customHeight="1" x14ac:dyDescent="0.25">
      <c r="A169" s="21"/>
      <c r="D169" s="2"/>
      <c r="E169" s="2"/>
      <c r="F169" s="2"/>
      <c r="H169" s="2"/>
      <c r="I169" s="2"/>
      <c r="J169" s="2"/>
      <c r="K169" s="2"/>
    </row>
    <row r="170" spans="1:11" ht="12.75" customHeight="1" x14ac:dyDescent="0.25">
      <c r="A170" s="8" t="s">
        <v>1001</v>
      </c>
      <c r="E170" s="2">
        <f t="shared" ref="E170:K170" si="1">SUM(E6:E72)</f>
        <v>321775</v>
      </c>
      <c r="F170" s="2">
        <f t="shared" si="1"/>
        <v>345505</v>
      </c>
      <c r="G170" s="2">
        <f t="shared" si="1"/>
        <v>347055</v>
      </c>
      <c r="H170" s="2">
        <f t="shared" si="1"/>
        <v>344985</v>
      </c>
      <c r="I170" s="2">
        <f>SUM(I6:I72)</f>
        <v>344985</v>
      </c>
      <c r="J170" s="2">
        <f>SUM(J6:J72)</f>
        <v>350551</v>
      </c>
      <c r="K170" s="2">
        <f t="shared" si="1"/>
        <v>0</v>
      </c>
    </row>
    <row r="171" spans="1:11" ht="12.75" customHeight="1" x14ac:dyDescent="0.25">
      <c r="A171" s="8" t="s">
        <v>975</v>
      </c>
      <c r="E171" s="2">
        <f t="shared" ref="E171:K171" si="2">SUM(E74:E155)</f>
        <v>12683</v>
      </c>
      <c r="F171" s="2">
        <f t="shared" si="2"/>
        <v>24058</v>
      </c>
      <c r="G171" s="2">
        <f t="shared" si="2"/>
        <v>22975</v>
      </c>
      <c r="H171" s="2">
        <f t="shared" si="2"/>
        <v>22773</v>
      </c>
      <c r="I171" s="2">
        <f>SUM(I74:I155)</f>
        <v>22773</v>
      </c>
      <c r="J171" s="2">
        <f>SUM(J74:J155)</f>
        <v>22773</v>
      </c>
      <c r="K171" s="2">
        <f t="shared" si="2"/>
        <v>0</v>
      </c>
    </row>
    <row r="172" spans="1:11" ht="12.75" customHeight="1" x14ac:dyDescent="0.4">
      <c r="A172" s="8" t="s">
        <v>976</v>
      </c>
      <c r="E172" s="12">
        <f t="shared" ref="E172:K172" si="3">+E163+E160</f>
        <v>275</v>
      </c>
      <c r="F172" s="12">
        <f t="shared" si="3"/>
        <v>3500</v>
      </c>
      <c r="G172" s="12">
        <f t="shared" si="3"/>
        <v>12400</v>
      </c>
      <c r="H172" s="12">
        <f t="shared" si="3"/>
        <v>12400</v>
      </c>
      <c r="I172" s="12">
        <f>+I163+I160</f>
        <v>12400</v>
      </c>
      <c r="J172" s="12">
        <f>+J163+J160</f>
        <v>12400</v>
      </c>
      <c r="K172" s="12">
        <f t="shared" si="3"/>
        <v>0</v>
      </c>
    </row>
    <row r="173" spans="1:11" ht="12.75" customHeight="1" x14ac:dyDescent="0.25">
      <c r="E173" s="2">
        <f t="shared" ref="E173:K173" si="4">SUM(E170:E172)</f>
        <v>334733</v>
      </c>
      <c r="F173" s="2">
        <f t="shared" si="4"/>
        <v>373063</v>
      </c>
      <c r="G173" s="2">
        <f t="shared" si="4"/>
        <v>382430</v>
      </c>
      <c r="H173" s="2">
        <f t="shared" si="4"/>
        <v>380158</v>
      </c>
      <c r="I173" s="2">
        <f>SUM(I170:I172)</f>
        <v>380158</v>
      </c>
      <c r="J173" s="2">
        <f>SUM(J170:J172)</f>
        <v>385724</v>
      </c>
      <c r="K173" s="2">
        <f t="shared" si="4"/>
        <v>0</v>
      </c>
    </row>
    <row r="174" spans="1:11" ht="12.75" customHeight="1" x14ac:dyDescent="0.25">
      <c r="F174" s="2"/>
      <c r="H174" s="2"/>
      <c r="I174" s="2"/>
      <c r="J174" s="2"/>
      <c r="K174" s="2"/>
    </row>
    <row r="175" spans="1:11" ht="12.75" customHeight="1" x14ac:dyDescent="0.25">
      <c r="H175" s="2"/>
      <c r="I175" s="2"/>
      <c r="J175" s="2"/>
      <c r="K175" s="2"/>
    </row>
    <row r="176" spans="1:11" ht="12.75" customHeight="1" x14ac:dyDescent="0.25">
      <c r="H176" s="2"/>
      <c r="I176" s="2"/>
      <c r="J176" s="2"/>
      <c r="K176" s="2"/>
    </row>
    <row r="177" spans="8:11" ht="12.75" customHeight="1" x14ac:dyDescent="0.25">
      <c r="H177" s="2"/>
      <c r="I177" s="2"/>
      <c r="J177" s="2"/>
      <c r="K177" s="2"/>
    </row>
    <row r="178" spans="8:11" ht="12.75" customHeight="1" x14ac:dyDescent="0.25">
      <c r="H178" s="2"/>
      <c r="I178" s="2"/>
      <c r="J178" s="2"/>
      <c r="K178" s="2"/>
    </row>
    <row r="179" spans="8:11" ht="12.75" customHeight="1" x14ac:dyDescent="0.25">
      <c r="H179" s="2"/>
      <c r="I179" s="2"/>
      <c r="J179" s="2"/>
      <c r="K179" s="2"/>
    </row>
    <row r="180" spans="8:11" ht="12.75" customHeight="1" x14ac:dyDescent="0.25">
      <c r="H180" s="2"/>
      <c r="I180" s="2"/>
      <c r="J180" s="2"/>
      <c r="K180" s="2"/>
    </row>
    <row r="181" spans="8:11" ht="12.75" customHeight="1" x14ac:dyDescent="0.25">
      <c r="H181" s="2"/>
      <c r="I181" s="2"/>
      <c r="J181" s="2"/>
      <c r="K181" s="2"/>
    </row>
    <row r="182" spans="8:11" ht="12.75" customHeight="1" x14ac:dyDescent="0.25">
      <c r="H182" s="2"/>
      <c r="I182" s="2"/>
      <c r="J182" s="2"/>
      <c r="K182" s="2"/>
    </row>
    <row r="183" spans="8:11" ht="12.75" customHeight="1" x14ac:dyDescent="0.25">
      <c r="H183" s="2"/>
      <c r="I183" s="2"/>
      <c r="J183" s="2"/>
    </row>
    <row r="184" spans="8:11" ht="12.75" customHeight="1" x14ac:dyDescent="0.25">
      <c r="H184" s="2"/>
      <c r="I184" s="2"/>
      <c r="J184" s="2"/>
    </row>
    <row r="185" spans="8:11" ht="12.75" customHeight="1" x14ac:dyDescent="0.25">
      <c r="H185" s="2"/>
      <c r="I185" s="2"/>
      <c r="J185" s="2"/>
    </row>
    <row r="186" spans="8:11" ht="12.75" customHeight="1" x14ac:dyDescent="0.25">
      <c r="H186" s="2"/>
      <c r="I186" s="2"/>
      <c r="J186" s="2"/>
    </row>
    <row r="187" spans="8:11" ht="12.75" customHeight="1" x14ac:dyDescent="0.25">
      <c r="H187" s="2"/>
      <c r="I187" s="2"/>
      <c r="J187" s="2"/>
    </row>
    <row r="188" spans="8:11" ht="12.75" customHeight="1" x14ac:dyDescent="0.25">
      <c r="H188" s="2"/>
      <c r="I188" s="2"/>
      <c r="J188" s="2"/>
    </row>
    <row r="189" spans="8:11" ht="12.75" customHeight="1" x14ac:dyDescent="0.25">
      <c r="H189" s="2"/>
      <c r="I189" s="2"/>
      <c r="J189" s="2"/>
    </row>
    <row r="190" spans="8:11" ht="12.75" customHeight="1" x14ac:dyDescent="0.25">
      <c r="H190" s="2"/>
      <c r="I190" s="2"/>
      <c r="J190" s="2"/>
    </row>
    <row r="191" spans="8:11" ht="12.75" customHeight="1" x14ac:dyDescent="0.25">
      <c r="H191" s="2"/>
      <c r="I191" s="2"/>
      <c r="J191" s="2"/>
    </row>
    <row r="192" spans="8:11" ht="12.75" customHeight="1" x14ac:dyDescent="0.25">
      <c r="H192" s="2"/>
      <c r="I192" s="2"/>
      <c r="J192" s="2"/>
    </row>
    <row r="193" spans="8:10" ht="12.75" customHeight="1" x14ac:dyDescent="0.25">
      <c r="H193" s="2"/>
      <c r="I193" s="2"/>
      <c r="J193" s="2"/>
    </row>
    <row r="194" spans="8:10" ht="12.75" customHeight="1" x14ac:dyDescent="0.25">
      <c r="H194" s="2"/>
      <c r="I194" s="2"/>
      <c r="J194" s="2"/>
    </row>
    <row r="195" spans="8:10" ht="12.75" customHeight="1" x14ac:dyDescent="0.25">
      <c r="H195" s="2"/>
      <c r="I195" s="2"/>
      <c r="J195" s="2"/>
    </row>
    <row r="196" spans="8:10" ht="12.75" customHeight="1" x14ac:dyDescent="0.25">
      <c r="H196" s="2"/>
      <c r="I196" s="2"/>
      <c r="J196" s="2"/>
    </row>
    <row r="197" spans="8:10" ht="12.75" customHeight="1" x14ac:dyDescent="0.25">
      <c r="H197" s="2"/>
      <c r="I197" s="2"/>
      <c r="J197" s="2"/>
    </row>
    <row r="198" spans="8:10" ht="12.75" customHeight="1" x14ac:dyDescent="0.25">
      <c r="H198" s="2"/>
      <c r="I198" s="2"/>
      <c r="J198" s="2"/>
    </row>
    <row r="199" spans="8:10" ht="12.75" customHeight="1" x14ac:dyDescent="0.25">
      <c r="H199" s="2"/>
      <c r="I199" s="2"/>
      <c r="J199" s="2"/>
    </row>
    <row r="200" spans="8:10" ht="12.75" customHeight="1" x14ac:dyDescent="0.25">
      <c r="H200" s="2"/>
      <c r="I200" s="2"/>
      <c r="J200" s="2"/>
    </row>
    <row r="201" spans="8:10" ht="12.75" customHeight="1" x14ac:dyDescent="0.25">
      <c r="J201" s="213"/>
    </row>
    <row r="202" spans="8:10" ht="12.75" customHeight="1" x14ac:dyDescent="0.25">
      <c r="J202" s="213"/>
    </row>
    <row r="203" spans="8:10" ht="12.75" customHeight="1" x14ac:dyDescent="0.25">
      <c r="J203" s="213"/>
    </row>
    <row r="204" spans="8:10" ht="12.75" customHeight="1" x14ac:dyDescent="0.25">
      <c r="J204" s="213"/>
    </row>
    <row r="205" spans="8:10" ht="12.75" customHeight="1" x14ac:dyDescent="0.25">
      <c r="J205" s="213"/>
    </row>
  </sheetData>
  <mergeCells count="1">
    <mergeCell ref="A1:J1"/>
  </mergeCells>
  <phoneticPr fontId="5" type="noConversion"/>
  <printOptions gridLines="1"/>
  <pageMargins left="0.75" right="0.16" top="0.51" bottom="0.22" header="0.5" footer="0.5"/>
  <pageSetup scale="94" fitToHeight="4" orientation="landscape" r:id="rId1"/>
  <headerFooter alignWithMargins="0"/>
  <rowBreaks count="2" manualBreakCount="2">
    <brk id="107" max="9" man="1"/>
    <brk id="144" max="9"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7"/>
  <sheetViews>
    <sheetView view="pageBreakPreview" zoomScaleNormal="100" zoomScaleSheetLayoutView="100" workbookViewId="0">
      <selection sqref="A1:J1"/>
    </sheetView>
  </sheetViews>
  <sheetFormatPr defaultRowHeight="13.2" x14ac:dyDescent="0.25"/>
  <cols>
    <col min="1" max="1" width="44.44140625" style="8" customWidth="1"/>
    <col min="2" max="2" width="8.6640625" style="8" bestFit="1" customWidth="1"/>
    <col min="3" max="3" width="9.6640625" style="8" bestFit="1" customWidth="1"/>
    <col min="4" max="4" width="11" style="8" bestFit="1" customWidth="1"/>
    <col min="5" max="5" width="13.6640625" style="8" customWidth="1"/>
    <col min="6" max="6" width="10.33203125" style="8" bestFit="1" customWidth="1"/>
    <col min="7" max="7" width="14.44140625" style="8" bestFit="1" customWidth="1"/>
    <col min="8" max="8" width="14" style="8" bestFit="1" customWidth="1"/>
    <col min="9" max="10" width="9.5546875" style="8" customWidth="1"/>
    <col min="11" max="11" width="0" style="8" hidden="1" customWidth="1"/>
    <col min="12" max="16384" width="8.88671875" style="8"/>
  </cols>
  <sheetData>
    <row r="1" spans="1:10" x14ac:dyDescent="0.25">
      <c r="A1" s="217" t="s">
        <v>1972</v>
      </c>
      <c r="B1" s="218"/>
      <c r="C1" s="218"/>
      <c r="D1" s="218"/>
      <c r="E1" s="218"/>
      <c r="F1" s="218"/>
      <c r="G1" s="218"/>
      <c r="H1" s="218"/>
      <c r="I1" s="218"/>
      <c r="J1" s="218"/>
    </row>
    <row r="2" spans="1:10" ht="17.399999999999999" x14ac:dyDescent="0.3">
      <c r="A2" s="202" t="s">
        <v>2245</v>
      </c>
      <c r="B2" s="202"/>
      <c r="C2" s="202"/>
      <c r="D2" s="202"/>
      <c r="E2" s="202"/>
      <c r="F2" s="202"/>
    </row>
    <row r="3" spans="1:10" x14ac:dyDescent="0.25">
      <c r="B3" s="2"/>
      <c r="C3" s="2"/>
      <c r="D3" s="2"/>
      <c r="E3" s="2"/>
      <c r="F3" s="2"/>
    </row>
    <row r="4" spans="1:10" x14ac:dyDescent="0.25">
      <c r="B4" s="2"/>
      <c r="C4" s="2"/>
      <c r="D4" s="2"/>
      <c r="E4" s="9" t="s">
        <v>251</v>
      </c>
      <c r="F4" s="9" t="s">
        <v>252</v>
      </c>
      <c r="G4" s="9" t="s">
        <v>73</v>
      </c>
      <c r="H4" s="9" t="s">
        <v>430</v>
      </c>
      <c r="I4" s="2" t="s">
        <v>330</v>
      </c>
      <c r="J4" s="2" t="s">
        <v>364</v>
      </c>
    </row>
    <row r="5" spans="1:10" ht="15" x14ac:dyDescent="0.4">
      <c r="B5" s="2"/>
      <c r="C5" s="2"/>
      <c r="D5" s="2"/>
      <c r="E5" s="10" t="s">
        <v>1684</v>
      </c>
      <c r="F5" s="10" t="s">
        <v>1874</v>
      </c>
      <c r="G5" s="10" t="s">
        <v>1944</v>
      </c>
      <c r="H5" s="10" t="s">
        <v>1944</v>
      </c>
      <c r="I5" s="10" t="s">
        <v>1944</v>
      </c>
      <c r="J5" s="10" t="s">
        <v>1944</v>
      </c>
    </row>
    <row r="6" spans="1:10" ht="13.8" x14ac:dyDescent="0.3">
      <c r="A6" s="11" t="s">
        <v>2</v>
      </c>
      <c r="B6" s="2"/>
      <c r="C6" s="2"/>
      <c r="D6" s="2"/>
      <c r="E6" s="2">
        <v>47195</v>
      </c>
      <c r="F6" s="2">
        <v>50456</v>
      </c>
      <c r="G6" s="2">
        <v>49504</v>
      </c>
      <c r="H6" s="2">
        <v>49504</v>
      </c>
      <c r="I6" s="2">
        <v>49504</v>
      </c>
      <c r="J6" s="2">
        <v>49504</v>
      </c>
    </row>
    <row r="7" spans="1:10" x14ac:dyDescent="0.25">
      <c r="A7" s="8" t="s">
        <v>467</v>
      </c>
      <c r="B7" s="2">
        <v>52</v>
      </c>
      <c r="C7" s="2">
        <v>971</v>
      </c>
      <c r="D7" s="2">
        <f>ROUND(B7*C7,0)</f>
        <v>50492</v>
      </c>
      <c r="E7" s="2"/>
      <c r="F7" s="2"/>
      <c r="G7" s="2"/>
      <c r="H7" s="2"/>
      <c r="I7" s="2"/>
      <c r="J7" s="2"/>
    </row>
    <row r="8" spans="1:10" x14ac:dyDescent="0.25">
      <c r="B8" s="2"/>
      <c r="C8" s="2"/>
      <c r="D8" s="2"/>
      <c r="E8" s="2"/>
      <c r="F8" s="2"/>
      <c r="G8" s="2"/>
      <c r="H8" s="2"/>
      <c r="I8" s="2"/>
      <c r="J8" s="2"/>
    </row>
    <row r="9" spans="1:10" ht="13.8" x14ac:dyDescent="0.3">
      <c r="A9" s="11" t="s">
        <v>257</v>
      </c>
      <c r="B9" s="2"/>
      <c r="C9" s="2"/>
      <c r="D9" s="2"/>
      <c r="E9" s="2">
        <v>125226</v>
      </c>
      <c r="F9" s="2">
        <v>198288</v>
      </c>
      <c r="G9" s="2">
        <v>188587</v>
      </c>
      <c r="H9" s="2">
        <v>188587</v>
      </c>
      <c r="I9" s="2">
        <v>188587</v>
      </c>
      <c r="J9" s="2">
        <v>188262</v>
      </c>
    </row>
    <row r="10" spans="1:10" x14ac:dyDescent="0.25">
      <c r="A10" s="8" t="s">
        <v>258</v>
      </c>
      <c r="B10" s="2">
        <v>52</v>
      </c>
      <c r="C10" s="2">
        <v>1998</v>
      </c>
      <c r="D10" s="2">
        <f>ROUND(B10*C10,0)</f>
        <v>103896</v>
      </c>
      <c r="E10" s="2"/>
      <c r="F10" s="2"/>
      <c r="G10" s="2"/>
      <c r="H10" s="2"/>
      <c r="I10" s="2"/>
      <c r="J10" s="2"/>
    </row>
    <row r="11" spans="1:10" x14ac:dyDescent="0.25">
      <c r="A11" s="8" t="s">
        <v>1595</v>
      </c>
      <c r="B11" s="2">
        <v>52</v>
      </c>
      <c r="C11" s="2">
        <v>1584</v>
      </c>
      <c r="D11" s="2">
        <f>ROUND(B11*C11,0)</f>
        <v>82368</v>
      </c>
      <c r="E11" s="2"/>
      <c r="F11" s="2"/>
      <c r="G11" s="2"/>
      <c r="H11" s="2"/>
      <c r="I11" s="2"/>
      <c r="J11" s="2"/>
    </row>
    <row r="12" spans="1:10" ht="15" x14ac:dyDescent="0.4">
      <c r="A12" s="8" t="s">
        <v>995</v>
      </c>
      <c r="B12" s="2" t="s">
        <v>417</v>
      </c>
      <c r="C12" s="2" t="s">
        <v>417</v>
      </c>
      <c r="D12" s="12">
        <f>+C10</f>
        <v>1998</v>
      </c>
      <c r="E12" s="2"/>
      <c r="F12" s="2"/>
      <c r="G12" s="2"/>
      <c r="H12" s="2"/>
      <c r="I12" s="2"/>
      <c r="J12" s="2"/>
    </row>
    <row r="13" spans="1:10" x14ac:dyDescent="0.25">
      <c r="A13" s="8" t="s">
        <v>1279</v>
      </c>
      <c r="B13" s="2"/>
      <c r="C13" s="2"/>
      <c r="D13" s="2">
        <f>SUM(D10:D12)</f>
        <v>188262</v>
      </c>
      <c r="E13" s="2"/>
      <c r="F13" s="2"/>
      <c r="G13" s="2"/>
      <c r="H13" s="2"/>
      <c r="I13" s="2"/>
      <c r="J13" s="2"/>
    </row>
    <row r="14" spans="1:10" x14ac:dyDescent="0.25">
      <c r="B14" s="2"/>
      <c r="C14" s="2"/>
      <c r="D14" s="2"/>
      <c r="E14" s="2"/>
      <c r="F14" s="2"/>
      <c r="G14" s="2"/>
      <c r="H14" s="2"/>
      <c r="I14" s="2"/>
      <c r="J14" s="2"/>
    </row>
    <row r="15" spans="1:10" ht="13.8" x14ac:dyDescent="0.3">
      <c r="A15" s="11" t="s">
        <v>824</v>
      </c>
      <c r="D15" s="2"/>
      <c r="E15" s="2">
        <v>7636</v>
      </c>
      <c r="F15" s="2">
        <v>11200</v>
      </c>
      <c r="G15" s="2">
        <v>12080</v>
      </c>
      <c r="H15" s="2">
        <v>12080</v>
      </c>
      <c r="I15" s="2">
        <v>12080</v>
      </c>
      <c r="J15" s="2">
        <v>12080</v>
      </c>
    </row>
    <row r="16" spans="1:10" x14ac:dyDescent="0.25">
      <c r="A16" s="8" t="s">
        <v>1811</v>
      </c>
      <c r="B16" s="2">
        <v>880</v>
      </c>
      <c r="C16" s="15">
        <v>13</v>
      </c>
      <c r="D16" s="2">
        <f>ROUND(B16*C16,0)</f>
        <v>11440</v>
      </c>
      <c r="E16" s="2"/>
      <c r="F16" s="2"/>
      <c r="G16" s="2"/>
      <c r="H16" s="2"/>
      <c r="I16" s="2"/>
      <c r="J16" s="2"/>
    </row>
    <row r="17" spans="1:10" ht="15" x14ac:dyDescent="0.4">
      <c r="A17" s="8" t="s">
        <v>1812</v>
      </c>
      <c r="B17" s="2">
        <v>64</v>
      </c>
      <c r="C17" s="15">
        <v>10</v>
      </c>
      <c r="D17" s="12">
        <f>+C17*B17</f>
        <v>640</v>
      </c>
      <c r="E17" s="2"/>
      <c r="F17" s="2"/>
      <c r="G17" s="2"/>
      <c r="H17" s="2"/>
      <c r="I17" s="2"/>
      <c r="J17" s="2"/>
    </row>
    <row r="18" spans="1:10" x14ac:dyDescent="0.25">
      <c r="B18" s="2"/>
      <c r="C18" s="15"/>
      <c r="D18" s="2">
        <f>SUM(D16:D17)</f>
        <v>12080</v>
      </c>
      <c r="E18" s="2"/>
      <c r="F18" s="2"/>
      <c r="G18" s="2"/>
      <c r="H18" s="2"/>
      <c r="I18" s="2"/>
      <c r="J18" s="2"/>
    </row>
    <row r="19" spans="1:10" x14ac:dyDescent="0.25">
      <c r="D19" s="2"/>
      <c r="E19" s="2"/>
      <c r="F19" s="2"/>
      <c r="G19" s="2"/>
      <c r="H19" s="2"/>
      <c r="I19" s="2"/>
      <c r="J19" s="2"/>
    </row>
    <row r="20" spans="1:10" ht="13.8" x14ac:dyDescent="0.3">
      <c r="A20" s="11" t="s">
        <v>218</v>
      </c>
      <c r="D20" s="2"/>
      <c r="E20" s="2">
        <v>13369</v>
      </c>
      <c r="F20" s="2">
        <v>19886</v>
      </c>
      <c r="G20" s="2">
        <v>19138</v>
      </c>
      <c r="H20" s="2">
        <v>19138</v>
      </c>
      <c r="I20" s="2">
        <v>19138</v>
      </c>
      <c r="J20" s="2">
        <v>19189</v>
      </c>
    </row>
    <row r="21" spans="1:10" hidden="1" x14ac:dyDescent="0.25">
      <c r="A21" s="14" t="s">
        <v>923</v>
      </c>
      <c r="B21" s="2">
        <f>+D7</f>
        <v>50492</v>
      </c>
      <c r="C21" s="15">
        <v>7.6499999999999999E-2</v>
      </c>
      <c r="D21" s="2">
        <f>ROUND(B21*C21,0)</f>
        <v>3863</v>
      </c>
      <c r="E21" s="2"/>
      <c r="F21" s="2"/>
      <c r="G21" s="2"/>
      <c r="H21" s="2"/>
      <c r="I21" s="2"/>
      <c r="J21" s="2"/>
    </row>
    <row r="22" spans="1:10" hidden="1" x14ac:dyDescent="0.25">
      <c r="A22" s="14" t="s">
        <v>1511</v>
      </c>
      <c r="B22" s="2">
        <f>+D13</f>
        <v>188262</v>
      </c>
      <c r="C22" s="15">
        <v>7.6499999999999999E-2</v>
      </c>
      <c r="D22" s="2">
        <f>ROUND(B22*C22,0)</f>
        <v>14402</v>
      </c>
      <c r="E22" s="2"/>
      <c r="F22" s="2"/>
      <c r="G22" s="2"/>
      <c r="H22" s="2"/>
      <c r="I22" s="2"/>
      <c r="J22" s="2"/>
    </row>
    <row r="23" spans="1:10" ht="15" hidden="1" x14ac:dyDescent="0.4">
      <c r="A23" s="14" t="s">
        <v>201</v>
      </c>
      <c r="B23" s="2">
        <f>+D18</f>
        <v>12080</v>
      </c>
      <c r="C23" s="15">
        <v>7.6499999999999999E-2</v>
      </c>
      <c r="D23" s="12">
        <f>ROUND(B23*C23,0)</f>
        <v>924</v>
      </c>
      <c r="E23" s="2"/>
      <c r="F23" s="2"/>
      <c r="G23" s="2"/>
      <c r="H23" s="2"/>
      <c r="I23" s="2"/>
      <c r="J23" s="2"/>
    </row>
    <row r="24" spans="1:10" hidden="1" x14ac:dyDescent="0.25">
      <c r="A24" s="8" t="s">
        <v>1279</v>
      </c>
      <c r="D24" s="2">
        <f>SUM(D21:D23)</f>
        <v>19189</v>
      </c>
      <c r="E24" s="2"/>
      <c r="F24" s="2"/>
      <c r="G24" s="2"/>
      <c r="H24" s="2"/>
      <c r="I24" s="2"/>
      <c r="J24" s="2"/>
    </row>
    <row r="25" spans="1:10" x14ac:dyDescent="0.25">
      <c r="D25" s="2"/>
      <c r="E25" s="2"/>
      <c r="F25" s="2"/>
      <c r="G25" s="2"/>
      <c r="H25" s="2"/>
      <c r="I25" s="2"/>
      <c r="J25" s="2"/>
    </row>
    <row r="26" spans="1:10" ht="13.8" x14ac:dyDescent="0.3">
      <c r="A26" s="16" t="s">
        <v>219</v>
      </c>
      <c r="D26" s="2"/>
      <c r="E26" s="2">
        <v>19277.02</v>
      </c>
      <c r="F26" s="2">
        <v>27785</v>
      </c>
      <c r="G26" s="2">
        <v>28928</v>
      </c>
      <c r="H26" s="2">
        <v>28928</v>
      </c>
      <c r="I26" s="2">
        <v>28928</v>
      </c>
      <c r="J26" s="2">
        <v>29009</v>
      </c>
    </row>
    <row r="27" spans="1:10" hidden="1" x14ac:dyDescent="0.25">
      <c r="A27" s="14" t="s">
        <v>923</v>
      </c>
      <c r="B27" s="2">
        <f>+B21</f>
        <v>50492</v>
      </c>
      <c r="C27" s="15">
        <v>0.1215</v>
      </c>
      <c r="D27" s="2">
        <f>ROUND(B27*C27,0)</f>
        <v>6135</v>
      </c>
      <c r="E27" s="2"/>
      <c r="F27" s="2"/>
      <c r="G27" s="2"/>
      <c r="H27" s="2"/>
      <c r="I27" s="2"/>
      <c r="J27" s="2"/>
    </row>
    <row r="28" spans="1:10" ht="15" hidden="1" x14ac:dyDescent="0.4">
      <c r="A28" s="14" t="s">
        <v>1511</v>
      </c>
      <c r="B28" s="2">
        <f>+D13</f>
        <v>188262</v>
      </c>
      <c r="C28" s="15">
        <v>0.1215</v>
      </c>
      <c r="D28" s="12">
        <f>ROUND(B28*C28,0)</f>
        <v>22874</v>
      </c>
      <c r="E28" s="2"/>
      <c r="F28" s="2"/>
      <c r="G28" s="2"/>
      <c r="H28" s="2"/>
      <c r="I28" s="2"/>
      <c r="J28" s="2"/>
    </row>
    <row r="29" spans="1:10" hidden="1" x14ac:dyDescent="0.25">
      <c r="A29" s="8" t="s">
        <v>1279</v>
      </c>
      <c r="B29" s="8" t="s">
        <v>417</v>
      </c>
      <c r="C29" s="2" t="s">
        <v>417</v>
      </c>
      <c r="D29" s="2">
        <f>SUM(D27:D28)</f>
        <v>29009</v>
      </c>
      <c r="E29" s="2"/>
      <c r="F29" s="2"/>
      <c r="G29" s="2"/>
      <c r="H29" s="2"/>
      <c r="I29" s="2"/>
      <c r="J29" s="2"/>
    </row>
    <row r="30" spans="1:10" x14ac:dyDescent="0.25">
      <c r="D30" s="2"/>
      <c r="E30" s="2"/>
      <c r="F30" s="2"/>
      <c r="G30" s="2"/>
      <c r="H30" s="2"/>
      <c r="I30" s="2"/>
      <c r="J30" s="2"/>
    </row>
    <row r="31" spans="1:10" ht="13.8" x14ac:dyDescent="0.3">
      <c r="A31" s="11" t="s">
        <v>672</v>
      </c>
      <c r="D31" s="2"/>
      <c r="E31" s="2">
        <v>42868</v>
      </c>
      <c r="F31" s="2">
        <v>51000</v>
      </c>
      <c r="G31" s="2">
        <v>51750</v>
      </c>
      <c r="H31" s="2">
        <v>51750</v>
      </c>
      <c r="I31" s="2">
        <v>51750</v>
      </c>
      <c r="J31" s="2">
        <v>51750</v>
      </c>
    </row>
    <row r="32" spans="1:10" x14ac:dyDescent="0.25">
      <c r="A32" s="8" t="s">
        <v>438</v>
      </c>
      <c r="B32" s="2">
        <v>3</v>
      </c>
      <c r="C32" s="2">
        <v>17250</v>
      </c>
      <c r="D32" s="2">
        <f>ROUND(B32*C32,0)</f>
        <v>51750</v>
      </c>
      <c r="E32" s="2"/>
      <c r="F32" s="2"/>
      <c r="G32" s="2"/>
      <c r="H32" s="2"/>
      <c r="I32" s="2"/>
      <c r="J32" s="2"/>
    </row>
    <row r="33" spans="1:10" x14ac:dyDescent="0.25">
      <c r="D33" s="2"/>
      <c r="E33" s="2"/>
      <c r="F33" s="2"/>
      <c r="G33" s="2"/>
      <c r="H33" s="2"/>
      <c r="I33" s="2"/>
      <c r="J33" s="2"/>
    </row>
    <row r="34" spans="1:10" ht="13.8" x14ac:dyDescent="0.3">
      <c r="A34" s="11" t="s">
        <v>1022</v>
      </c>
      <c r="D34" s="2"/>
      <c r="E34" s="2">
        <v>2867</v>
      </c>
      <c r="F34" s="2">
        <v>3510</v>
      </c>
      <c r="G34" s="2">
        <v>3510</v>
      </c>
      <c r="H34" s="2">
        <v>3510</v>
      </c>
      <c r="I34" s="2">
        <v>3510</v>
      </c>
      <c r="J34" s="2">
        <v>3510</v>
      </c>
    </row>
    <row r="35" spans="1:10" x14ac:dyDescent="0.25">
      <c r="A35" s="8" t="s">
        <v>438</v>
      </c>
      <c r="B35" s="2">
        <v>3</v>
      </c>
      <c r="C35" s="2">
        <v>1300</v>
      </c>
      <c r="D35" s="2">
        <f>ROUND(B35*C35,0)</f>
        <v>3900</v>
      </c>
      <c r="E35" s="2"/>
      <c r="F35" s="2"/>
      <c r="G35" s="2"/>
      <c r="H35" s="2"/>
      <c r="I35" s="2"/>
      <c r="J35" s="2"/>
    </row>
    <row r="36" spans="1:10" ht="15" x14ac:dyDescent="0.4">
      <c r="A36" s="8" t="s">
        <v>245</v>
      </c>
      <c r="D36" s="12">
        <f>+C35*-0.1*3</f>
        <v>-390</v>
      </c>
      <c r="E36" s="2"/>
      <c r="F36" s="2"/>
      <c r="G36" s="2"/>
      <c r="H36" s="2"/>
      <c r="I36" s="2"/>
      <c r="J36" s="2"/>
    </row>
    <row r="37" spans="1:10" x14ac:dyDescent="0.25">
      <c r="A37" s="8" t="s">
        <v>1279</v>
      </c>
      <c r="D37" s="2">
        <f>SUM(D35:D36)</f>
        <v>3510</v>
      </c>
      <c r="E37" s="2"/>
      <c r="F37" s="2"/>
      <c r="G37" s="2"/>
      <c r="H37" s="2"/>
      <c r="I37" s="2"/>
      <c r="J37" s="2"/>
    </row>
    <row r="38" spans="1:10" x14ac:dyDescent="0.25">
      <c r="D38" s="2"/>
      <c r="E38" s="2"/>
      <c r="F38" s="2"/>
      <c r="G38" s="2"/>
      <c r="H38" s="2"/>
      <c r="I38" s="2"/>
      <c r="J38" s="2"/>
    </row>
    <row r="39" spans="1:10" ht="13.8" x14ac:dyDescent="0.3">
      <c r="A39" s="11" t="s">
        <v>814</v>
      </c>
      <c r="D39" s="2"/>
      <c r="E39" s="2">
        <v>387</v>
      </c>
      <c r="F39" s="2">
        <v>405</v>
      </c>
      <c r="G39" s="2">
        <v>405</v>
      </c>
      <c r="H39" s="2">
        <v>405</v>
      </c>
      <c r="I39" s="2">
        <v>405</v>
      </c>
      <c r="J39" s="2">
        <v>405</v>
      </c>
    </row>
    <row r="40" spans="1:10" hidden="1" x14ac:dyDescent="0.25">
      <c r="A40" s="8" t="s">
        <v>438</v>
      </c>
      <c r="B40" s="2">
        <v>3</v>
      </c>
      <c r="C40" s="2">
        <v>135</v>
      </c>
      <c r="D40" s="2">
        <f>ROUND(B40*C40,0)</f>
        <v>405</v>
      </c>
      <c r="E40" s="2"/>
      <c r="F40" s="2"/>
      <c r="G40" s="2"/>
      <c r="H40" s="2"/>
      <c r="I40" s="2"/>
      <c r="J40" s="2"/>
    </row>
    <row r="41" spans="1:10" x14ac:dyDescent="0.25">
      <c r="D41" s="2"/>
      <c r="E41" s="2"/>
      <c r="F41" s="2"/>
      <c r="G41" s="2"/>
      <c r="H41" s="2"/>
      <c r="I41" s="2"/>
      <c r="J41" s="2"/>
    </row>
    <row r="42" spans="1:10" ht="13.8" x14ac:dyDescent="0.3">
      <c r="A42" s="11" t="s">
        <v>815</v>
      </c>
      <c r="D42" s="2"/>
      <c r="E42" s="2">
        <v>1200</v>
      </c>
      <c r="F42" s="2">
        <v>1230</v>
      </c>
      <c r="G42" s="2">
        <v>1230</v>
      </c>
      <c r="H42" s="2">
        <v>1230</v>
      </c>
      <c r="I42" s="2">
        <v>1230</v>
      </c>
      <c r="J42" s="2">
        <v>1230</v>
      </c>
    </row>
    <row r="43" spans="1:10" hidden="1" x14ac:dyDescent="0.25">
      <c r="A43" s="8" t="s">
        <v>438</v>
      </c>
      <c r="B43" s="2">
        <v>3</v>
      </c>
      <c r="C43" s="2">
        <v>410</v>
      </c>
      <c r="D43" s="2">
        <f>ROUND(B43*C43,0)</f>
        <v>1230</v>
      </c>
      <c r="E43" s="2"/>
      <c r="F43" s="2"/>
      <c r="G43" s="2"/>
      <c r="H43" s="2"/>
      <c r="I43" s="2"/>
      <c r="J43" s="2"/>
    </row>
    <row r="44" spans="1:10" x14ac:dyDescent="0.25">
      <c r="D44" s="2"/>
      <c r="E44" s="2"/>
      <c r="F44" s="2"/>
      <c r="G44" s="2"/>
      <c r="H44" s="2"/>
      <c r="I44" s="2"/>
      <c r="J44" s="2"/>
    </row>
    <row r="45" spans="1:10" ht="13.8" x14ac:dyDescent="0.3">
      <c r="A45" s="11" t="s">
        <v>816</v>
      </c>
      <c r="D45" s="2"/>
      <c r="E45" s="2">
        <v>2189.6999999999998</v>
      </c>
      <c r="F45" s="2">
        <v>3291</v>
      </c>
      <c r="G45" s="2">
        <v>2990</v>
      </c>
      <c r="H45" s="2">
        <v>2972</v>
      </c>
      <c r="I45" s="2">
        <v>2972</v>
      </c>
      <c r="J45" s="2">
        <v>2969</v>
      </c>
    </row>
    <row r="46" spans="1:10" hidden="1" x14ac:dyDescent="0.25">
      <c r="A46" s="14" t="s">
        <v>923</v>
      </c>
      <c r="B46" s="2">
        <f>+B27</f>
        <v>50492</v>
      </c>
      <c r="C46" s="15">
        <v>1.6999999999999999E-3</v>
      </c>
      <c r="D46" s="2">
        <f>ROUND(B46*C46,0)</f>
        <v>86</v>
      </c>
      <c r="E46" s="2"/>
      <c r="F46" s="2"/>
      <c r="G46" s="2"/>
      <c r="H46" s="2"/>
      <c r="I46" s="2"/>
      <c r="J46" s="2"/>
    </row>
    <row r="47" spans="1:10" hidden="1" x14ac:dyDescent="0.25">
      <c r="A47" s="14" t="s">
        <v>1511</v>
      </c>
      <c r="B47" s="2">
        <f>+D13</f>
        <v>188262</v>
      </c>
      <c r="C47" s="15">
        <v>1.52E-2</v>
      </c>
      <c r="D47" s="2">
        <f>ROUND(B47*C47,0)</f>
        <v>2862</v>
      </c>
      <c r="E47" s="2"/>
      <c r="F47" s="2"/>
      <c r="G47" s="2"/>
      <c r="H47" s="2"/>
      <c r="I47" s="2"/>
      <c r="J47" s="2"/>
    </row>
    <row r="48" spans="1:10" ht="15" hidden="1" x14ac:dyDescent="0.4">
      <c r="A48" s="14" t="s">
        <v>201</v>
      </c>
      <c r="B48" s="2">
        <f>+D18</f>
        <v>12080</v>
      </c>
      <c r="C48" s="15">
        <v>1.6999999999999999E-3</v>
      </c>
      <c r="D48" s="12">
        <f>ROUND(B48*C48,0)</f>
        <v>21</v>
      </c>
      <c r="E48" s="2"/>
      <c r="F48" s="2"/>
      <c r="G48" s="2"/>
      <c r="H48" s="2"/>
      <c r="I48" s="2"/>
      <c r="J48" s="2"/>
    </row>
    <row r="49" spans="1:10" hidden="1" x14ac:dyDescent="0.25">
      <c r="A49" s="8" t="s">
        <v>1279</v>
      </c>
      <c r="D49" s="2">
        <f>SUM(D46:D48)</f>
        <v>2969</v>
      </c>
      <c r="E49" s="2"/>
      <c r="F49" s="2"/>
      <c r="G49" s="2"/>
      <c r="H49" s="2"/>
      <c r="I49" s="2"/>
      <c r="J49" s="2"/>
    </row>
    <row r="50" spans="1:10" x14ac:dyDescent="0.25">
      <c r="D50" s="2"/>
      <c r="E50" s="2"/>
      <c r="F50" s="2"/>
      <c r="G50" s="2"/>
      <c r="H50" s="2"/>
      <c r="I50" s="2"/>
      <c r="J50" s="2"/>
    </row>
    <row r="51" spans="1:10" ht="13.8" x14ac:dyDescent="0.3">
      <c r="A51" s="11" t="s">
        <v>369</v>
      </c>
      <c r="D51" s="2"/>
      <c r="E51" s="2">
        <v>108</v>
      </c>
      <c r="F51" s="2">
        <v>180</v>
      </c>
      <c r="G51" s="2">
        <v>131</v>
      </c>
      <c r="H51" s="2">
        <v>134</v>
      </c>
      <c r="I51" s="2">
        <v>134</v>
      </c>
      <c r="J51" s="2">
        <v>134</v>
      </c>
    </row>
    <row r="52" spans="1:10" hidden="1" x14ac:dyDescent="0.25">
      <c r="A52" s="14" t="s">
        <v>923</v>
      </c>
      <c r="B52" s="2">
        <v>1</v>
      </c>
      <c r="C52" s="2">
        <v>35</v>
      </c>
      <c r="D52" s="2">
        <f>ROUND(B52*C52,0)</f>
        <v>35</v>
      </c>
      <c r="E52" s="2"/>
      <c r="F52" s="2"/>
      <c r="G52" s="2"/>
      <c r="H52" s="2"/>
      <c r="I52" s="2"/>
      <c r="J52" s="2"/>
    </row>
    <row r="53" spans="1:10" hidden="1" x14ac:dyDescent="0.25">
      <c r="A53" s="14" t="s">
        <v>1511</v>
      </c>
      <c r="B53" s="2">
        <v>2</v>
      </c>
      <c r="C53" s="2">
        <v>35</v>
      </c>
      <c r="D53" s="2">
        <f>ROUND(B53*C53,0)</f>
        <v>70</v>
      </c>
      <c r="E53" s="2"/>
      <c r="F53" s="2"/>
      <c r="G53" s="2"/>
      <c r="H53" s="2"/>
      <c r="I53" s="2"/>
      <c r="J53" s="2"/>
    </row>
    <row r="54" spans="1:10" ht="15" hidden="1" x14ac:dyDescent="0.4">
      <c r="A54" s="14" t="s">
        <v>201</v>
      </c>
      <c r="B54" s="2">
        <f>+D16</f>
        <v>11440</v>
      </c>
      <c r="C54" s="15">
        <v>2.5000000000000001E-3</v>
      </c>
      <c r="D54" s="12">
        <f>ROUND(B54*C54,0)</f>
        <v>29</v>
      </c>
      <c r="E54" s="2"/>
      <c r="F54" s="2"/>
      <c r="G54" s="2"/>
      <c r="H54" s="2"/>
      <c r="I54" s="2"/>
      <c r="J54" s="2"/>
    </row>
    <row r="55" spans="1:10" hidden="1" x14ac:dyDescent="0.25">
      <c r="A55" s="8" t="s">
        <v>1279</v>
      </c>
      <c r="D55" s="2">
        <f>SUM(D52:D54)</f>
        <v>134</v>
      </c>
      <c r="E55" s="2"/>
      <c r="F55" s="2"/>
      <c r="G55" s="2"/>
      <c r="H55" s="2"/>
      <c r="I55" s="2"/>
      <c r="J55" s="2"/>
    </row>
    <row r="56" spans="1:10" x14ac:dyDescent="0.25">
      <c r="D56" s="2"/>
      <c r="E56" s="2"/>
      <c r="F56" s="2"/>
      <c r="G56" s="2"/>
      <c r="H56" s="2"/>
      <c r="I56" s="2"/>
      <c r="J56" s="2"/>
    </row>
    <row r="57" spans="1:10" ht="13.8" x14ac:dyDescent="0.3">
      <c r="A57" s="11" t="s">
        <v>370</v>
      </c>
      <c r="D57" s="2"/>
      <c r="E57" s="2">
        <v>759</v>
      </c>
      <c r="F57" s="2">
        <v>1500</v>
      </c>
      <c r="G57" s="2">
        <v>1200</v>
      </c>
      <c r="H57" s="2">
        <v>1200</v>
      </c>
      <c r="I57" s="2">
        <v>1200</v>
      </c>
      <c r="J57" s="2">
        <v>1200</v>
      </c>
    </row>
    <row r="58" spans="1:10" x14ac:dyDescent="0.25">
      <c r="A58" s="8" t="s">
        <v>371</v>
      </c>
      <c r="C58" s="2"/>
      <c r="D58" s="2">
        <v>1200</v>
      </c>
      <c r="E58" s="2"/>
      <c r="F58" s="2"/>
      <c r="G58" s="2"/>
      <c r="H58" s="2"/>
      <c r="I58" s="2"/>
      <c r="J58" s="2"/>
    </row>
    <row r="59" spans="1:10" x14ac:dyDescent="0.25">
      <c r="C59" s="2"/>
      <c r="D59" s="2"/>
      <c r="E59" s="2"/>
      <c r="F59" s="2"/>
      <c r="G59" s="2"/>
      <c r="H59" s="2"/>
      <c r="I59" s="2"/>
      <c r="J59" s="2"/>
    </row>
    <row r="60" spans="1:10" ht="13.8" x14ac:dyDescent="0.3">
      <c r="A60" s="11" t="s">
        <v>1596</v>
      </c>
      <c r="C60" s="2"/>
      <c r="D60" s="2">
        <v>800</v>
      </c>
      <c r="E60" s="2">
        <v>35.5</v>
      </c>
      <c r="F60" s="2">
        <v>1000</v>
      </c>
      <c r="G60" s="2">
        <v>800</v>
      </c>
      <c r="H60" s="2">
        <v>800</v>
      </c>
      <c r="I60" s="2">
        <v>800</v>
      </c>
      <c r="J60" s="2">
        <v>800</v>
      </c>
    </row>
    <row r="61" spans="1:10" x14ac:dyDescent="0.25">
      <c r="A61" s="25" t="s">
        <v>1663</v>
      </c>
      <c r="C61" s="2"/>
      <c r="D61" s="2"/>
      <c r="E61" s="2"/>
      <c r="F61" s="2"/>
      <c r="G61" s="2"/>
      <c r="H61" s="2"/>
      <c r="I61" s="2"/>
      <c r="J61" s="2"/>
    </row>
    <row r="62" spans="1:10" x14ac:dyDescent="0.25">
      <c r="A62" s="25" t="s">
        <v>1597</v>
      </c>
      <c r="C62" s="2"/>
      <c r="I62" s="209"/>
      <c r="J62" s="213"/>
    </row>
    <row r="63" spans="1:10" x14ac:dyDescent="0.25">
      <c r="C63" s="19"/>
      <c r="D63" s="2"/>
      <c r="E63" s="2"/>
      <c r="F63" s="2"/>
      <c r="G63" s="2"/>
      <c r="H63" s="2"/>
      <c r="I63" s="2"/>
      <c r="J63" s="2"/>
    </row>
    <row r="64" spans="1:10" ht="13.8" x14ac:dyDescent="0.3">
      <c r="A64" s="11" t="s">
        <v>379</v>
      </c>
      <c r="C64" s="2"/>
      <c r="D64" s="2"/>
      <c r="E64" s="2">
        <v>90</v>
      </c>
      <c r="F64" s="2">
        <v>500</v>
      </c>
      <c r="G64" s="2">
        <v>400</v>
      </c>
      <c r="H64" s="2">
        <v>400</v>
      </c>
      <c r="I64" s="2">
        <v>400</v>
      </c>
      <c r="J64" s="2">
        <v>400</v>
      </c>
    </row>
    <row r="65" spans="1:10" x14ac:dyDescent="0.25">
      <c r="A65" s="8" t="s">
        <v>1152</v>
      </c>
      <c r="C65" s="2"/>
      <c r="D65" s="2">
        <v>400</v>
      </c>
      <c r="E65" s="2"/>
      <c r="F65" s="2"/>
      <c r="G65" s="2"/>
      <c r="H65" s="2"/>
      <c r="I65" s="2"/>
      <c r="J65" s="2"/>
    </row>
    <row r="66" spans="1:10" x14ac:dyDescent="0.25">
      <c r="C66" s="2"/>
      <c r="D66" s="2"/>
      <c r="E66" s="2"/>
      <c r="F66" s="2"/>
      <c r="G66" s="2"/>
      <c r="H66" s="2"/>
      <c r="I66" s="2"/>
      <c r="J66" s="2"/>
    </row>
    <row r="67" spans="1:10" ht="13.8" x14ac:dyDescent="0.3">
      <c r="A67" s="11" t="s">
        <v>908</v>
      </c>
      <c r="C67" s="2"/>
      <c r="D67" s="2"/>
      <c r="E67" s="2">
        <v>84</v>
      </c>
      <c r="F67" s="2">
        <v>100</v>
      </c>
      <c r="G67" s="2">
        <v>100</v>
      </c>
      <c r="H67" s="2">
        <v>100</v>
      </c>
      <c r="I67" s="2">
        <v>100</v>
      </c>
      <c r="J67" s="2">
        <v>100</v>
      </c>
    </row>
    <row r="68" spans="1:10" x14ac:dyDescent="0.25">
      <c r="A68" s="8" t="s">
        <v>412</v>
      </c>
      <c r="B68" s="2" t="s">
        <v>417</v>
      </c>
      <c r="C68" s="2"/>
      <c r="D68" s="2">
        <v>100</v>
      </c>
      <c r="E68" s="2"/>
      <c r="F68" s="2"/>
      <c r="G68" s="2"/>
      <c r="H68" s="2"/>
      <c r="I68" s="2"/>
      <c r="J68" s="2"/>
    </row>
    <row r="69" spans="1:10" x14ac:dyDescent="0.25">
      <c r="C69" s="2"/>
      <c r="D69" s="2"/>
      <c r="E69" s="2"/>
      <c r="F69" s="2"/>
      <c r="G69" s="2"/>
      <c r="H69" s="2"/>
      <c r="I69" s="2"/>
      <c r="J69" s="2"/>
    </row>
    <row r="70" spans="1:10" ht="13.8" x14ac:dyDescent="0.3">
      <c r="A70" s="11" t="s">
        <v>1570</v>
      </c>
      <c r="C70" s="2"/>
      <c r="D70" s="2"/>
      <c r="E70" s="2">
        <v>2180</v>
      </c>
      <c r="F70" s="2">
        <v>2740</v>
      </c>
      <c r="G70" s="2">
        <v>2865</v>
      </c>
      <c r="H70" s="2">
        <v>2865</v>
      </c>
      <c r="I70" s="2">
        <v>2865</v>
      </c>
      <c r="J70" s="2">
        <v>2865</v>
      </c>
    </row>
    <row r="71" spans="1:10" x14ac:dyDescent="0.25">
      <c r="A71" s="8" t="s">
        <v>977</v>
      </c>
      <c r="C71" s="2"/>
      <c r="D71" s="2">
        <v>825</v>
      </c>
      <c r="E71" s="2"/>
      <c r="F71" s="2"/>
      <c r="G71" s="2"/>
      <c r="H71" s="2"/>
      <c r="I71" s="2"/>
      <c r="J71" s="2"/>
    </row>
    <row r="72" spans="1:10" ht="15" x14ac:dyDescent="0.4">
      <c r="A72" s="8" t="s">
        <v>1358</v>
      </c>
      <c r="C72" s="12"/>
      <c r="D72" s="12">
        <v>2040</v>
      </c>
      <c r="E72" s="2"/>
      <c r="F72" s="2"/>
      <c r="G72" s="2"/>
      <c r="H72" s="2"/>
      <c r="I72" s="2"/>
      <c r="J72" s="2"/>
    </row>
    <row r="73" spans="1:10" x14ac:dyDescent="0.25">
      <c r="A73" s="8" t="s">
        <v>1279</v>
      </c>
      <c r="C73" s="2"/>
      <c r="D73" s="2">
        <f>SUM(D71:D72)</f>
        <v>2865</v>
      </c>
      <c r="E73" s="2"/>
      <c r="F73" s="2"/>
      <c r="G73" s="2"/>
      <c r="H73" s="2"/>
      <c r="I73" s="2"/>
      <c r="J73" s="2"/>
    </row>
    <row r="74" spans="1:10" x14ac:dyDescent="0.25">
      <c r="C74" s="19"/>
      <c r="D74" s="2"/>
      <c r="E74" s="2"/>
      <c r="F74" s="2"/>
      <c r="G74" s="2"/>
      <c r="H74" s="2"/>
      <c r="I74" s="2"/>
      <c r="J74" s="2"/>
    </row>
    <row r="75" spans="1:10" ht="13.8" x14ac:dyDescent="0.3">
      <c r="A75" s="11" t="s">
        <v>147</v>
      </c>
      <c r="C75" s="2"/>
      <c r="D75" s="2"/>
      <c r="E75" s="2">
        <v>1829</v>
      </c>
      <c r="F75" s="2">
        <v>2015</v>
      </c>
      <c r="G75" s="2">
        <v>2359</v>
      </c>
      <c r="H75" s="2">
        <v>2359</v>
      </c>
      <c r="I75" s="2">
        <v>2359</v>
      </c>
      <c r="J75" s="2">
        <v>2359</v>
      </c>
    </row>
    <row r="76" spans="1:10" x14ac:dyDescent="0.25">
      <c r="A76" s="8" t="s">
        <v>148</v>
      </c>
      <c r="C76" s="2"/>
      <c r="D76" s="2">
        <v>504</v>
      </c>
      <c r="E76" s="2"/>
      <c r="F76" s="2"/>
      <c r="G76" s="2"/>
      <c r="H76" s="2"/>
      <c r="I76" s="2"/>
      <c r="J76" s="2"/>
    </row>
    <row r="77" spans="1:10" x14ac:dyDescent="0.25">
      <c r="A77" s="8" t="s">
        <v>1389</v>
      </c>
      <c r="C77" s="2"/>
      <c r="D77" s="2">
        <v>25</v>
      </c>
      <c r="E77" s="2"/>
      <c r="F77" s="2"/>
      <c r="G77" s="2"/>
      <c r="H77" s="2"/>
      <c r="I77" s="2"/>
      <c r="J77" s="2"/>
    </row>
    <row r="78" spans="1:10" x14ac:dyDescent="0.25">
      <c r="A78" s="8" t="s">
        <v>2146</v>
      </c>
      <c r="C78" s="2"/>
      <c r="D78" s="2">
        <v>80</v>
      </c>
      <c r="E78" s="2"/>
      <c r="F78" s="2"/>
      <c r="G78" s="2"/>
      <c r="H78" s="2"/>
      <c r="I78" s="2"/>
      <c r="J78" s="2"/>
    </row>
    <row r="79" spans="1:10" x14ac:dyDescent="0.25">
      <c r="A79" s="8" t="s">
        <v>2147</v>
      </c>
      <c r="C79" s="2"/>
      <c r="D79" s="2">
        <v>150</v>
      </c>
      <c r="E79" s="2"/>
      <c r="F79" s="2"/>
      <c r="G79" s="2"/>
      <c r="H79" s="2"/>
      <c r="I79" s="2"/>
      <c r="J79" s="2"/>
    </row>
    <row r="80" spans="1:10" x14ac:dyDescent="0.25">
      <c r="A80" s="8" t="s">
        <v>2148</v>
      </c>
      <c r="C80" s="2"/>
      <c r="D80" s="2">
        <v>300</v>
      </c>
      <c r="E80" s="2"/>
      <c r="F80" s="2"/>
      <c r="G80" s="2"/>
      <c r="H80" s="2"/>
      <c r="I80" s="2"/>
      <c r="J80" s="2"/>
    </row>
    <row r="81" spans="1:10" x14ac:dyDescent="0.25">
      <c r="A81" s="8" t="s">
        <v>1153</v>
      </c>
      <c r="C81" s="2"/>
      <c r="D81" s="2">
        <v>100</v>
      </c>
      <c r="E81" s="2"/>
      <c r="F81" s="2"/>
      <c r="G81" s="2"/>
      <c r="H81" s="2"/>
      <c r="I81" s="2"/>
      <c r="J81" s="2"/>
    </row>
    <row r="82" spans="1:10" ht="15" x14ac:dyDescent="0.4">
      <c r="A82" s="8" t="s">
        <v>124</v>
      </c>
      <c r="C82" s="12"/>
      <c r="D82" s="12">
        <v>1200</v>
      </c>
      <c r="E82" s="2"/>
      <c r="F82" s="2"/>
      <c r="G82" s="2"/>
      <c r="H82" s="2"/>
      <c r="I82" s="2"/>
      <c r="J82" s="2"/>
    </row>
    <row r="83" spans="1:10" x14ac:dyDescent="0.25">
      <c r="A83" s="8" t="s">
        <v>1279</v>
      </c>
      <c r="C83" s="2"/>
      <c r="D83" s="2">
        <f>SUM(D76:D82)</f>
        <v>2359</v>
      </c>
      <c r="E83" s="2"/>
      <c r="F83" s="2"/>
      <c r="G83" s="2"/>
      <c r="H83" s="2"/>
      <c r="I83" s="2"/>
      <c r="J83" s="2"/>
    </row>
    <row r="84" spans="1:10" x14ac:dyDescent="0.25">
      <c r="C84" s="19"/>
      <c r="D84" s="2"/>
      <c r="E84" s="2"/>
      <c r="I84" s="209"/>
      <c r="J84" s="213"/>
    </row>
    <row r="85" spans="1:10" ht="13.8" x14ac:dyDescent="0.3">
      <c r="A85" s="18" t="s">
        <v>1143</v>
      </c>
      <c r="C85" s="2"/>
      <c r="D85" s="2"/>
      <c r="E85" s="2">
        <v>3337</v>
      </c>
      <c r="F85" s="2">
        <v>3194</v>
      </c>
      <c r="G85" s="2">
        <v>3927</v>
      </c>
      <c r="H85" s="2">
        <v>3692</v>
      </c>
      <c r="I85" s="2">
        <v>3692</v>
      </c>
      <c r="J85" s="2">
        <v>3692</v>
      </c>
    </row>
    <row r="86" spans="1:10" x14ac:dyDescent="0.25">
      <c r="A86" s="8" t="s">
        <v>892</v>
      </c>
      <c r="C86" s="2"/>
      <c r="D86" s="2">
        <v>3692</v>
      </c>
      <c r="E86" s="2"/>
      <c r="F86" s="2"/>
      <c r="G86" s="2"/>
      <c r="H86" s="2"/>
      <c r="I86" s="2"/>
      <c r="J86" s="2"/>
    </row>
    <row r="87" spans="1:10" x14ac:dyDescent="0.25">
      <c r="C87" s="2"/>
      <c r="D87" s="2"/>
      <c r="E87" s="2"/>
      <c r="I87" s="209"/>
      <c r="J87" s="213"/>
    </row>
    <row r="88" spans="1:10" ht="13.8" x14ac:dyDescent="0.3">
      <c r="A88" s="11" t="s">
        <v>722</v>
      </c>
      <c r="C88" s="2"/>
      <c r="D88" s="2"/>
      <c r="E88" s="2">
        <v>0</v>
      </c>
      <c r="F88" s="2">
        <v>750</v>
      </c>
      <c r="G88" s="2">
        <v>750</v>
      </c>
      <c r="H88" s="2">
        <v>750</v>
      </c>
      <c r="I88" s="2">
        <v>750</v>
      </c>
      <c r="J88" s="2">
        <v>750</v>
      </c>
    </row>
    <row r="89" spans="1:10" x14ac:dyDescent="0.25">
      <c r="A89" s="8" t="s">
        <v>1549</v>
      </c>
      <c r="C89" s="2"/>
      <c r="D89" s="2">
        <v>750</v>
      </c>
      <c r="E89" s="2"/>
      <c r="F89" s="2"/>
      <c r="G89" s="2"/>
      <c r="H89" s="2"/>
      <c r="I89" s="2"/>
      <c r="J89" s="2"/>
    </row>
    <row r="90" spans="1:10" x14ac:dyDescent="0.25">
      <c r="C90" s="2"/>
      <c r="D90" s="2"/>
      <c r="E90" s="2"/>
      <c r="F90" s="2"/>
      <c r="G90" s="2"/>
      <c r="H90" s="2"/>
      <c r="I90" s="2"/>
      <c r="J90" s="2"/>
    </row>
    <row r="91" spans="1:10" ht="13.8" x14ac:dyDescent="0.3">
      <c r="A91" s="11" t="s">
        <v>1550</v>
      </c>
      <c r="C91" s="2"/>
      <c r="D91" s="2"/>
      <c r="E91" s="2">
        <v>2217</v>
      </c>
      <c r="F91" s="2">
        <v>3200</v>
      </c>
      <c r="G91" s="2">
        <v>3950</v>
      </c>
      <c r="H91" s="2">
        <v>3950</v>
      </c>
      <c r="I91" s="2">
        <v>3950</v>
      </c>
      <c r="J91" s="2">
        <v>3950</v>
      </c>
    </row>
    <row r="92" spans="1:10" x14ac:dyDescent="0.25">
      <c r="A92" s="8" t="s">
        <v>883</v>
      </c>
      <c r="C92" s="2"/>
      <c r="D92" s="2">
        <v>200</v>
      </c>
      <c r="E92" s="2"/>
      <c r="F92" s="2"/>
      <c r="G92" s="2"/>
      <c r="H92" s="2"/>
      <c r="I92" s="2"/>
      <c r="J92" s="2"/>
    </row>
    <row r="93" spans="1:10" x14ac:dyDescent="0.25">
      <c r="A93" s="8" t="s">
        <v>2149</v>
      </c>
      <c r="C93" s="2"/>
      <c r="D93" s="2">
        <v>750</v>
      </c>
      <c r="E93" s="2"/>
      <c r="F93" s="2"/>
      <c r="G93" s="2"/>
      <c r="H93" s="2"/>
      <c r="I93" s="2"/>
      <c r="J93" s="2"/>
    </row>
    <row r="94" spans="1:10" ht="15" x14ac:dyDescent="0.4">
      <c r="A94" s="8" t="s">
        <v>1804</v>
      </c>
      <c r="C94" s="2"/>
      <c r="D94" s="12">
        <v>3000</v>
      </c>
      <c r="E94" s="2"/>
      <c r="F94" s="2"/>
      <c r="G94" s="2"/>
      <c r="H94" s="2"/>
      <c r="I94" s="2"/>
      <c r="J94" s="2"/>
    </row>
    <row r="95" spans="1:10" x14ac:dyDescent="0.25">
      <c r="A95" s="8" t="s">
        <v>1279</v>
      </c>
      <c r="C95" s="2"/>
      <c r="D95" s="2">
        <f>SUM(D92:D94)</f>
        <v>3950</v>
      </c>
      <c r="E95" s="2"/>
      <c r="F95" s="2"/>
      <c r="G95" s="2"/>
      <c r="H95" s="2"/>
      <c r="I95" s="2"/>
      <c r="J95" s="2"/>
    </row>
    <row r="96" spans="1:10" x14ac:dyDescent="0.25">
      <c r="C96" s="2"/>
      <c r="D96" s="2"/>
      <c r="E96" s="2"/>
      <c r="F96" s="2"/>
      <c r="G96" s="2"/>
      <c r="H96" s="2"/>
      <c r="I96" s="2"/>
      <c r="J96" s="2"/>
    </row>
    <row r="97" spans="1:10" ht="13.8" x14ac:dyDescent="0.3">
      <c r="A97" s="11" t="s">
        <v>1065</v>
      </c>
      <c r="C97" s="2"/>
      <c r="D97" s="2"/>
      <c r="E97" s="2">
        <v>250</v>
      </c>
      <c r="F97" s="2">
        <v>500</v>
      </c>
      <c r="G97" s="2">
        <v>500</v>
      </c>
      <c r="H97" s="2">
        <v>500</v>
      </c>
      <c r="I97" s="2">
        <v>500</v>
      </c>
      <c r="J97" s="2">
        <v>500</v>
      </c>
    </row>
    <row r="98" spans="1:10" x14ac:dyDescent="0.25">
      <c r="A98" s="8" t="s">
        <v>1873</v>
      </c>
      <c r="C98" s="2"/>
      <c r="D98" s="2">
        <v>500</v>
      </c>
      <c r="E98" s="2"/>
      <c r="F98" s="2"/>
      <c r="G98" s="2"/>
      <c r="H98" s="2"/>
      <c r="I98" s="2"/>
      <c r="J98" s="2"/>
    </row>
    <row r="99" spans="1:10" x14ac:dyDescent="0.25">
      <c r="C99" s="2"/>
      <c r="D99" s="2"/>
      <c r="E99" s="2"/>
      <c r="F99" s="2"/>
      <c r="G99" s="2"/>
      <c r="H99" s="2"/>
      <c r="I99" s="2"/>
      <c r="J99" s="2"/>
    </row>
    <row r="100" spans="1:10" ht="13.8" x14ac:dyDescent="0.3">
      <c r="A100" s="11" t="s">
        <v>140</v>
      </c>
      <c r="C100" s="2"/>
      <c r="D100" s="2"/>
      <c r="E100" s="2">
        <v>11047</v>
      </c>
      <c r="F100" s="2">
        <v>2500</v>
      </c>
      <c r="G100" s="2">
        <v>2500</v>
      </c>
      <c r="H100" s="2">
        <v>2500</v>
      </c>
      <c r="I100" s="2">
        <v>2500</v>
      </c>
      <c r="J100" s="2">
        <v>2500</v>
      </c>
    </row>
    <row r="101" spans="1:10" x14ac:dyDescent="0.25">
      <c r="A101" s="25" t="s">
        <v>1805</v>
      </c>
      <c r="C101" s="2"/>
      <c r="D101" s="2">
        <v>2000</v>
      </c>
      <c r="E101" s="2"/>
      <c r="I101" s="209"/>
      <c r="J101" s="213"/>
    </row>
    <row r="102" spans="1:10" ht="15" x14ac:dyDescent="0.4">
      <c r="A102" s="25" t="s">
        <v>1806</v>
      </c>
      <c r="C102" s="2"/>
      <c r="D102" s="12">
        <v>500</v>
      </c>
      <c r="E102" s="2"/>
      <c r="I102" s="209"/>
      <c r="J102" s="213"/>
    </row>
    <row r="103" spans="1:10" x14ac:dyDescent="0.25">
      <c r="A103" s="25" t="s">
        <v>1279</v>
      </c>
      <c r="C103" s="2"/>
      <c r="D103" s="2">
        <f>SUM(D101:D102)</f>
        <v>2500</v>
      </c>
      <c r="E103" s="2"/>
      <c r="I103" s="209"/>
      <c r="J103" s="213"/>
    </row>
    <row r="104" spans="1:10" x14ac:dyDescent="0.25">
      <c r="A104" s="25"/>
      <c r="C104" s="2"/>
      <c r="D104" s="2"/>
      <c r="E104" s="2"/>
      <c r="I104" s="209"/>
      <c r="J104" s="213"/>
    </row>
    <row r="105" spans="1:10" x14ac:dyDescent="0.25">
      <c r="C105" s="2"/>
      <c r="D105" s="2"/>
      <c r="E105" s="2"/>
      <c r="F105" s="2"/>
      <c r="G105" s="2"/>
      <c r="H105" s="2"/>
      <c r="I105" s="2"/>
      <c r="J105" s="2"/>
    </row>
    <row r="106" spans="1:10" ht="13.8" x14ac:dyDescent="0.3">
      <c r="A106" s="11" t="s">
        <v>1066</v>
      </c>
      <c r="C106" s="2"/>
      <c r="D106" s="2"/>
      <c r="E106" s="2">
        <v>0</v>
      </c>
      <c r="F106" s="2">
        <v>250</v>
      </c>
      <c r="G106" s="2">
        <v>250</v>
      </c>
      <c r="H106" s="2">
        <v>250</v>
      </c>
      <c r="I106" s="2">
        <v>250</v>
      </c>
      <c r="J106" s="2">
        <v>250</v>
      </c>
    </row>
    <row r="107" spans="1:10" x14ac:dyDescent="0.25">
      <c r="A107" s="8" t="s">
        <v>1516</v>
      </c>
      <c r="C107" s="2"/>
      <c r="D107" s="2">
        <v>250</v>
      </c>
      <c r="E107" s="2"/>
      <c r="F107" s="2"/>
      <c r="G107" s="2"/>
      <c r="H107" s="2"/>
      <c r="I107" s="2"/>
      <c r="J107" s="2"/>
    </row>
    <row r="108" spans="1:10" x14ac:dyDescent="0.25">
      <c r="C108" s="2"/>
      <c r="D108" s="2"/>
      <c r="E108" s="2"/>
      <c r="F108" s="2"/>
      <c r="G108" s="2"/>
      <c r="H108" s="2"/>
      <c r="I108" s="2"/>
      <c r="J108" s="2"/>
    </row>
    <row r="109" spans="1:10" ht="13.8" x14ac:dyDescent="0.3">
      <c r="A109" s="11" t="s">
        <v>801</v>
      </c>
      <c r="C109" s="2"/>
      <c r="D109" s="2"/>
      <c r="E109" s="2">
        <v>712</v>
      </c>
      <c r="F109" s="2">
        <v>500</v>
      </c>
      <c r="G109" s="2">
        <v>500</v>
      </c>
      <c r="H109" s="2">
        <v>500</v>
      </c>
      <c r="I109" s="2">
        <v>500</v>
      </c>
      <c r="J109" s="2">
        <v>500</v>
      </c>
    </row>
    <row r="110" spans="1:10" x14ac:dyDescent="0.25">
      <c r="A110" s="8" t="s">
        <v>1807</v>
      </c>
      <c r="C110" s="2"/>
      <c r="D110" s="2">
        <v>500</v>
      </c>
      <c r="E110" s="2"/>
      <c r="F110" s="2"/>
      <c r="G110" s="2"/>
      <c r="H110" s="2"/>
      <c r="I110" s="2"/>
      <c r="J110" s="2"/>
    </row>
    <row r="111" spans="1:10" x14ac:dyDescent="0.25">
      <c r="C111" s="20"/>
      <c r="D111" s="2"/>
      <c r="E111" s="2"/>
      <c r="F111" s="2"/>
      <c r="G111" s="2"/>
      <c r="H111" s="2"/>
      <c r="I111" s="2"/>
      <c r="J111" s="2"/>
    </row>
    <row r="112" spans="1:10" ht="15" x14ac:dyDescent="0.4">
      <c r="A112" s="11" t="s">
        <v>802</v>
      </c>
      <c r="C112" s="2"/>
      <c r="E112" s="12">
        <v>7545</v>
      </c>
      <c r="F112" s="12">
        <v>1000</v>
      </c>
      <c r="G112" s="12">
        <v>0</v>
      </c>
      <c r="H112" s="12">
        <v>0</v>
      </c>
      <c r="I112" s="12">
        <v>0</v>
      </c>
      <c r="J112" s="12">
        <v>0</v>
      </c>
    </row>
    <row r="113" spans="1:10" ht="15" x14ac:dyDescent="0.4">
      <c r="A113" s="8" t="s">
        <v>1808</v>
      </c>
      <c r="C113" s="2"/>
      <c r="D113" s="12">
        <v>0</v>
      </c>
      <c r="E113" s="12"/>
      <c r="F113" s="12"/>
      <c r="G113" s="12"/>
      <c r="H113" s="12"/>
      <c r="I113" s="12"/>
      <c r="J113" s="12"/>
    </row>
    <row r="114" spans="1:10" x14ac:dyDescent="0.25">
      <c r="C114" s="2"/>
      <c r="D114" s="2"/>
      <c r="E114" s="3"/>
      <c r="I114" s="209"/>
      <c r="J114" s="213"/>
    </row>
    <row r="115" spans="1:10" x14ac:dyDescent="0.25">
      <c r="A115" s="8" t="s">
        <v>1366</v>
      </c>
      <c r="C115" s="2"/>
      <c r="D115" s="2"/>
      <c r="E115" s="2">
        <f t="shared" ref="E115:H115" si="0">SUM(E6:E114)</f>
        <v>292408.21999999997</v>
      </c>
      <c r="F115" s="2">
        <f t="shared" si="0"/>
        <v>386980</v>
      </c>
      <c r="G115" s="2">
        <f t="shared" si="0"/>
        <v>378354</v>
      </c>
      <c r="H115" s="2">
        <f t="shared" si="0"/>
        <v>378104</v>
      </c>
      <c r="I115" s="2">
        <f>SUM(I6:I114)</f>
        <v>378104</v>
      </c>
      <c r="J115" s="2">
        <f>SUM(J6:J114)</f>
        <v>377908</v>
      </c>
    </row>
    <row r="116" spans="1:10" x14ac:dyDescent="0.25">
      <c r="C116" s="2"/>
      <c r="I116" s="209"/>
      <c r="J116" s="213"/>
    </row>
    <row r="117" spans="1:10" x14ac:dyDescent="0.25">
      <c r="A117" s="8" t="s">
        <v>1001</v>
      </c>
      <c r="E117" s="2">
        <f t="shared" ref="E117:H117" si="1">SUM(E6:E54)</f>
        <v>262322.71999999997</v>
      </c>
      <c r="F117" s="2">
        <f t="shared" si="1"/>
        <v>367231</v>
      </c>
      <c r="G117" s="2">
        <f t="shared" si="1"/>
        <v>358253</v>
      </c>
      <c r="H117" s="2">
        <f t="shared" si="1"/>
        <v>358238</v>
      </c>
      <c r="I117" s="2">
        <f>SUM(I6:I54)</f>
        <v>358238</v>
      </c>
      <c r="J117" s="2">
        <f>SUM(J6:J54)</f>
        <v>358042</v>
      </c>
    </row>
    <row r="118" spans="1:10" x14ac:dyDescent="0.25">
      <c r="A118" s="8" t="s">
        <v>975</v>
      </c>
      <c r="E118" s="2">
        <f t="shared" ref="E118:H118" si="2">SUM(E57:E109)</f>
        <v>22540.5</v>
      </c>
      <c r="F118" s="2">
        <f t="shared" si="2"/>
        <v>18749</v>
      </c>
      <c r="G118" s="2">
        <f t="shared" si="2"/>
        <v>20101</v>
      </c>
      <c r="H118" s="2">
        <f t="shared" si="2"/>
        <v>19866</v>
      </c>
      <c r="I118" s="2">
        <f>SUM(I57:I109)</f>
        <v>19866</v>
      </c>
      <c r="J118" s="2">
        <f>SUM(J57:J109)</f>
        <v>19866</v>
      </c>
    </row>
    <row r="119" spans="1:10" ht="15" x14ac:dyDescent="0.4">
      <c r="A119" s="8" t="s">
        <v>976</v>
      </c>
      <c r="E119" s="12">
        <f t="shared" ref="E119:H119" si="3">SUM(E112:E114)</f>
        <v>7545</v>
      </c>
      <c r="F119" s="12">
        <f t="shared" si="3"/>
        <v>1000</v>
      </c>
      <c r="G119" s="12">
        <f t="shared" si="3"/>
        <v>0</v>
      </c>
      <c r="H119" s="12">
        <f t="shared" si="3"/>
        <v>0</v>
      </c>
      <c r="I119" s="12">
        <f>SUM(I112:I114)</f>
        <v>0</v>
      </c>
      <c r="J119" s="12">
        <f>SUM(J112:J114)</f>
        <v>0</v>
      </c>
    </row>
    <row r="120" spans="1:10" x14ac:dyDescent="0.25">
      <c r="A120" s="8" t="s">
        <v>1279</v>
      </c>
      <c r="E120" s="2">
        <f t="shared" ref="E120:H120" si="4">SUM(E117:E119)</f>
        <v>292408.21999999997</v>
      </c>
      <c r="F120" s="2">
        <f t="shared" si="4"/>
        <v>386980</v>
      </c>
      <c r="G120" s="2">
        <f t="shared" si="4"/>
        <v>378354</v>
      </c>
      <c r="H120" s="2">
        <f t="shared" si="4"/>
        <v>378104</v>
      </c>
      <c r="I120" s="2">
        <f>SUM(I117:I119)</f>
        <v>378104</v>
      </c>
      <c r="J120" s="2">
        <f>SUM(J117:J119)</f>
        <v>377908</v>
      </c>
    </row>
    <row r="121" spans="1:10" x14ac:dyDescent="0.25">
      <c r="I121" s="209"/>
      <c r="J121" s="213"/>
    </row>
    <row r="122" spans="1:10" x14ac:dyDescent="0.25">
      <c r="I122" s="209"/>
      <c r="J122" s="213"/>
    </row>
    <row r="123" spans="1:10" x14ac:dyDescent="0.25">
      <c r="I123" s="209"/>
      <c r="J123" s="213"/>
    </row>
    <row r="124" spans="1:10" x14ac:dyDescent="0.25">
      <c r="I124" s="209"/>
      <c r="J124" s="213"/>
    </row>
    <row r="125" spans="1:10" x14ac:dyDescent="0.25">
      <c r="I125" s="209"/>
      <c r="J125" s="213"/>
    </row>
    <row r="126" spans="1:10" x14ac:dyDescent="0.25">
      <c r="I126" s="209"/>
      <c r="J126" s="213"/>
    </row>
    <row r="127" spans="1:10" x14ac:dyDescent="0.25">
      <c r="I127" s="209"/>
      <c r="J127" s="213"/>
    </row>
    <row r="128" spans="1:10" x14ac:dyDescent="0.25">
      <c r="I128" s="209"/>
      <c r="J128" s="213"/>
    </row>
    <row r="129" spans="9:10" x14ac:dyDescent="0.25">
      <c r="I129" s="209"/>
      <c r="J129" s="213"/>
    </row>
    <row r="130" spans="9:10" x14ac:dyDescent="0.25">
      <c r="I130" s="209"/>
      <c r="J130" s="213"/>
    </row>
    <row r="131" spans="9:10" x14ac:dyDescent="0.25">
      <c r="I131" s="209"/>
      <c r="J131" s="213"/>
    </row>
    <row r="132" spans="9:10" x14ac:dyDescent="0.25">
      <c r="I132" s="209"/>
      <c r="J132" s="213"/>
    </row>
    <row r="133" spans="9:10" x14ac:dyDescent="0.25">
      <c r="I133" s="209"/>
      <c r="J133" s="213"/>
    </row>
    <row r="134" spans="9:10" x14ac:dyDescent="0.25">
      <c r="I134" s="209"/>
      <c r="J134" s="213"/>
    </row>
    <row r="135" spans="9:10" x14ac:dyDescent="0.25">
      <c r="I135" s="209"/>
      <c r="J135" s="213"/>
    </row>
    <row r="136" spans="9:10" x14ac:dyDescent="0.25">
      <c r="I136" s="209"/>
      <c r="J136" s="213"/>
    </row>
    <row r="137" spans="9:10" x14ac:dyDescent="0.25">
      <c r="I137" s="209"/>
      <c r="J137" s="213"/>
    </row>
    <row r="138" spans="9:10" x14ac:dyDescent="0.25">
      <c r="I138" s="209"/>
      <c r="J138" s="213"/>
    </row>
    <row r="139" spans="9:10" x14ac:dyDescent="0.25">
      <c r="I139" s="209"/>
      <c r="J139" s="213"/>
    </row>
    <row r="140" spans="9:10" x14ac:dyDescent="0.25">
      <c r="I140" s="209"/>
      <c r="J140" s="213"/>
    </row>
    <row r="141" spans="9:10" x14ac:dyDescent="0.25">
      <c r="I141" s="209"/>
      <c r="J141" s="213"/>
    </row>
    <row r="142" spans="9:10" x14ac:dyDescent="0.25">
      <c r="I142" s="209"/>
      <c r="J142" s="213"/>
    </row>
    <row r="143" spans="9:10" x14ac:dyDescent="0.25">
      <c r="I143" s="209"/>
      <c r="J143" s="213"/>
    </row>
    <row r="144" spans="9:10" x14ac:dyDescent="0.25">
      <c r="I144" s="209"/>
      <c r="J144" s="213"/>
    </row>
    <row r="145" spans="9:10" x14ac:dyDescent="0.25">
      <c r="I145" s="209"/>
      <c r="J145" s="213"/>
    </row>
    <row r="146" spans="9:10" x14ac:dyDescent="0.25">
      <c r="I146" s="209"/>
      <c r="J146" s="213"/>
    </row>
    <row r="147" spans="9:10" x14ac:dyDescent="0.25">
      <c r="I147" s="209"/>
      <c r="J147" s="213"/>
    </row>
    <row r="148" spans="9:10" x14ac:dyDescent="0.25">
      <c r="I148" s="209"/>
      <c r="J148" s="213"/>
    </row>
    <row r="149" spans="9:10" x14ac:dyDescent="0.25">
      <c r="I149" s="209"/>
      <c r="J149" s="213"/>
    </row>
    <row r="150" spans="9:10" x14ac:dyDescent="0.25">
      <c r="I150" s="209"/>
      <c r="J150" s="213"/>
    </row>
    <row r="151" spans="9:10" x14ac:dyDescent="0.25">
      <c r="I151" s="209"/>
      <c r="J151" s="213"/>
    </row>
    <row r="152" spans="9:10" x14ac:dyDescent="0.25">
      <c r="I152" s="209"/>
      <c r="J152" s="213"/>
    </row>
    <row r="153" spans="9:10" x14ac:dyDescent="0.25">
      <c r="I153" s="209"/>
      <c r="J153" s="213"/>
    </row>
    <row r="154" spans="9:10" x14ac:dyDescent="0.25">
      <c r="I154" s="209"/>
      <c r="J154" s="213"/>
    </row>
    <row r="155" spans="9:10" x14ac:dyDescent="0.25">
      <c r="I155" s="209"/>
      <c r="J155" s="213"/>
    </row>
    <row r="156" spans="9:10" x14ac:dyDescent="0.25">
      <c r="I156" s="209"/>
      <c r="J156" s="213"/>
    </row>
    <row r="157" spans="9:10" x14ac:dyDescent="0.25">
      <c r="I157" s="209"/>
    </row>
  </sheetData>
  <mergeCells count="1">
    <mergeCell ref="A1:J1"/>
  </mergeCells>
  <phoneticPr fontId="0" type="noConversion"/>
  <printOptions gridLines="1"/>
  <pageMargins left="0.75" right="0.16" top="0.51" bottom="0.22" header="0.5" footer="0.5"/>
  <pageSetup scale="90" fitToHeight="16"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J380"/>
  <sheetViews>
    <sheetView view="pageBreakPreview" zoomScaleNormal="100" zoomScaleSheetLayoutView="100" workbookViewId="0">
      <selection sqref="A1:J1"/>
    </sheetView>
  </sheetViews>
  <sheetFormatPr defaultColWidth="51.109375" defaultRowHeight="13.2" x14ac:dyDescent="0.25"/>
  <cols>
    <col min="1" max="1" width="51.109375" style="8" customWidth="1"/>
    <col min="2" max="6" width="10.88671875" style="8" customWidth="1"/>
    <col min="7" max="7" width="11.6640625" style="8" bestFit="1" customWidth="1"/>
    <col min="8" max="8" width="13.5546875" style="8" bestFit="1" customWidth="1"/>
    <col min="9" max="10" width="10.88671875" style="8" customWidth="1"/>
    <col min="11" max="78" width="12.6640625" style="8" customWidth="1"/>
    <col min="79" max="16384" width="51.109375" style="8"/>
  </cols>
  <sheetData>
    <row r="1" spans="1:10" x14ac:dyDescent="0.25">
      <c r="A1" s="217" t="s">
        <v>1972</v>
      </c>
      <c r="B1" s="218"/>
      <c r="C1" s="218"/>
      <c r="D1" s="218"/>
      <c r="E1" s="218"/>
      <c r="F1" s="218"/>
      <c r="G1" s="218"/>
      <c r="H1" s="218"/>
      <c r="I1" s="218"/>
      <c r="J1" s="218"/>
    </row>
    <row r="2" spans="1:10" ht="17.399999999999999" x14ac:dyDescent="0.3">
      <c r="A2" s="202" t="s">
        <v>2239</v>
      </c>
      <c r="B2" s="202"/>
      <c r="C2" s="202"/>
      <c r="D2" s="202"/>
      <c r="E2" s="202"/>
      <c r="F2" s="202"/>
    </row>
    <row r="3" spans="1:10" x14ac:dyDescent="0.25">
      <c r="B3" s="2"/>
      <c r="C3" s="2"/>
      <c r="D3" s="2"/>
      <c r="E3" s="2"/>
      <c r="F3" s="2"/>
    </row>
    <row r="4" spans="1:10" x14ac:dyDescent="0.25">
      <c r="B4" s="2"/>
      <c r="C4" s="2"/>
      <c r="D4" s="2"/>
      <c r="E4" s="9" t="s">
        <v>251</v>
      </c>
      <c r="F4" s="9" t="s">
        <v>252</v>
      </c>
      <c r="G4" s="9" t="s">
        <v>73</v>
      </c>
      <c r="H4" s="9" t="s">
        <v>430</v>
      </c>
      <c r="I4" s="2" t="s">
        <v>330</v>
      </c>
      <c r="J4" s="2" t="s">
        <v>364</v>
      </c>
    </row>
    <row r="5" spans="1:10" ht="15" x14ac:dyDescent="0.4">
      <c r="B5" s="2"/>
      <c r="C5" s="2"/>
      <c r="D5" s="2"/>
      <c r="E5" s="10" t="s">
        <v>1684</v>
      </c>
      <c r="F5" s="10" t="s">
        <v>1874</v>
      </c>
      <c r="G5" s="10" t="s">
        <v>1944</v>
      </c>
      <c r="H5" s="10" t="s">
        <v>1944</v>
      </c>
      <c r="I5" s="10" t="s">
        <v>1944</v>
      </c>
      <c r="J5" s="10" t="s">
        <v>1944</v>
      </c>
    </row>
    <row r="6" spans="1:10" ht="13.8" x14ac:dyDescent="0.3">
      <c r="A6" s="11" t="s">
        <v>803</v>
      </c>
      <c r="B6" s="2"/>
      <c r="C6" s="2"/>
      <c r="D6" s="2"/>
      <c r="E6" s="2">
        <v>36670</v>
      </c>
      <c r="F6" s="2">
        <v>38478</v>
      </c>
      <c r="G6" s="2">
        <v>38896</v>
      </c>
      <c r="H6" s="2">
        <v>38896</v>
      </c>
      <c r="I6" s="2">
        <v>38896</v>
      </c>
      <c r="J6" s="2">
        <v>38896</v>
      </c>
    </row>
    <row r="7" spans="1:10" x14ac:dyDescent="0.25">
      <c r="A7" s="8" t="s">
        <v>419</v>
      </c>
      <c r="B7" s="2">
        <v>52</v>
      </c>
      <c r="C7" s="2">
        <v>748</v>
      </c>
      <c r="D7" s="2">
        <f>ROUND(B7*C7,0)</f>
        <v>38896</v>
      </c>
      <c r="E7" s="2"/>
      <c r="F7" s="2"/>
      <c r="G7" s="2"/>
      <c r="H7" s="2"/>
      <c r="I7" s="2"/>
      <c r="J7" s="2"/>
    </row>
    <row r="8" spans="1:10" x14ac:dyDescent="0.25">
      <c r="B8" s="2"/>
      <c r="C8" s="2"/>
      <c r="D8" s="2"/>
      <c r="E8" s="2"/>
      <c r="F8" s="2"/>
      <c r="G8" s="2"/>
      <c r="H8" s="2"/>
      <c r="I8" s="2"/>
      <c r="J8" s="2"/>
    </row>
    <row r="9" spans="1:10" ht="13.8" x14ac:dyDescent="0.3">
      <c r="A9" s="11" t="s">
        <v>1380</v>
      </c>
      <c r="B9" s="2"/>
      <c r="C9" s="2"/>
      <c r="D9" s="2"/>
      <c r="E9" s="2">
        <v>178343</v>
      </c>
      <c r="F9" s="2">
        <v>202071</v>
      </c>
      <c r="G9" s="2">
        <v>193750</v>
      </c>
      <c r="H9" s="2">
        <v>193750</v>
      </c>
      <c r="I9" s="2">
        <v>193750</v>
      </c>
      <c r="J9" s="2">
        <v>195258</v>
      </c>
    </row>
    <row r="10" spans="1:10" x14ac:dyDescent="0.25">
      <c r="A10" s="8" t="s">
        <v>253</v>
      </c>
      <c r="B10" s="2">
        <v>52</v>
      </c>
      <c r="C10" s="2">
        <v>1481</v>
      </c>
      <c r="D10" s="2">
        <f>ROUND(B10*C10,0)</f>
        <v>77012</v>
      </c>
      <c r="E10" s="2"/>
      <c r="F10" s="2"/>
      <c r="G10" s="2"/>
      <c r="H10" s="2"/>
      <c r="I10" s="2"/>
      <c r="J10" s="2"/>
    </row>
    <row r="11" spans="1:10" x14ac:dyDescent="0.25">
      <c r="A11" s="8" t="s">
        <v>1203</v>
      </c>
      <c r="B11" s="2">
        <v>52</v>
      </c>
      <c r="C11" s="2">
        <v>1087</v>
      </c>
      <c r="D11" s="2">
        <f>ROUND(B11*C11,0)</f>
        <v>56524</v>
      </c>
      <c r="E11" s="2"/>
      <c r="F11" s="2"/>
      <c r="G11" s="2"/>
      <c r="H11" s="2"/>
      <c r="I11" s="2"/>
      <c r="J11" s="2"/>
    </row>
    <row r="12" spans="1:10" x14ac:dyDescent="0.25">
      <c r="A12" s="8" t="s">
        <v>254</v>
      </c>
      <c r="B12" s="2">
        <v>52</v>
      </c>
      <c r="C12" s="2">
        <v>1095</v>
      </c>
      <c r="D12" s="2">
        <f>ROUND(B12*C12,0)</f>
        <v>56940</v>
      </c>
      <c r="E12" s="2"/>
      <c r="F12" s="2"/>
      <c r="G12" s="2"/>
      <c r="H12" s="2"/>
      <c r="I12" s="2"/>
      <c r="J12" s="2"/>
    </row>
    <row r="13" spans="1:10" x14ac:dyDescent="0.25">
      <c r="A13" s="8" t="s">
        <v>759</v>
      </c>
      <c r="B13" s="2">
        <v>112</v>
      </c>
      <c r="C13" s="13">
        <v>27.27</v>
      </c>
      <c r="D13" s="2">
        <f>+C13*B13</f>
        <v>3054.24</v>
      </c>
      <c r="E13" s="2"/>
      <c r="F13" s="2"/>
      <c r="G13" s="2"/>
      <c r="H13" s="2"/>
      <c r="I13" s="2"/>
      <c r="J13" s="2"/>
    </row>
    <row r="14" spans="1:10" ht="15" x14ac:dyDescent="0.4">
      <c r="A14" s="8" t="s">
        <v>995</v>
      </c>
      <c r="B14" s="2"/>
      <c r="C14" s="2"/>
      <c r="D14" s="12">
        <v>1728</v>
      </c>
      <c r="E14" s="2"/>
      <c r="F14" s="2"/>
      <c r="G14" s="2"/>
      <c r="H14" s="2"/>
      <c r="I14" s="2"/>
      <c r="J14" s="2"/>
    </row>
    <row r="15" spans="1:10" x14ac:dyDescent="0.25">
      <c r="A15" s="8" t="s">
        <v>1279</v>
      </c>
      <c r="B15" s="2"/>
      <c r="C15" s="2"/>
      <c r="D15" s="2">
        <f>SUM(D10:D14)</f>
        <v>195258.23999999999</v>
      </c>
      <c r="E15" s="2"/>
      <c r="F15" s="2"/>
      <c r="G15" s="2"/>
      <c r="H15" s="2"/>
      <c r="I15" s="2"/>
      <c r="J15" s="2"/>
    </row>
    <row r="16" spans="1:10" x14ac:dyDescent="0.25">
      <c r="B16" s="2"/>
      <c r="C16" s="2"/>
      <c r="D16" s="2"/>
      <c r="E16" s="2"/>
      <c r="F16" s="2"/>
      <c r="G16" s="2"/>
      <c r="H16" s="2"/>
      <c r="I16" s="2"/>
      <c r="J16" s="2"/>
    </row>
    <row r="17" spans="1:10" ht="13.8" x14ac:dyDescent="0.3">
      <c r="A17" s="11" t="s">
        <v>748</v>
      </c>
      <c r="B17" s="2"/>
      <c r="C17" s="2"/>
      <c r="D17" s="2"/>
      <c r="E17" s="2">
        <v>678506</v>
      </c>
      <c r="F17" s="2">
        <v>736879</v>
      </c>
      <c r="G17" s="2">
        <v>759397</v>
      </c>
      <c r="H17" s="2">
        <v>759397</v>
      </c>
      <c r="I17" s="2">
        <v>759397</v>
      </c>
      <c r="J17" s="2">
        <v>759397</v>
      </c>
    </row>
    <row r="18" spans="1:10" x14ac:dyDescent="0.25">
      <c r="A18" s="196" t="s">
        <v>1398</v>
      </c>
      <c r="B18" s="197">
        <v>52</v>
      </c>
      <c r="C18" s="137">
        <v>936</v>
      </c>
      <c r="D18" s="2">
        <f t="shared" ref="D18:D35" si="0">+C18*B18</f>
        <v>48672</v>
      </c>
      <c r="E18" s="2"/>
      <c r="F18" s="2"/>
      <c r="G18" s="2"/>
      <c r="H18" s="2"/>
      <c r="I18" s="2"/>
      <c r="J18" s="2"/>
    </row>
    <row r="19" spans="1:10" x14ac:dyDescent="0.25">
      <c r="A19" s="196" t="s">
        <v>1399</v>
      </c>
      <c r="B19" s="197">
        <v>52</v>
      </c>
      <c r="C19" s="137">
        <v>897</v>
      </c>
      <c r="D19" s="2">
        <f t="shared" si="0"/>
        <v>46644</v>
      </c>
      <c r="E19" s="2"/>
      <c r="F19" s="2"/>
      <c r="G19" s="2"/>
      <c r="H19" s="2"/>
      <c r="I19" s="2"/>
      <c r="J19" s="2"/>
    </row>
    <row r="20" spans="1:10" x14ac:dyDescent="0.25">
      <c r="A20" s="196" t="s">
        <v>1399</v>
      </c>
      <c r="B20" s="197">
        <v>52</v>
      </c>
      <c r="C20" s="137">
        <v>880</v>
      </c>
      <c r="D20" s="2">
        <f t="shared" si="0"/>
        <v>45760</v>
      </c>
      <c r="E20" s="2"/>
      <c r="F20" s="2"/>
      <c r="G20" s="2"/>
      <c r="H20" s="2"/>
      <c r="I20" s="2"/>
      <c r="J20" s="2"/>
    </row>
    <row r="21" spans="1:10" x14ac:dyDescent="0.25">
      <c r="A21" s="196" t="s">
        <v>1400</v>
      </c>
      <c r="B21" s="197">
        <v>52</v>
      </c>
      <c r="C21" s="137">
        <v>852</v>
      </c>
      <c r="D21" s="2">
        <f t="shared" si="0"/>
        <v>44304</v>
      </c>
      <c r="E21" s="2"/>
      <c r="F21" s="2"/>
      <c r="G21" s="2"/>
      <c r="H21" s="2"/>
      <c r="I21" s="2"/>
      <c r="J21" s="2"/>
    </row>
    <row r="22" spans="1:10" x14ac:dyDescent="0.25">
      <c r="A22" s="196" t="s">
        <v>1400</v>
      </c>
      <c r="B22" s="197">
        <v>52</v>
      </c>
      <c r="C22" s="137">
        <v>852</v>
      </c>
      <c r="D22" s="2">
        <f t="shared" si="0"/>
        <v>44304</v>
      </c>
      <c r="E22" s="2"/>
      <c r="F22" s="2"/>
      <c r="G22" s="2"/>
      <c r="H22" s="2"/>
      <c r="I22" s="2"/>
      <c r="J22" s="2"/>
    </row>
    <row r="23" spans="1:10" x14ac:dyDescent="0.25">
      <c r="A23" s="196" t="s">
        <v>1400</v>
      </c>
      <c r="B23" s="197">
        <v>52</v>
      </c>
      <c r="C23" s="137">
        <v>839</v>
      </c>
      <c r="D23" s="2">
        <f t="shared" si="0"/>
        <v>43628</v>
      </c>
      <c r="E23" s="2"/>
      <c r="F23" s="2"/>
      <c r="G23" s="2"/>
      <c r="H23" s="2"/>
      <c r="I23" s="2"/>
      <c r="J23" s="2"/>
    </row>
    <row r="24" spans="1:10" x14ac:dyDescent="0.25">
      <c r="A24" s="196" t="s">
        <v>1400</v>
      </c>
      <c r="B24" s="197">
        <v>52</v>
      </c>
      <c r="C24" s="137">
        <v>839</v>
      </c>
      <c r="D24" s="2">
        <f t="shared" si="0"/>
        <v>43628</v>
      </c>
      <c r="E24" s="2"/>
      <c r="F24" s="2"/>
      <c r="G24" s="2"/>
      <c r="H24" s="2"/>
      <c r="I24" s="2"/>
      <c r="J24" s="2"/>
    </row>
    <row r="25" spans="1:10" x14ac:dyDescent="0.25">
      <c r="A25" s="196" t="s">
        <v>1400</v>
      </c>
      <c r="B25" s="197">
        <v>52</v>
      </c>
      <c r="C25" s="137">
        <v>839</v>
      </c>
      <c r="D25" s="2">
        <f t="shared" si="0"/>
        <v>43628</v>
      </c>
      <c r="E25" s="2"/>
      <c r="F25" s="2"/>
      <c r="G25" s="2"/>
      <c r="H25" s="2"/>
      <c r="I25" s="2"/>
      <c r="J25" s="2"/>
    </row>
    <row r="26" spans="1:10" x14ac:dyDescent="0.25">
      <c r="A26" s="196" t="s">
        <v>1400</v>
      </c>
      <c r="B26" s="197">
        <v>52</v>
      </c>
      <c r="C26" s="137">
        <v>839</v>
      </c>
      <c r="D26" s="2">
        <f t="shared" si="0"/>
        <v>43628</v>
      </c>
      <c r="E26" s="2"/>
      <c r="F26" s="2"/>
      <c r="G26" s="2"/>
      <c r="H26" s="2"/>
      <c r="I26" s="2"/>
      <c r="J26" s="2"/>
    </row>
    <row r="27" spans="1:10" x14ac:dyDescent="0.25">
      <c r="A27" s="196" t="s">
        <v>1400</v>
      </c>
      <c r="B27" s="197">
        <v>52</v>
      </c>
      <c r="C27" s="137">
        <v>839</v>
      </c>
      <c r="D27" s="2">
        <f t="shared" si="0"/>
        <v>43628</v>
      </c>
      <c r="E27" s="2"/>
      <c r="F27" s="2"/>
      <c r="G27" s="2"/>
      <c r="H27" s="2"/>
      <c r="I27" s="2"/>
      <c r="J27" s="2"/>
    </row>
    <row r="28" spans="1:10" x14ac:dyDescent="0.25">
      <c r="A28" s="196" t="s">
        <v>1400</v>
      </c>
      <c r="B28" s="197">
        <v>52</v>
      </c>
      <c r="C28" s="137">
        <v>826</v>
      </c>
      <c r="D28" s="2">
        <f t="shared" si="0"/>
        <v>42952</v>
      </c>
      <c r="E28" s="2"/>
      <c r="F28" s="2"/>
      <c r="G28" s="2"/>
      <c r="H28" s="2"/>
      <c r="I28" s="2"/>
      <c r="J28" s="2"/>
    </row>
    <row r="29" spans="1:10" x14ac:dyDescent="0.25">
      <c r="A29" s="196" t="s">
        <v>1400</v>
      </c>
      <c r="B29" s="197">
        <v>52</v>
      </c>
      <c r="C29" s="137">
        <v>823</v>
      </c>
      <c r="D29" s="2">
        <f t="shared" si="0"/>
        <v>42796</v>
      </c>
      <c r="E29" s="2"/>
      <c r="F29" s="2"/>
      <c r="G29" s="2"/>
      <c r="H29" s="2"/>
      <c r="I29" s="2"/>
      <c r="J29" s="2"/>
    </row>
    <row r="30" spans="1:10" x14ac:dyDescent="0.25">
      <c r="A30" s="196" t="s">
        <v>1400</v>
      </c>
      <c r="B30" s="197">
        <v>52</v>
      </c>
      <c r="C30" s="137">
        <v>808</v>
      </c>
      <c r="D30" s="2">
        <f t="shared" si="0"/>
        <v>42016</v>
      </c>
      <c r="E30" s="2"/>
      <c r="F30" s="2"/>
      <c r="G30" s="2"/>
      <c r="H30" s="2"/>
      <c r="I30" s="2"/>
      <c r="J30" s="2"/>
    </row>
    <row r="31" spans="1:10" x14ac:dyDescent="0.25">
      <c r="A31" s="196" t="s">
        <v>1400</v>
      </c>
      <c r="B31" s="197">
        <v>52</v>
      </c>
      <c r="C31" s="137">
        <v>773</v>
      </c>
      <c r="D31" s="2">
        <f t="shared" si="0"/>
        <v>40196</v>
      </c>
      <c r="E31" s="2"/>
      <c r="F31" s="2"/>
      <c r="G31" s="2"/>
      <c r="H31" s="2"/>
      <c r="I31" s="2"/>
      <c r="J31" s="2"/>
    </row>
    <row r="32" spans="1:10" x14ac:dyDescent="0.25">
      <c r="A32" s="196" t="s">
        <v>1400</v>
      </c>
      <c r="B32" s="197">
        <v>52</v>
      </c>
      <c r="C32" s="137">
        <v>773</v>
      </c>
      <c r="D32" s="2">
        <f t="shared" si="0"/>
        <v>40196</v>
      </c>
      <c r="E32" s="2"/>
      <c r="F32" s="2"/>
      <c r="G32" s="2"/>
      <c r="H32" s="2"/>
      <c r="I32" s="2"/>
      <c r="J32" s="2"/>
    </row>
    <row r="33" spans="1:10" x14ac:dyDescent="0.25">
      <c r="A33" s="196" t="s">
        <v>1984</v>
      </c>
      <c r="B33" s="197">
        <v>52</v>
      </c>
      <c r="C33" s="137">
        <v>607</v>
      </c>
      <c r="D33" s="2">
        <f t="shared" si="0"/>
        <v>31564</v>
      </c>
      <c r="E33" s="2"/>
      <c r="F33" s="2"/>
      <c r="G33" s="2"/>
      <c r="H33" s="2"/>
      <c r="I33" s="2"/>
      <c r="J33" s="2"/>
    </row>
    <row r="34" spans="1:10" x14ac:dyDescent="0.25">
      <c r="A34" s="196" t="s">
        <v>1984</v>
      </c>
      <c r="B34" s="197">
        <v>52</v>
      </c>
      <c r="C34" s="137">
        <v>607</v>
      </c>
      <c r="D34" s="2">
        <f t="shared" si="0"/>
        <v>31564</v>
      </c>
      <c r="E34" s="2"/>
      <c r="F34" s="2"/>
      <c r="G34" s="2"/>
      <c r="H34" s="2"/>
      <c r="I34" s="2"/>
      <c r="J34" s="2"/>
    </row>
    <row r="35" spans="1:10" x14ac:dyDescent="0.25">
      <c r="A35" s="196" t="s">
        <v>1984</v>
      </c>
      <c r="B35" s="197">
        <v>52</v>
      </c>
      <c r="C35" s="137">
        <v>607</v>
      </c>
      <c r="D35" s="2">
        <f t="shared" si="0"/>
        <v>31564</v>
      </c>
      <c r="E35" s="2"/>
      <c r="F35" s="2"/>
      <c r="G35" s="2"/>
      <c r="H35" s="2"/>
      <c r="I35" s="2"/>
      <c r="J35" s="2"/>
    </row>
    <row r="36" spans="1:10" x14ac:dyDescent="0.25">
      <c r="A36" s="147" t="s">
        <v>1966</v>
      </c>
      <c r="B36" s="2"/>
      <c r="C36" s="2"/>
      <c r="D36" s="28">
        <v>3325</v>
      </c>
      <c r="E36" s="2"/>
      <c r="F36" s="2"/>
      <c r="G36" s="2"/>
      <c r="H36" s="2"/>
      <c r="I36" s="2"/>
      <c r="J36" s="2"/>
    </row>
    <row r="37" spans="1:10" ht="15" x14ac:dyDescent="0.4">
      <c r="A37" s="8" t="s">
        <v>995</v>
      </c>
      <c r="B37" s="2" t="s">
        <v>417</v>
      </c>
      <c r="C37" s="13" t="s">
        <v>877</v>
      </c>
      <c r="D37" s="12">
        <v>5400</v>
      </c>
      <c r="E37" s="2"/>
      <c r="F37" s="2"/>
      <c r="G37" s="2"/>
      <c r="H37" s="2"/>
      <c r="I37" s="2"/>
      <c r="J37" s="2"/>
    </row>
    <row r="38" spans="1:10" x14ac:dyDescent="0.25">
      <c r="A38" s="8" t="s">
        <v>1279</v>
      </c>
      <c r="D38" s="2">
        <f>SUM(D18:D37)</f>
        <v>759397</v>
      </c>
      <c r="E38" s="2"/>
      <c r="F38" s="2"/>
      <c r="G38" s="2"/>
      <c r="H38" s="2"/>
      <c r="I38" s="2"/>
      <c r="J38" s="2"/>
    </row>
    <row r="39" spans="1:10" x14ac:dyDescent="0.25">
      <c r="D39" s="2"/>
      <c r="E39" s="2"/>
      <c r="F39" s="2"/>
      <c r="G39" s="2"/>
      <c r="H39" s="2"/>
      <c r="I39" s="2"/>
      <c r="J39" s="2"/>
    </row>
    <row r="40" spans="1:10" ht="13.8" x14ac:dyDescent="0.3">
      <c r="A40" s="11" t="s">
        <v>568</v>
      </c>
      <c r="B40" s="7"/>
      <c r="C40" s="7"/>
      <c r="D40" s="2" t="s">
        <v>417</v>
      </c>
      <c r="E40" s="2">
        <v>16570</v>
      </c>
      <c r="F40" s="2">
        <v>30000</v>
      </c>
      <c r="G40" s="2">
        <v>30000</v>
      </c>
      <c r="H40" s="2">
        <v>30000</v>
      </c>
      <c r="I40" s="2">
        <v>30000</v>
      </c>
      <c r="J40" s="2">
        <v>30000</v>
      </c>
    </row>
    <row r="41" spans="1:10" x14ac:dyDescent="0.25">
      <c r="A41" s="7" t="s">
        <v>529</v>
      </c>
      <c r="B41" s="2"/>
      <c r="C41" s="13"/>
      <c r="D41" s="2"/>
      <c r="E41" s="2"/>
      <c r="F41" s="2"/>
      <c r="G41" s="2"/>
      <c r="H41" s="2"/>
      <c r="I41" s="2"/>
      <c r="J41" s="2"/>
    </row>
    <row r="42" spans="1:10" x14ac:dyDescent="0.25">
      <c r="A42" s="8" t="s">
        <v>532</v>
      </c>
      <c r="B42" s="2" t="s">
        <v>417</v>
      </c>
      <c r="C42" s="13"/>
      <c r="D42" s="2">
        <v>7000</v>
      </c>
      <c r="E42" s="2"/>
      <c r="F42" s="2"/>
      <c r="G42" s="2"/>
      <c r="H42" s="2"/>
      <c r="I42" s="2"/>
      <c r="J42" s="2"/>
    </row>
    <row r="43" spans="1:10" x14ac:dyDescent="0.25">
      <c r="A43" s="8" t="s">
        <v>530</v>
      </c>
      <c r="B43" s="2"/>
      <c r="C43" s="13"/>
      <c r="D43" s="2"/>
      <c r="E43" s="2"/>
      <c r="F43" s="2"/>
      <c r="G43" s="2"/>
      <c r="H43" s="2"/>
      <c r="I43" s="2"/>
      <c r="J43" s="2"/>
    </row>
    <row r="44" spans="1:10" ht="15" x14ac:dyDescent="0.4">
      <c r="A44" s="8" t="s">
        <v>531</v>
      </c>
      <c r="B44" s="2"/>
      <c r="C44" s="13"/>
      <c r="D44" s="12">
        <v>23000</v>
      </c>
      <c r="E44" s="2"/>
      <c r="F44" s="2"/>
      <c r="G44" s="2"/>
      <c r="H44" s="2"/>
      <c r="I44" s="2"/>
      <c r="J44" s="2"/>
    </row>
    <row r="45" spans="1:10" x14ac:dyDescent="0.25">
      <c r="A45" s="8" t="s">
        <v>1279</v>
      </c>
      <c r="B45" s="2"/>
      <c r="C45" s="13"/>
      <c r="D45" s="2">
        <f>SUM(D41:D44)</f>
        <v>30000</v>
      </c>
      <c r="E45" s="2"/>
      <c r="F45" s="2"/>
      <c r="G45" s="2"/>
      <c r="H45" s="2"/>
      <c r="I45" s="2"/>
      <c r="J45" s="2"/>
    </row>
    <row r="46" spans="1:10" x14ac:dyDescent="0.25">
      <c r="D46" s="2"/>
      <c r="E46" s="2"/>
      <c r="F46" s="2"/>
      <c r="G46" s="2"/>
      <c r="H46" s="2"/>
      <c r="I46" s="2"/>
      <c r="J46" s="2"/>
    </row>
    <row r="47" spans="1:10" ht="13.8" x14ac:dyDescent="0.3">
      <c r="A47" s="11" t="s">
        <v>791</v>
      </c>
      <c r="D47" s="2"/>
      <c r="E47" s="2">
        <v>17561</v>
      </c>
      <c r="F47" s="2">
        <v>19200</v>
      </c>
      <c r="G47" s="2">
        <v>23040</v>
      </c>
      <c r="H47" s="2">
        <v>23040</v>
      </c>
      <c r="I47" s="2">
        <v>23040</v>
      </c>
      <c r="J47" s="2">
        <v>23040</v>
      </c>
    </row>
    <row r="48" spans="1:10" x14ac:dyDescent="0.25">
      <c r="A48" s="8" t="s">
        <v>1598</v>
      </c>
      <c r="B48" s="28">
        <v>1920</v>
      </c>
      <c r="C48" s="58">
        <v>12</v>
      </c>
      <c r="D48" s="28">
        <f>ROUND(B48*C48,0)</f>
        <v>23040</v>
      </c>
      <c r="E48" s="2"/>
      <c r="F48" s="2"/>
      <c r="G48" s="2"/>
      <c r="H48" s="2"/>
      <c r="I48" s="2"/>
      <c r="J48" s="2"/>
    </row>
    <row r="49" spans="1:10" x14ac:dyDescent="0.25">
      <c r="A49" s="8" t="s">
        <v>417</v>
      </c>
      <c r="D49" s="2" t="s">
        <v>417</v>
      </c>
      <c r="E49" s="2"/>
      <c r="F49" s="2"/>
      <c r="G49" s="2"/>
      <c r="H49" s="2"/>
      <c r="I49" s="2"/>
      <c r="J49" s="2"/>
    </row>
    <row r="50" spans="1:10" ht="13.8" x14ac:dyDescent="0.3">
      <c r="A50" s="11" t="s">
        <v>799</v>
      </c>
      <c r="D50" s="9" t="s">
        <v>417</v>
      </c>
      <c r="E50" s="2">
        <v>42993</v>
      </c>
      <c r="F50" s="2">
        <v>81500</v>
      </c>
      <c r="G50" s="2">
        <v>81500</v>
      </c>
      <c r="H50" s="2">
        <v>81500</v>
      </c>
      <c r="I50" s="2">
        <v>81500</v>
      </c>
      <c r="J50" s="2">
        <v>81500</v>
      </c>
    </row>
    <row r="51" spans="1:10" x14ac:dyDescent="0.25">
      <c r="A51" s="8" t="s">
        <v>530</v>
      </c>
      <c r="B51" s="2" t="s">
        <v>417</v>
      </c>
      <c r="D51" s="2" t="s">
        <v>417</v>
      </c>
      <c r="E51" s="2"/>
      <c r="F51" s="2"/>
      <c r="G51" s="2"/>
      <c r="H51" s="2"/>
      <c r="I51" s="2"/>
      <c r="J51" s="2"/>
    </row>
    <row r="52" spans="1:10" x14ac:dyDescent="0.25">
      <c r="A52" s="8" t="s">
        <v>531</v>
      </c>
      <c r="B52" s="2"/>
      <c r="D52" s="2">
        <v>76500</v>
      </c>
      <c r="E52" s="2"/>
      <c r="F52" s="2"/>
      <c r="G52" s="2"/>
      <c r="H52" s="2"/>
      <c r="I52" s="2"/>
      <c r="J52" s="2"/>
    </row>
    <row r="53" spans="1:10" x14ac:dyDescent="0.25">
      <c r="A53" s="7" t="s">
        <v>529</v>
      </c>
      <c r="B53" s="2"/>
      <c r="D53" s="2"/>
      <c r="E53" s="2"/>
      <c r="F53" s="2"/>
      <c r="G53" s="2"/>
      <c r="H53" s="2"/>
      <c r="I53" s="2"/>
      <c r="J53" s="2"/>
    </row>
    <row r="54" spans="1:10" ht="15" x14ac:dyDescent="0.4">
      <c r="A54" s="8" t="s">
        <v>532</v>
      </c>
      <c r="B54" s="2"/>
      <c r="D54" s="12">
        <v>5000</v>
      </c>
      <c r="E54" s="2"/>
      <c r="F54" s="2"/>
      <c r="G54" s="2"/>
      <c r="H54" s="2"/>
      <c r="I54" s="2"/>
      <c r="J54" s="2"/>
    </row>
    <row r="55" spans="1:10" x14ac:dyDescent="0.25">
      <c r="A55" s="8" t="s">
        <v>1279</v>
      </c>
      <c r="B55" s="2"/>
      <c r="D55" s="2">
        <f>SUM(D51:D54)</f>
        <v>81500</v>
      </c>
      <c r="E55" s="2"/>
      <c r="F55" s="2"/>
      <c r="G55" s="2"/>
      <c r="H55" s="2"/>
      <c r="I55" s="2"/>
      <c r="J55" s="2"/>
    </row>
    <row r="56" spans="1:10" ht="13.95" customHeight="1" x14ac:dyDescent="0.25">
      <c r="B56" s="2" t="s">
        <v>417</v>
      </c>
      <c r="C56" s="13" t="s">
        <v>417</v>
      </c>
      <c r="D56" s="2" t="s">
        <v>417</v>
      </c>
      <c r="E56" s="2"/>
      <c r="F56" s="2"/>
      <c r="G56" s="2"/>
      <c r="H56" s="2"/>
      <c r="I56" s="2"/>
      <c r="J56" s="2"/>
    </row>
    <row r="57" spans="1:10" ht="13.8" x14ac:dyDescent="0.3">
      <c r="A57" s="11" t="s">
        <v>1027</v>
      </c>
      <c r="B57" s="2"/>
      <c r="C57" s="13"/>
      <c r="D57" s="2"/>
      <c r="E57" s="2">
        <v>73129.899999999994</v>
      </c>
      <c r="F57" s="2">
        <v>84772</v>
      </c>
      <c r="G57" s="2">
        <v>86185</v>
      </c>
      <c r="H57" s="2">
        <v>86185</v>
      </c>
      <c r="I57" s="2">
        <v>86185</v>
      </c>
      <c r="J57" s="2">
        <v>86300</v>
      </c>
    </row>
    <row r="58" spans="1:10" hidden="1" x14ac:dyDescent="0.25">
      <c r="A58" s="14" t="s">
        <v>923</v>
      </c>
      <c r="B58" s="2">
        <f>+D7</f>
        <v>38896</v>
      </c>
      <c r="C58" s="15">
        <v>7.6499999999999999E-2</v>
      </c>
      <c r="D58" s="2">
        <f t="shared" ref="D58:D62" si="1">ROUND(B58*C58,0)</f>
        <v>2976</v>
      </c>
      <c r="E58" s="2"/>
      <c r="F58" s="2"/>
      <c r="G58" s="2"/>
      <c r="H58" s="2"/>
      <c r="I58" s="2"/>
      <c r="J58" s="2"/>
    </row>
    <row r="59" spans="1:10" hidden="1" x14ac:dyDescent="0.25">
      <c r="A59" s="14" t="s">
        <v>1511</v>
      </c>
      <c r="B59" s="2">
        <f>+D15</f>
        <v>195258.23999999999</v>
      </c>
      <c r="C59" s="15">
        <v>7.6499999999999999E-2</v>
      </c>
      <c r="D59" s="2">
        <f t="shared" si="1"/>
        <v>14937</v>
      </c>
      <c r="E59" s="2"/>
      <c r="F59" s="2"/>
      <c r="G59" s="2"/>
      <c r="H59" s="2"/>
      <c r="I59" s="2"/>
      <c r="J59" s="2"/>
    </row>
    <row r="60" spans="1:10" hidden="1" x14ac:dyDescent="0.25">
      <c r="A60" s="14" t="s">
        <v>831</v>
      </c>
      <c r="B60" s="2">
        <f>+D38</f>
        <v>759397</v>
      </c>
      <c r="C60" s="15">
        <v>7.6499999999999999E-2</v>
      </c>
      <c r="D60" s="2">
        <f t="shared" si="1"/>
        <v>58094</v>
      </c>
      <c r="E60" s="2"/>
      <c r="F60" s="2"/>
      <c r="G60" s="2"/>
      <c r="H60" s="2"/>
      <c r="I60" s="2"/>
      <c r="J60" s="2"/>
    </row>
    <row r="61" spans="1:10" hidden="1" x14ac:dyDescent="0.25">
      <c r="A61" s="14" t="s">
        <v>924</v>
      </c>
      <c r="B61" s="2">
        <f>+D45</f>
        <v>30000</v>
      </c>
      <c r="C61" s="15">
        <v>7.6499999999999999E-2</v>
      </c>
      <c r="D61" s="2">
        <f t="shared" si="1"/>
        <v>2295</v>
      </c>
      <c r="E61" s="2"/>
      <c r="F61" s="2"/>
      <c r="G61" s="2"/>
      <c r="H61" s="2"/>
      <c r="I61" s="2"/>
      <c r="J61" s="2"/>
    </row>
    <row r="62" spans="1:10" hidden="1" x14ac:dyDescent="0.25">
      <c r="A62" s="14" t="s">
        <v>201</v>
      </c>
      <c r="B62" s="2">
        <f>+D48</f>
        <v>23040</v>
      </c>
      <c r="C62" s="15">
        <v>7.6499999999999999E-2</v>
      </c>
      <c r="D62" s="2">
        <f t="shared" si="1"/>
        <v>1763</v>
      </c>
      <c r="E62" s="2"/>
      <c r="F62" s="2"/>
      <c r="G62" s="2"/>
      <c r="H62" s="2"/>
      <c r="I62" s="2"/>
      <c r="J62" s="2"/>
    </row>
    <row r="63" spans="1:10" ht="15" hidden="1" x14ac:dyDescent="0.4">
      <c r="A63" s="14" t="s">
        <v>202</v>
      </c>
      <c r="B63" s="2">
        <f>+D55</f>
        <v>81500</v>
      </c>
      <c r="C63" s="15">
        <v>7.6499999999999999E-2</v>
      </c>
      <c r="D63" s="12">
        <f>ROUND(B63*C63,0)</f>
        <v>6235</v>
      </c>
      <c r="E63" s="2"/>
      <c r="F63" s="2"/>
      <c r="G63" s="2"/>
      <c r="H63" s="2"/>
      <c r="I63" s="2"/>
      <c r="J63" s="2"/>
    </row>
    <row r="64" spans="1:10" hidden="1" x14ac:dyDescent="0.25">
      <c r="A64" s="8" t="s">
        <v>1279</v>
      </c>
      <c r="D64" s="2">
        <f>SUM(D58:D63)</f>
        <v>86300</v>
      </c>
      <c r="E64" s="2"/>
      <c r="F64" s="2"/>
      <c r="G64" s="2"/>
      <c r="H64" s="2"/>
      <c r="I64" s="2"/>
      <c r="J64" s="2"/>
    </row>
    <row r="65" spans="1:10" x14ac:dyDescent="0.25">
      <c r="D65" s="2"/>
      <c r="E65" s="2"/>
      <c r="F65" s="2"/>
      <c r="G65" s="2"/>
      <c r="H65" s="2"/>
      <c r="I65" s="2"/>
      <c r="J65" s="2"/>
    </row>
    <row r="66" spans="1:10" ht="13.8" x14ac:dyDescent="0.3">
      <c r="A66" s="16" t="s">
        <v>1455</v>
      </c>
      <c r="D66" s="2"/>
      <c r="E66" s="2">
        <v>104139</v>
      </c>
      <c r="F66" s="2">
        <v>121633</v>
      </c>
      <c r="G66" s="2">
        <v>134081</v>
      </c>
      <c r="H66" s="2">
        <v>134081</v>
      </c>
      <c r="I66" s="2">
        <v>134081</v>
      </c>
      <c r="J66" s="2">
        <v>134264</v>
      </c>
    </row>
    <row r="67" spans="1:10" hidden="1" x14ac:dyDescent="0.25">
      <c r="A67" s="14" t="s">
        <v>923</v>
      </c>
      <c r="B67" s="2">
        <f>+B58</f>
        <v>38896</v>
      </c>
      <c r="C67" s="15">
        <v>0.1215</v>
      </c>
      <c r="D67" s="2">
        <f>ROUND(B67*C67,0)</f>
        <v>4726</v>
      </c>
      <c r="E67" s="2"/>
      <c r="F67" s="2"/>
      <c r="G67" s="2"/>
      <c r="H67" s="2"/>
      <c r="I67" s="2"/>
      <c r="J67" s="2"/>
    </row>
    <row r="68" spans="1:10" hidden="1" x14ac:dyDescent="0.25">
      <c r="A68" s="25">
        <v>8103</v>
      </c>
      <c r="B68" s="2">
        <f>+D15</f>
        <v>195258.23999999999</v>
      </c>
      <c r="C68" s="15">
        <v>0.1215</v>
      </c>
      <c r="D68" s="2">
        <f>ROUND(B68*C68,0)</f>
        <v>23724</v>
      </c>
      <c r="E68" s="2"/>
      <c r="F68" s="2"/>
      <c r="G68" s="2"/>
      <c r="H68" s="2"/>
      <c r="I68" s="2"/>
      <c r="J68" s="2"/>
    </row>
    <row r="69" spans="1:10" hidden="1" x14ac:dyDescent="0.25">
      <c r="A69" s="14" t="s">
        <v>831</v>
      </c>
      <c r="B69" s="2">
        <f>+D38</f>
        <v>759397</v>
      </c>
      <c r="C69" s="15">
        <v>0.1215</v>
      </c>
      <c r="D69" s="2">
        <f>ROUND(B69*C69,0)</f>
        <v>92267</v>
      </c>
      <c r="E69" s="2"/>
      <c r="F69" s="2"/>
      <c r="G69" s="2"/>
      <c r="H69" s="2"/>
      <c r="I69" s="2"/>
      <c r="J69" s="2"/>
    </row>
    <row r="70" spans="1:10" hidden="1" x14ac:dyDescent="0.25">
      <c r="A70" s="14" t="s">
        <v>924</v>
      </c>
      <c r="B70" s="2">
        <f>+B61</f>
        <v>30000</v>
      </c>
      <c r="C70" s="15">
        <v>0.1215</v>
      </c>
      <c r="D70" s="2">
        <f>ROUND(B70*C70,0)</f>
        <v>3645</v>
      </c>
      <c r="E70" s="2"/>
      <c r="F70" s="2"/>
      <c r="G70" s="2"/>
      <c r="H70" s="2"/>
      <c r="I70" s="2"/>
      <c r="J70" s="2"/>
    </row>
    <row r="71" spans="1:10" ht="15" hidden="1" x14ac:dyDescent="0.4">
      <c r="A71" s="14" t="s">
        <v>202</v>
      </c>
      <c r="B71" s="2">
        <f>+D55</f>
        <v>81500</v>
      </c>
      <c r="C71" s="15">
        <v>0.1215</v>
      </c>
      <c r="D71" s="12">
        <f>ROUND(B71*C71,0)</f>
        <v>9902</v>
      </c>
      <c r="E71" s="2"/>
      <c r="F71" s="2"/>
      <c r="G71" s="2"/>
      <c r="H71" s="2"/>
      <c r="I71" s="2"/>
      <c r="J71" s="2"/>
    </row>
    <row r="72" spans="1:10" hidden="1" x14ac:dyDescent="0.25">
      <c r="A72" s="8" t="s">
        <v>1279</v>
      </c>
      <c r="D72" s="2">
        <f>SUM(D67:D71)</f>
        <v>134264</v>
      </c>
      <c r="E72" s="2"/>
      <c r="F72" s="2"/>
      <c r="G72" s="2"/>
      <c r="H72" s="2"/>
      <c r="I72" s="2"/>
      <c r="J72" s="2"/>
    </row>
    <row r="73" spans="1:10" x14ac:dyDescent="0.25">
      <c r="D73" s="2"/>
      <c r="E73" s="2"/>
      <c r="F73" s="2"/>
      <c r="G73" s="2"/>
      <c r="H73" s="2"/>
      <c r="I73" s="2"/>
      <c r="J73" s="2"/>
    </row>
    <row r="74" spans="1:10" ht="13.8" x14ac:dyDescent="0.3">
      <c r="A74" s="11" t="s">
        <v>1456</v>
      </c>
      <c r="D74" s="2"/>
      <c r="E74" s="2">
        <v>387566</v>
      </c>
      <c r="F74" s="2">
        <v>383000</v>
      </c>
      <c r="G74" s="2">
        <v>379500</v>
      </c>
      <c r="H74" s="2">
        <v>379500</v>
      </c>
      <c r="I74" s="2">
        <v>379500</v>
      </c>
      <c r="J74" s="2">
        <v>379500</v>
      </c>
    </row>
    <row r="75" spans="1:10" x14ac:dyDescent="0.25">
      <c r="A75" s="8" t="s">
        <v>324</v>
      </c>
      <c r="B75" s="2">
        <v>18</v>
      </c>
      <c r="C75" s="2">
        <v>17250</v>
      </c>
      <c r="D75" s="2">
        <f>ROUND(B75*C75,0)</f>
        <v>310500</v>
      </c>
      <c r="E75" s="2"/>
      <c r="F75" s="2"/>
      <c r="G75" s="2"/>
      <c r="H75" s="2"/>
      <c r="I75" s="2"/>
      <c r="J75" s="2"/>
    </row>
    <row r="76" spans="1:10" x14ac:dyDescent="0.25">
      <c r="A76" s="8" t="s">
        <v>325</v>
      </c>
      <c r="B76" s="2">
        <v>1</v>
      </c>
      <c r="C76" s="2">
        <v>17250</v>
      </c>
      <c r="D76" s="2">
        <f>ROUND(B76*C76,0)</f>
        <v>17250</v>
      </c>
      <c r="E76" s="2"/>
      <c r="F76" s="2"/>
      <c r="G76" s="2"/>
      <c r="H76" s="2"/>
      <c r="I76" s="2"/>
      <c r="J76" s="2"/>
    </row>
    <row r="77" spans="1:10" ht="15" x14ac:dyDescent="0.4">
      <c r="A77" s="8" t="s">
        <v>366</v>
      </c>
      <c r="B77" s="2">
        <v>3</v>
      </c>
      <c r="C77" s="2">
        <v>17250</v>
      </c>
      <c r="D77" s="12">
        <f>ROUND(B77*C77,0)</f>
        <v>51750</v>
      </c>
      <c r="E77" s="2"/>
      <c r="F77" s="2"/>
      <c r="G77" s="2"/>
      <c r="H77" s="2"/>
      <c r="I77" s="2"/>
      <c r="J77" s="2"/>
    </row>
    <row r="78" spans="1:10" x14ac:dyDescent="0.25">
      <c r="A78" s="8" t="s">
        <v>825</v>
      </c>
      <c r="B78" s="2"/>
      <c r="C78" s="2"/>
      <c r="D78" s="2">
        <f>SUM(D75:D77)</f>
        <v>379500</v>
      </c>
      <c r="E78" s="2"/>
      <c r="F78" s="2"/>
      <c r="G78" s="2"/>
      <c r="H78" s="2"/>
      <c r="I78" s="2"/>
      <c r="J78" s="2"/>
    </row>
    <row r="79" spans="1:10" x14ac:dyDescent="0.25">
      <c r="D79" s="2"/>
      <c r="E79" s="2"/>
      <c r="I79" s="209"/>
      <c r="J79" s="213"/>
    </row>
    <row r="80" spans="1:10" ht="13.8" x14ac:dyDescent="0.3">
      <c r="A80" s="11" t="s">
        <v>1457</v>
      </c>
      <c r="D80" s="2"/>
      <c r="E80" s="2">
        <v>25924</v>
      </c>
      <c r="F80" s="2">
        <v>20020</v>
      </c>
      <c r="G80" s="2">
        <v>20020</v>
      </c>
      <c r="H80" s="2">
        <v>20020</v>
      </c>
      <c r="I80" s="2">
        <v>20020</v>
      </c>
      <c r="J80" s="2">
        <v>20020</v>
      </c>
    </row>
    <row r="81" spans="1:10" x14ac:dyDescent="0.25">
      <c r="A81" s="8" t="s">
        <v>438</v>
      </c>
      <c r="B81" s="2">
        <v>22</v>
      </c>
      <c r="C81" s="2">
        <v>1300</v>
      </c>
      <c r="D81" s="2">
        <f>ROUND(B81*C81,0)</f>
        <v>28600</v>
      </c>
      <c r="E81" s="2"/>
      <c r="F81" s="2"/>
      <c r="G81" s="2"/>
      <c r="H81" s="2"/>
      <c r="I81" s="2"/>
      <c r="J81" s="2"/>
    </row>
    <row r="82" spans="1:10" ht="15" x14ac:dyDescent="0.4">
      <c r="A82" s="8" t="s">
        <v>627</v>
      </c>
      <c r="B82" s="2"/>
      <c r="C82" s="2"/>
      <c r="D82" s="12">
        <f>+D81*3*-0.1</f>
        <v>-8580</v>
      </c>
      <c r="E82" s="2"/>
      <c r="F82" s="2"/>
      <c r="G82" s="2"/>
      <c r="H82" s="2"/>
      <c r="I82" s="2"/>
      <c r="J82" s="2"/>
    </row>
    <row r="83" spans="1:10" x14ac:dyDescent="0.25">
      <c r="B83" s="2"/>
      <c r="C83" s="2"/>
      <c r="D83" s="2">
        <f>SUM(D81:D82)</f>
        <v>20020</v>
      </c>
      <c r="E83" s="2"/>
      <c r="F83" s="2"/>
      <c r="G83" s="2"/>
      <c r="H83" s="2"/>
      <c r="I83" s="2"/>
      <c r="J83" s="2"/>
    </row>
    <row r="84" spans="1:10" x14ac:dyDescent="0.25">
      <c r="D84" s="2"/>
      <c r="E84" s="2"/>
      <c r="F84" s="2"/>
      <c r="G84" s="2"/>
      <c r="H84" s="2"/>
      <c r="I84" s="2"/>
      <c r="J84" s="2"/>
    </row>
    <row r="85" spans="1:10" ht="13.8" x14ac:dyDescent="0.3">
      <c r="A85" s="11" t="s">
        <v>572</v>
      </c>
      <c r="D85" s="2"/>
      <c r="E85" s="2">
        <v>923</v>
      </c>
      <c r="F85" s="2">
        <v>1170</v>
      </c>
      <c r="G85" s="2">
        <v>1170</v>
      </c>
      <c r="H85" s="2">
        <v>1170</v>
      </c>
      <c r="I85" s="2">
        <v>1170</v>
      </c>
      <c r="J85" s="2">
        <v>1170</v>
      </c>
    </row>
    <row r="86" spans="1:10" hidden="1" x14ac:dyDescent="0.25">
      <c r="A86" s="8" t="s">
        <v>241</v>
      </c>
      <c r="B86" s="2">
        <v>1</v>
      </c>
      <c r="C86" s="2">
        <v>135</v>
      </c>
      <c r="D86" s="2">
        <f>ROUND(B86*C86,0)</f>
        <v>135</v>
      </c>
      <c r="E86" s="2"/>
      <c r="F86" s="2"/>
      <c r="G86" s="2"/>
      <c r="H86" s="2"/>
      <c r="I86" s="2"/>
      <c r="J86" s="2"/>
    </row>
    <row r="87" spans="1:10" hidden="1" x14ac:dyDescent="0.25">
      <c r="A87" s="8" t="s">
        <v>365</v>
      </c>
      <c r="B87" s="2">
        <v>3</v>
      </c>
      <c r="C87" s="2">
        <v>135</v>
      </c>
      <c r="D87" s="2">
        <f>ROUND(B87*C87,0)</f>
        <v>405</v>
      </c>
      <c r="E87" s="2"/>
      <c r="F87" s="2"/>
      <c r="G87" s="2"/>
      <c r="H87" s="2"/>
      <c r="I87" s="2"/>
      <c r="J87" s="2"/>
    </row>
    <row r="88" spans="1:10" ht="15" hidden="1" x14ac:dyDescent="0.4">
      <c r="A88" s="8" t="s">
        <v>334</v>
      </c>
      <c r="B88" s="2">
        <v>18</v>
      </c>
      <c r="C88" s="2">
        <v>35</v>
      </c>
      <c r="D88" s="12">
        <f>ROUND(B88*C88,0)</f>
        <v>630</v>
      </c>
      <c r="E88" s="2"/>
      <c r="F88" s="2"/>
      <c r="G88" s="2"/>
      <c r="H88" s="2"/>
      <c r="I88" s="2"/>
      <c r="J88" s="2"/>
    </row>
    <row r="89" spans="1:10" hidden="1" x14ac:dyDescent="0.25">
      <c r="A89" s="8" t="s">
        <v>1279</v>
      </c>
      <c r="D89" s="2">
        <f>SUM(D86:D88)</f>
        <v>1170</v>
      </c>
      <c r="E89" s="2"/>
      <c r="F89" s="2"/>
      <c r="G89" s="2"/>
      <c r="H89" s="2"/>
      <c r="I89" s="2"/>
      <c r="J89" s="2"/>
    </row>
    <row r="90" spans="1:10" x14ac:dyDescent="0.25">
      <c r="D90" s="2"/>
      <c r="E90" s="2"/>
      <c r="F90" s="2"/>
      <c r="G90" s="2"/>
      <c r="H90" s="2"/>
      <c r="I90" s="2"/>
      <c r="J90" s="2"/>
    </row>
    <row r="91" spans="1:10" ht="13.8" x14ac:dyDescent="0.3">
      <c r="A91" s="11" t="s">
        <v>1023</v>
      </c>
      <c r="D91" s="2"/>
      <c r="E91" s="2">
        <v>7944</v>
      </c>
      <c r="F91" s="2">
        <v>9020</v>
      </c>
      <c r="G91" s="2">
        <v>9020</v>
      </c>
      <c r="H91" s="2">
        <v>9020</v>
      </c>
      <c r="I91" s="2">
        <v>9020</v>
      </c>
      <c r="J91" s="2">
        <v>9020</v>
      </c>
    </row>
    <row r="92" spans="1:10" hidden="1" x14ac:dyDescent="0.25">
      <c r="A92" s="8" t="s">
        <v>241</v>
      </c>
      <c r="B92" s="2">
        <v>1</v>
      </c>
      <c r="C92" s="2">
        <v>410</v>
      </c>
      <c r="D92" s="2">
        <f>ROUND(B92*C92,0)</f>
        <v>410</v>
      </c>
      <c r="E92" s="2"/>
      <c r="F92" s="2"/>
      <c r="G92" s="2"/>
      <c r="H92" s="2"/>
      <c r="I92" s="2"/>
      <c r="J92" s="2"/>
    </row>
    <row r="93" spans="1:10" ht="15" hidden="1" x14ac:dyDescent="0.4">
      <c r="A93" s="8" t="s">
        <v>1452</v>
      </c>
      <c r="B93" s="2">
        <v>21</v>
      </c>
      <c r="C93" s="2">
        <v>410</v>
      </c>
      <c r="D93" s="12">
        <f>ROUND(B93*C93,0)</f>
        <v>8610</v>
      </c>
      <c r="E93" s="2"/>
      <c r="F93" s="2"/>
      <c r="G93" s="2"/>
      <c r="H93" s="2"/>
      <c r="I93" s="2"/>
      <c r="J93" s="2"/>
    </row>
    <row r="94" spans="1:10" hidden="1" x14ac:dyDescent="0.25">
      <c r="A94" s="8" t="s">
        <v>1279</v>
      </c>
      <c r="D94" s="2">
        <f>SUM(D92:D93)</f>
        <v>9020</v>
      </c>
      <c r="E94" s="2"/>
      <c r="F94" s="2"/>
      <c r="G94" s="2"/>
      <c r="H94" s="2"/>
      <c r="I94" s="2"/>
      <c r="J94" s="2"/>
    </row>
    <row r="95" spans="1:10" x14ac:dyDescent="0.25">
      <c r="D95" s="2"/>
      <c r="E95" s="2"/>
      <c r="F95" s="2"/>
      <c r="G95" s="2"/>
      <c r="H95" s="2"/>
      <c r="I95" s="2"/>
      <c r="J95" s="2"/>
    </row>
    <row r="96" spans="1:10" ht="13.8" x14ac:dyDescent="0.3">
      <c r="A96" s="11" t="s">
        <v>1024</v>
      </c>
      <c r="D96" s="2"/>
      <c r="E96" s="2">
        <v>26436</v>
      </c>
      <c r="F96" s="2">
        <v>32413</v>
      </c>
      <c r="G96" s="2">
        <v>33744</v>
      </c>
      <c r="H96" s="2">
        <v>34265</v>
      </c>
      <c r="I96" s="2">
        <v>34265</v>
      </c>
      <c r="J96" s="2">
        <v>34315</v>
      </c>
    </row>
    <row r="97" spans="1:10" hidden="1" x14ac:dyDescent="0.25">
      <c r="A97" s="14" t="s">
        <v>923</v>
      </c>
      <c r="B97" s="2">
        <f>+B67</f>
        <v>38896</v>
      </c>
      <c r="C97" s="15">
        <v>1.6999999999999999E-3</v>
      </c>
      <c r="D97" s="2">
        <f>ROUND(B97*C97,0)-3</f>
        <v>63</v>
      </c>
      <c r="E97" s="2"/>
      <c r="F97" s="2"/>
      <c r="G97" s="2"/>
      <c r="H97" s="2"/>
      <c r="I97" s="2"/>
      <c r="J97" s="2"/>
    </row>
    <row r="98" spans="1:10" hidden="1" x14ac:dyDescent="0.25">
      <c r="A98" s="14" t="s">
        <v>1511</v>
      </c>
      <c r="B98" s="2">
        <f>+D15</f>
        <v>195258.23999999999</v>
      </c>
      <c r="C98" s="15">
        <v>3.3300000000000003E-2</v>
      </c>
      <c r="D98" s="2">
        <f>ROUND(B98*C98,0)-25</f>
        <v>6477</v>
      </c>
      <c r="E98" s="2"/>
      <c r="F98" s="2"/>
      <c r="G98" s="2"/>
      <c r="H98" s="2"/>
      <c r="I98" s="2"/>
      <c r="J98" s="2"/>
    </row>
    <row r="99" spans="1:10" hidden="1" x14ac:dyDescent="0.25">
      <c r="A99" s="14" t="s">
        <v>831</v>
      </c>
      <c r="B99" s="2">
        <f>+D38</f>
        <v>759397</v>
      </c>
      <c r="C99" s="15">
        <v>3.3300000000000003E-2</v>
      </c>
      <c r="D99" s="2">
        <f>ROUND(B99*C99,0)</f>
        <v>25288</v>
      </c>
      <c r="E99" s="2"/>
      <c r="F99" s="2"/>
      <c r="G99" s="2"/>
      <c r="H99" s="2"/>
      <c r="I99" s="2"/>
      <c r="J99" s="2"/>
    </row>
    <row r="100" spans="1:10" hidden="1" x14ac:dyDescent="0.25">
      <c r="A100" s="14" t="s">
        <v>309</v>
      </c>
      <c r="B100" s="2">
        <f>ROUND(+D45*0.67,0)</f>
        <v>20100</v>
      </c>
      <c r="C100" s="15">
        <f>+C99*0.67</f>
        <v>2.2311000000000004E-2</v>
      </c>
      <c r="D100" s="2">
        <f>ROUND(B100*C100,0)</f>
        <v>448</v>
      </c>
      <c r="E100" s="2"/>
      <c r="F100" s="2"/>
      <c r="G100" s="2"/>
      <c r="H100" s="2"/>
      <c r="I100" s="2"/>
      <c r="J100" s="2"/>
    </row>
    <row r="101" spans="1:10" hidden="1" x14ac:dyDescent="0.25">
      <c r="A101" s="14" t="s">
        <v>201</v>
      </c>
      <c r="B101" s="2">
        <f>+D48</f>
        <v>23040</v>
      </c>
      <c r="C101" s="15">
        <v>3.49E-2</v>
      </c>
      <c r="D101" s="2">
        <f>ROUND(B101*C101,0)</f>
        <v>804</v>
      </c>
      <c r="E101" s="2"/>
      <c r="F101" s="2"/>
      <c r="G101" s="2"/>
      <c r="H101" s="2"/>
      <c r="I101" s="2"/>
      <c r="J101" s="2"/>
    </row>
    <row r="102" spans="1:10" ht="15" hidden="1" x14ac:dyDescent="0.4">
      <c r="A102" s="14" t="s">
        <v>354</v>
      </c>
      <c r="B102" s="2">
        <f>ROUND(D55*0.67,0)</f>
        <v>54605</v>
      </c>
      <c r="C102" s="15">
        <f>+C99*0.67</f>
        <v>2.2311000000000004E-2</v>
      </c>
      <c r="D102" s="12">
        <f>ROUND(B102*C102,0)+17</f>
        <v>1235</v>
      </c>
      <c r="E102" s="2"/>
      <c r="F102" s="2"/>
      <c r="G102" s="2"/>
      <c r="H102" s="2"/>
      <c r="I102" s="2"/>
      <c r="J102" s="2"/>
    </row>
    <row r="103" spans="1:10" hidden="1" x14ac:dyDescent="0.25">
      <c r="A103" s="8" t="s">
        <v>1279</v>
      </c>
      <c r="D103" s="2">
        <f>SUM(D97:D102)</f>
        <v>34315</v>
      </c>
      <c r="E103" s="2"/>
      <c r="F103" s="2"/>
      <c r="G103" s="2"/>
      <c r="H103" s="2"/>
      <c r="I103" s="2"/>
      <c r="J103" s="2"/>
    </row>
    <row r="104" spans="1:10" x14ac:dyDescent="0.25">
      <c r="D104" s="2"/>
      <c r="E104" s="2"/>
      <c r="F104" s="2"/>
      <c r="G104" s="2"/>
      <c r="H104" s="2"/>
      <c r="I104" s="2"/>
      <c r="J104" s="2"/>
    </row>
    <row r="105" spans="1:10" ht="13.8" x14ac:dyDescent="0.3">
      <c r="A105" s="11" t="s">
        <v>1025</v>
      </c>
      <c r="D105" s="2"/>
      <c r="E105" s="2">
        <v>1058</v>
      </c>
      <c r="F105" s="2">
        <v>1169</v>
      </c>
      <c r="G105" s="2">
        <v>863</v>
      </c>
      <c r="H105" s="2">
        <v>863</v>
      </c>
      <c r="I105" s="2">
        <v>863</v>
      </c>
      <c r="J105" s="2">
        <v>863</v>
      </c>
    </row>
    <row r="106" spans="1:10" hidden="1" x14ac:dyDescent="0.25">
      <c r="A106" s="8" t="s">
        <v>637</v>
      </c>
      <c r="B106" s="2">
        <v>23</v>
      </c>
      <c r="C106" s="2">
        <v>35</v>
      </c>
      <c r="D106" s="2">
        <f>ROUND(B106*C106,0)</f>
        <v>805</v>
      </c>
      <c r="E106" s="2"/>
      <c r="F106" s="2"/>
      <c r="G106" s="2"/>
      <c r="H106" s="2"/>
      <c r="I106" s="2"/>
      <c r="J106" s="2"/>
    </row>
    <row r="107" spans="1:10" ht="15" hidden="1" x14ac:dyDescent="0.4">
      <c r="A107" s="8" t="s">
        <v>1138</v>
      </c>
      <c r="B107" s="2">
        <f>+B62</f>
        <v>23040</v>
      </c>
      <c r="C107" s="110">
        <v>2.5000000000000001E-3</v>
      </c>
      <c r="D107" s="12">
        <f>ROUND(B107*C107,0)</f>
        <v>58</v>
      </c>
      <c r="E107" s="2"/>
      <c r="F107" s="2"/>
      <c r="G107" s="2"/>
      <c r="H107" s="2"/>
      <c r="I107" s="2"/>
      <c r="J107" s="2"/>
    </row>
    <row r="108" spans="1:10" hidden="1" x14ac:dyDescent="0.25">
      <c r="A108" s="8" t="s">
        <v>1279</v>
      </c>
      <c r="D108" s="2">
        <f>SUM(D106:D107)</f>
        <v>863</v>
      </c>
      <c r="E108" s="2"/>
      <c r="F108" s="2"/>
      <c r="G108" s="2"/>
      <c r="H108" s="2"/>
      <c r="I108" s="2"/>
      <c r="J108" s="2"/>
    </row>
    <row r="109" spans="1:10" x14ac:dyDescent="0.25">
      <c r="D109" s="2"/>
      <c r="E109" s="2"/>
      <c r="F109" s="2"/>
      <c r="G109" s="2"/>
      <c r="H109" s="2"/>
      <c r="I109" s="2"/>
      <c r="J109" s="2"/>
    </row>
    <row r="110" spans="1:10" ht="13.8" x14ac:dyDescent="0.3">
      <c r="A110" s="11" t="s">
        <v>1026</v>
      </c>
      <c r="D110" s="2"/>
      <c r="E110" s="2">
        <v>1425</v>
      </c>
      <c r="F110" s="2">
        <v>2200</v>
      </c>
      <c r="G110" s="2">
        <v>2200</v>
      </c>
      <c r="H110" s="2">
        <v>2200</v>
      </c>
      <c r="I110" s="2">
        <v>2200</v>
      </c>
      <c r="J110" s="2">
        <v>2200</v>
      </c>
    </row>
    <row r="111" spans="1:10" x14ac:dyDescent="0.25">
      <c r="A111" s="8" t="s">
        <v>1832</v>
      </c>
      <c r="C111" s="2"/>
      <c r="D111" s="2">
        <v>2200</v>
      </c>
      <c r="E111" s="2"/>
      <c r="F111" s="2"/>
      <c r="G111" s="2"/>
      <c r="H111" s="2"/>
      <c r="I111" s="2"/>
      <c r="J111" s="2"/>
    </row>
    <row r="112" spans="1:10" x14ac:dyDescent="0.25">
      <c r="A112" s="8" t="s">
        <v>2155</v>
      </c>
      <c r="C112" s="19"/>
      <c r="D112" s="2"/>
      <c r="E112" s="2"/>
      <c r="F112" s="2"/>
      <c r="G112" s="2"/>
      <c r="H112" s="2"/>
      <c r="I112" s="2"/>
      <c r="J112" s="2"/>
    </row>
    <row r="113" spans="1:10" x14ac:dyDescent="0.25">
      <c r="A113" s="8" t="s">
        <v>417</v>
      </c>
      <c r="C113" s="2"/>
      <c r="D113" s="2" t="s">
        <v>417</v>
      </c>
      <c r="E113" s="2"/>
      <c r="F113" s="2"/>
      <c r="G113" s="2"/>
      <c r="H113" s="2"/>
      <c r="I113" s="2"/>
      <c r="J113" s="2"/>
    </row>
    <row r="114" spans="1:10" ht="13.8" x14ac:dyDescent="0.3">
      <c r="A114" s="11" t="s">
        <v>1041</v>
      </c>
      <c r="C114" s="19"/>
      <c r="D114" s="2"/>
      <c r="E114" s="2">
        <v>735</v>
      </c>
      <c r="F114" s="2">
        <v>1200</v>
      </c>
      <c r="G114" s="2">
        <v>1200</v>
      </c>
      <c r="H114" s="2">
        <v>1200</v>
      </c>
      <c r="I114" s="2">
        <v>1200</v>
      </c>
      <c r="J114" s="2">
        <v>1200</v>
      </c>
    </row>
    <row r="115" spans="1:10" x14ac:dyDescent="0.25">
      <c r="A115" s="8" t="s">
        <v>644</v>
      </c>
      <c r="C115" s="2"/>
      <c r="D115" s="2">
        <v>1200</v>
      </c>
      <c r="E115" s="2"/>
      <c r="F115" s="2"/>
      <c r="G115" s="2"/>
      <c r="H115" s="2"/>
      <c r="I115" s="2"/>
      <c r="J115" s="2"/>
    </row>
    <row r="116" spans="1:10" x14ac:dyDescent="0.25">
      <c r="C116" s="19"/>
      <c r="D116" s="2"/>
      <c r="E116" s="2"/>
      <c r="F116" s="2"/>
      <c r="G116" s="2"/>
      <c r="H116" s="2"/>
      <c r="I116" s="2"/>
      <c r="J116" s="2"/>
    </row>
    <row r="117" spans="1:10" ht="13.8" x14ac:dyDescent="0.3">
      <c r="A117" s="11" t="s">
        <v>1042</v>
      </c>
      <c r="C117" s="2"/>
      <c r="D117" s="2"/>
      <c r="E117" s="2">
        <v>6397</v>
      </c>
      <c r="F117" s="2">
        <v>9700</v>
      </c>
      <c r="G117" s="2">
        <v>9700</v>
      </c>
      <c r="H117" s="2">
        <v>9700</v>
      </c>
      <c r="I117" s="2">
        <v>9700</v>
      </c>
      <c r="J117" s="2">
        <v>9700</v>
      </c>
    </row>
    <row r="118" spans="1:10" x14ac:dyDescent="0.25">
      <c r="A118" s="7" t="s">
        <v>1043</v>
      </c>
      <c r="B118" s="7"/>
      <c r="C118" s="19"/>
      <c r="D118" s="2">
        <v>6700</v>
      </c>
      <c r="E118" s="2"/>
      <c r="F118" s="2"/>
      <c r="G118" s="2"/>
      <c r="H118" s="2"/>
      <c r="I118" s="2"/>
      <c r="J118" s="2"/>
    </row>
    <row r="119" spans="1:10" x14ac:dyDescent="0.25">
      <c r="A119" s="8" t="s">
        <v>1833</v>
      </c>
      <c r="C119" s="2"/>
      <c r="D119" s="2"/>
      <c r="E119" s="2"/>
      <c r="F119" s="2"/>
      <c r="G119" s="2"/>
      <c r="H119" s="2"/>
      <c r="I119" s="2"/>
      <c r="J119" s="2"/>
    </row>
    <row r="120" spans="1:10" x14ac:dyDescent="0.25">
      <c r="A120" s="27" t="s">
        <v>71</v>
      </c>
      <c r="B120" s="27"/>
      <c r="C120" s="28"/>
      <c r="D120" s="52">
        <v>3000</v>
      </c>
      <c r="E120" s="2"/>
      <c r="F120" s="2"/>
      <c r="G120" s="2"/>
      <c r="H120" s="2"/>
      <c r="I120" s="2"/>
      <c r="J120" s="2"/>
    </row>
    <row r="121" spans="1:10" x14ac:dyDescent="0.25">
      <c r="A121" s="27" t="s">
        <v>1279</v>
      </c>
      <c r="B121" s="27"/>
      <c r="C121" s="28"/>
      <c r="D121" s="28">
        <f>SUM(D118:D120)</f>
        <v>9700</v>
      </c>
      <c r="E121" s="2"/>
      <c r="F121" s="2"/>
      <c r="G121" s="2"/>
      <c r="H121" s="2"/>
      <c r="I121" s="2"/>
      <c r="J121" s="2"/>
    </row>
    <row r="122" spans="1:10" x14ac:dyDescent="0.25">
      <c r="A122" s="27"/>
      <c r="B122" s="27"/>
      <c r="C122" s="28"/>
      <c r="D122" s="28"/>
      <c r="E122" s="2"/>
      <c r="F122" s="2"/>
      <c r="G122" s="2"/>
      <c r="H122" s="2"/>
      <c r="I122" s="2"/>
      <c r="J122" s="2"/>
    </row>
    <row r="123" spans="1:10" ht="13.8" x14ac:dyDescent="0.3">
      <c r="A123" s="11" t="s">
        <v>1044</v>
      </c>
      <c r="C123" s="2"/>
      <c r="D123" s="2"/>
      <c r="E123" s="2">
        <v>11185</v>
      </c>
      <c r="F123" s="2">
        <v>9780</v>
      </c>
      <c r="G123" s="2">
        <v>9780</v>
      </c>
      <c r="H123" s="2">
        <v>9780</v>
      </c>
      <c r="I123" s="2">
        <v>9780</v>
      </c>
      <c r="J123" s="2">
        <v>9780</v>
      </c>
    </row>
    <row r="124" spans="1:10" x14ac:dyDescent="0.25">
      <c r="A124" s="8" t="s">
        <v>682</v>
      </c>
      <c r="B124" s="2">
        <v>18</v>
      </c>
      <c r="C124" s="2">
        <v>200</v>
      </c>
      <c r="D124" s="2">
        <f t="shared" ref="D124:D130" si="2">ROUND(B124*C124,0)</f>
        <v>3600</v>
      </c>
      <c r="E124" s="2"/>
      <c r="F124" s="2"/>
      <c r="G124" s="2"/>
      <c r="H124" s="2"/>
      <c r="I124" s="2"/>
      <c r="J124" s="2"/>
    </row>
    <row r="125" spans="1:10" x14ac:dyDescent="0.25">
      <c r="A125" s="8" t="s">
        <v>958</v>
      </c>
      <c r="B125" s="2">
        <v>18</v>
      </c>
      <c r="C125" s="2">
        <v>203</v>
      </c>
      <c r="D125" s="2">
        <f t="shared" si="2"/>
        <v>3654</v>
      </c>
      <c r="E125" s="2"/>
      <c r="F125" s="2"/>
      <c r="G125" s="2"/>
      <c r="H125" s="2"/>
      <c r="I125" s="2"/>
      <c r="J125" s="2"/>
    </row>
    <row r="126" spans="1:10" x14ac:dyDescent="0.25">
      <c r="A126" s="8" t="s">
        <v>1092</v>
      </c>
      <c r="B126" s="2">
        <v>2</v>
      </c>
      <c r="C126" s="2">
        <v>130</v>
      </c>
      <c r="D126" s="2">
        <f t="shared" si="2"/>
        <v>260</v>
      </c>
      <c r="E126" s="2"/>
      <c r="F126" s="2"/>
      <c r="G126" s="2"/>
      <c r="H126" s="2"/>
      <c r="I126" s="2"/>
      <c r="J126" s="2"/>
    </row>
    <row r="127" spans="1:10" x14ac:dyDescent="0.25">
      <c r="A127" s="8" t="s">
        <v>1093</v>
      </c>
      <c r="B127" s="2">
        <v>2</v>
      </c>
      <c r="C127" s="2">
        <v>203</v>
      </c>
      <c r="D127" s="2">
        <f t="shared" si="2"/>
        <v>406</v>
      </c>
      <c r="E127" s="2"/>
      <c r="F127" s="2"/>
      <c r="G127" s="2"/>
      <c r="H127" s="2"/>
      <c r="I127" s="2"/>
      <c r="J127" s="2"/>
    </row>
    <row r="128" spans="1:10" x14ac:dyDescent="0.25">
      <c r="A128" s="8" t="s">
        <v>1094</v>
      </c>
      <c r="B128" s="2">
        <v>1</v>
      </c>
      <c r="C128" s="2">
        <v>225</v>
      </c>
      <c r="D128" s="2">
        <f t="shared" si="2"/>
        <v>225</v>
      </c>
      <c r="E128" s="2"/>
      <c r="F128" s="2"/>
      <c r="G128" s="2"/>
      <c r="H128" s="2"/>
      <c r="I128" s="2"/>
      <c r="J128" s="2"/>
    </row>
    <row r="129" spans="1:10" x14ac:dyDescent="0.25">
      <c r="A129" s="8" t="s">
        <v>1834</v>
      </c>
      <c r="B129" s="2">
        <v>1</v>
      </c>
      <c r="C129" s="2">
        <v>255</v>
      </c>
      <c r="D129" s="2">
        <f t="shared" si="2"/>
        <v>255</v>
      </c>
      <c r="E129" s="2"/>
      <c r="F129" s="2"/>
      <c r="G129" s="2"/>
      <c r="H129" s="2"/>
      <c r="I129" s="2"/>
      <c r="J129" s="2"/>
    </row>
    <row r="130" spans="1:10" ht="15" x14ac:dyDescent="0.4">
      <c r="A130" s="8" t="s">
        <v>1095</v>
      </c>
      <c r="B130" s="2">
        <v>23</v>
      </c>
      <c r="C130" s="12">
        <v>60</v>
      </c>
      <c r="D130" s="12">
        <f t="shared" si="2"/>
        <v>1380</v>
      </c>
      <c r="E130" s="2"/>
      <c r="F130" s="2"/>
      <c r="G130" s="2"/>
      <c r="H130" s="2"/>
      <c r="I130" s="2"/>
      <c r="J130" s="2"/>
    </row>
    <row r="131" spans="1:10" x14ac:dyDescent="0.25">
      <c r="A131" s="8" t="s">
        <v>1279</v>
      </c>
      <c r="C131" s="2"/>
      <c r="D131" s="2">
        <f>SUM(D124:D130)</f>
        <v>9780</v>
      </c>
      <c r="E131" s="2"/>
      <c r="F131" s="2"/>
      <c r="G131" s="2"/>
      <c r="H131" s="2"/>
      <c r="I131" s="2"/>
      <c r="J131" s="2"/>
    </row>
    <row r="132" spans="1:10" x14ac:dyDescent="0.25">
      <c r="C132" s="2"/>
      <c r="D132" s="2"/>
      <c r="E132" s="2"/>
      <c r="F132" s="2"/>
      <c r="G132" s="2"/>
      <c r="H132" s="2"/>
      <c r="I132" s="2"/>
      <c r="J132" s="2"/>
    </row>
    <row r="133" spans="1:10" ht="13.8" x14ac:dyDescent="0.3">
      <c r="A133" s="11" t="s">
        <v>1107</v>
      </c>
      <c r="C133" s="2"/>
      <c r="D133" s="2"/>
      <c r="E133" s="2">
        <v>0</v>
      </c>
      <c r="F133" s="2">
        <v>1000</v>
      </c>
      <c r="G133" s="2">
        <v>1000</v>
      </c>
      <c r="H133" s="2">
        <v>1000</v>
      </c>
      <c r="I133" s="2">
        <v>1000</v>
      </c>
      <c r="J133" s="2">
        <v>1000</v>
      </c>
    </row>
    <row r="134" spans="1:10" x14ac:dyDescent="0.25">
      <c r="A134" s="25" t="s">
        <v>1367</v>
      </c>
      <c r="C134" s="2"/>
      <c r="D134" s="2">
        <v>1000</v>
      </c>
      <c r="E134" s="2"/>
      <c r="F134" s="2"/>
      <c r="G134" s="2"/>
      <c r="H134" s="2"/>
      <c r="I134" s="2"/>
      <c r="J134" s="2"/>
    </row>
    <row r="135" spans="1:10" x14ac:dyDescent="0.25">
      <c r="C135" s="19"/>
      <c r="D135" s="2"/>
      <c r="E135" s="2"/>
      <c r="F135" s="2"/>
      <c r="G135" s="2"/>
      <c r="H135" s="2"/>
      <c r="I135" s="2"/>
      <c r="J135" s="2"/>
    </row>
    <row r="136" spans="1:10" ht="13.8" x14ac:dyDescent="0.3">
      <c r="A136" s="11" t="s">
        <v>1368</v>
      </c>
      <c r="C136" s="2"/>
      <c r="D136" s="2"/>
      <c r="E136" s="2">
        <v>41</v>
      </c>
      <c r="F136" s="2">
        <v>100</v>
      </c>
      <c r="G136" s="2">
        <v>100</v>
      </c>
      <c r="H136" s="2">
        <v>100</v>
      </c>
      <c r="I136" s="2">
        <v>100</v>
      </c>
      <c r="J136" s="2">
        <v>100</v>
      </c>
    </row>
    <row r="137" spans="1:10" x14ac:dyDescent="0.25">
      <c r="A137" s="8" t="s">
        <v>1835</v>
      </c>
      <c r="C137" s="2"/>
      <c r="D137" s="2">
        <v>100</v>
      </c>
      <c r="E137" s="2"/>
      <c r="F137" s="2"/>
      <c r="G137" s="2"/>
      <c r="H137" s="2"/>
      <c r="I137" s="2"/>
      <c r="J137" s="2"/>
    </row>
    <row r="138" spans="1:10" x14ac:dyDescent="0.25">
      <c r="C138" s="2"/>
      <c r="D138" s="2"/>
      <c r="E138" s="2"/>
      <c r="F138" s="2"/>
      <c r="G138" s="2"/>
      <c r="H138" s="2"/>
      <c r="I138" s="2"/>
      <c r="J138" s="2"/>
    </row>
    <row r="139" spans="1:10" ht="13.8" x14ac:dyDescent="0.3">
      <c r="A139" s="11" t="s">
        <v>1580</v>
      </c>
      <c r="C139" s="2"/>
      <c r="D139" s="2"/>
      <c r="E139" s="2">
        <v>27</v>
      </c>
      <c r="F139" s="2">
        <v>50</v>
      </c>
      <c r="G139" s="2">
        <v>50</v>
      </c>
      <c r="H139" s="2">
        <v>50</v>
      </c>
      <c r="I139" s="2">
        <v>50</v>
      </c>
      <c r="J139" s="2">
        <v>50</v>
      </c>
    </row>
    <row r="140" spans="1:10" ht="13.8" x14ac:dyDescent="0.3">
      <c r="A140" s="11"/>
      <c r="C140" s="19"/>
      <c r="D140" s="2">
        <v>50</v>
      </c>
      <c r="E140" s="2"/>
      <c r="F140" s="2"/>
      <c r="G140" s="2"/>
      <c r="H140" s="2"/>
      <c r="I140" s="2"/>
      <c r="J140" s="2"/>
    </row>
    <row r="141" spans="1:10" x14ac:dyDescent="0.25">
      <c r="C141" s="2"/>
      <c r="D141" s="2"/>
      <c r="E141" s="2"/>
      <c r="F141" s="2"/>
      <c r="G141" s="2"/>
      <c r="H141" s="2"/>
      <c r="I141" s="2"/>
      <c r="J141" s="2"/>
    </row>
    <row r="142" spans="1:10" ht="13.8" x14ac:dyDescent="0.3">
      <c r="A142" s="11" t="s">
        <v>1369</v>
      </c>
      <c r="C142" s="2"/>
      <c r="D142" s="2"/>
      <c r="E142" s="2">
        <v>11300</v>
      </c>
      <c r="F142" s="2">
        <v>14175</v>
      </c>
      <c r="G142" s="2">
        <v>13100</v>
      </c>
      <c r="H142" s="2">
        <v>13100</v>
      </c>
      <c r="I142" s="2">
        <v>13100</v>
      </c>
      <c r="J142" s="2">
        <v>13100</v>
      </c>
    </row>
    <row r="143" spans="1:10" x14ac:dyDescent="0.25">
      <c r="A143" s="8" t="s">
        <v>183</v>
      </c>
      <c r="B143" s="2"/>
      <c r="C143" s="2"/>
      <c r="D143" s="2">
        <v>12500</v>
      </c>
      <c r="E143" s="2"/>
      <c r="F143" s="2"/>
      <c r="G143" s="2"/>
      <c r="H143" s="2"/>
      <c r="I143" s="2"/>
      <c r="J143" s="2"/>
    </row>
    <row r="144" spans="1:10" x14ac:dyDescent="0.25">
      <c r="A144" s="8" t="s">
        <v>1294</v>
      </c>
      <c r="B144" s="2"/>
      <c r="C144" s="2"/>
      <c r="D144" s="19">
        <v>600</v>
      </c>
      <c r="E144" s="2"/>
      <c r="F144" s="2"/>
      <c r="G144" s="2"/>
      <c r="H144" s="2"/>
      <c r="I144" s="2"/>
      <c r="J144" s="2"/>
    </row>
    <row r="145" spans="1:10" x14ac:dyDescent="0.25">
      <c r="A145" s="8" t="s">
        <v>1279</v>
      </c>
      <c r="B145" s="2"/>
      <c r="C145" s="2"/>
      <c r="D145" s="2">
        <f>SUM(D143:D144)</f>
        <v>13100</v>
      </c>
      <c r="E145" s="2"/>
      <c r="F145" s="2"/>
      <c r="G145" s="2"/>
      <c r="H145" s="2"/>
      <c r="I145" s="2"/>
      <c r="J145" s="2"/>
    </row>
    <row r="146" spans="1:10" x14ac:dyDescent="0.25">
      <c r="B146" s="2"/>
      <c r="C146" s="2"/>
      <c r="D146" s="2"/>
      <c r="E146" s="2"/>
      <c r="F146" s="2"/>
      <c r="G146" s="2"/>
      <c r="H146" s="2"/>
      <c r="I146" s="2"/>
      <c r="J146" s="2"/>
    </row>
    <row r="147" spans="1:10" ht="13.8" x14ac:dyDescent="0.3">
      <c r="A147" s="11" t="s">
        <v>630</v>
      </c>
      <c r="B147" s="2"/>
      <c r="C147" s="19"/>
      <c r="D147" s="2"/>
      <c r="E147" s="2">
        <v>9379</v>
      </c>
      <c r="F147" s="2">
        <v>11340</v>
      </c>
      <c r="G147" s="2">
        <v>10500</v>
      </c>
      <c r="H147" s="2">
        <v>10500</v>
      </c>
      <c r="I147" s="2">
        <v>10500</v>
      </c>
      <c r="J147" s="2">
        <v>10500</v>
      </c>
    </row>
    <row r="148" spans="1:10" x14ac:dyDescent="0.25">
      <c r="A148" s="8" t="s">
        <v>183</v>
      </c>
      <c r="B148" s="2"/>
      <c r="C148" s="13"/>
      <c r="D148" s="2">
        <v>10500</v>
      </c>
      <c r="E148" s="2"/>
      <c r="F148" s="2"/>
      <c r="G148" s="2"/>
      <c r="H148" s="2"/>
      <c r="I148" s="2"/>
      <c r="J148" s="2"/>
    </row>
    <row r="149" spans="1:10" x14ac:dyDescent="0.25">
      <c r="B149" s="2"/>
      <c r="C149" s="13"/>
      <c r="D149" s="2"/>
      <c r="E149" s="2"/>
      <c r="F149" s="2"/>
      <c r="G149" s="2"/>
      <c r="H149" s="2"/>
      <c r="I149" s="2"/>
      <c r="J149" s="2"/>
    </row>
    <row r="150" spans="1:10" x14ac:dyDescent="0.25">
      <c r="B150" s="2"/>
      <c r="C150" s="2"/>
      <c r="D150" s="2"/>
      <c r="E150" s="2"/>
      <c r="F150" s="2"/>
      <c r="G150" s="2"/>
      <c r="H150" s="2"/>
      <c r="I150" s="2"/>
      <c r="J150" s="2"/>
    </row>
    <row r="151" spans="1:10" ht="13.8" x14ac:dyDescent="0.3">
      <c r="A151" s="11" t="s">
        <v>1545</v>
      </c>
      <c r="B151" s="2"/>
      <c r="C151" s="2"/>
      <c r="D151" s="2"/>
      <c r="E151" s="2">
        <v>907</v>
      </c>
      <c r="F151" s="2">
        <v>950</v>
      </c>
      <c r="G151" s="2">
        <v>875</v>
      </c>
      <c r="H151" s="2">
        <v>875</v>
      </c>
      <c r="I151" s="2">
        <v>875</v>
      </c>
      <c r="J151" s="2">
        <v>875</v>
      </c>
    </row>
    <row r="152" spans="1:10" x14ac:dyDescent="0.25">
      <c r="A152" s="8" t="s">
        <v>969</v>
      </c>
      <c r="B152" s="2"/>
      <c r="C152" s="2"/>
      <c r="D152" s="2">
        <v>875</v>
      </c>
      <c r="E152" s="2"/>
      <c r="F152" s="2"/>
      <c r="G152" s="2"/>
      <c r="H152" s="2"/>
      <c r="I152" s="2"/>
      <c r="J152" s="2"/>
    </row>
    <row r="153" spans="1:10" x14ac:dyDescent="0.25">
      <c r="B153" s="2"/>
      <c r="C153" s="2"/>
      <c r="D153" s="2"/>
      <c r="E153" s="2"/>
      <c r="F153" s="2"/>
      <c r="G153" s="2"/>
      <c r="H153" s="2"/>
      <c r="I153" s="2"/>
      <c r="J153" s="2"/>
    </row>
    <row r="154" spans="1:10" ht="13.8" x14ac:dyDescent="0.3">
      <c r="A154" s="11" t="s">
        <v>184</v>
      </c>
      <c r="B154" s="2"/>
      <c r="C154" s="2"/>
      <c r="D154" s="2"/>
      <c r="E154" s="2">
        <v>226</v>
      </c>
      <c r="F154" s="2">
        <v>226</v>
      </c>
      <c r="G154" s="2">
        <v>242</v>
      </c>
      <c r="H154" s="2">
        <v>242</v>
      </c>
      <c r="I154" s="2">
        <v>242</v>
      </c>
      <c r="J154" s="2">
        <v>242</v>
      </c>
    </row>
    <row r="155" spans="1:10" x14ac:dyDescent="0.25">
      <c r="A155" s="8" t="s">
        <v>969</v>
      </c>
      <c r="B155" s="2"/>
      <c r="C155" s="2"/>
      <c r="D155" s="2">
        <v>242</v>
      </c>
      <c r="E155" s="2"/>
      <c r="F155" s="2"/>
      <c r="G155" s="2"/>
      <c r="H155" s="2"/>
      <c r="I155" s="2"/>
      <c r="J155" s="2"/>
    </row>
    <row r="156" spans="1:10" x14ac:dyDescent="0.25">
      <c r="C156" s="2"/>
      <c r="D156" s="2"/>
      <c r="E156" s="2"/>
      <c r="F156" s="2"/>
      <c r="G156" s="2"/>
      <c r="H156" s="2"/>
      <c r="I156" s="2"/>
      <c r="J156" s="2"/>
    </row>
    <row r="157" spans="1:10" ht="13.8" x14ac:dyDescent="0.3">
      <c r="A157" s="11" t="s">
        <v>1546</v>
      </c>
      <c r="C157" s="2"/>
      <c r="D157" s="2"/>
      <c r="E157" s="2">
        <v>71299</v>
      </c>
      <c r="F157" s="2">
        <v>95160</v>
      </c>
      <c r="G157" s="2">
        <v>92875</v>
      </c>
      <c r="H157" s="2">
        <v>92875</v>
      </c>
      <c r="I157" s="2">
        <v>92875</v>
      </c>
      <c r="J157" s="2">
        <v>92875</v>
      </c>
    </row>
    <row r="158" spans="1:10" x14ac:dyDescent="0.25">
      <c r="A158" s="8" t="s">
        <v>1317</v>
      </c>
      <c r="B158" s="2">
        <v>9150</v>
      </c>
      <c r="C158" s="13">
        <v>2.5</v>
      </c>
      <c r="D158" s="2">
        <f>ROUND(B158*C158,0)</f>
        <v>22875</v>
      </c>
      <c r="E158" s="2"/>
      <c r="F158" s="2"/>
      <c r="G158" s="2"/>
      <c r="H158" s="2"/>
      <c r="I158" s="2"/>
      <c r="J158" s="2"/>
    </row>
    <row r="159" spans="1:10" ht="15" x14ac:dyDescent="0.4">
      <c r="A159" s="8" t="s">
        <v>1316</v>
      </c>
      <c r="B159" s="2">
        <v>25000</v>
      </c>
      <c r="C159" s="13">
        <v>2.8</v>
      </c>
      <c r="D159" s="12">
        <f>ROUND(B159*C159,0)</f>
        <v>70000</v>
      </c>
      <c r="E159" s="2"/>
      <c r="F159" s="2"/>
      <c r="G159" s="2"/>
      <c r="H159" s="2"/>
      <c r="I159" s="2"/>
      <c r="J159" s="2"/>
    </row>
    <row r="160" spans="1:10" x14ac:dyDescent="0.25">
      <c r="A160" s="8" t="s">
        <v>1279</v>
      </c>
      <c r="B160" s="2"/>
      <c r="C160" s="2"/>
      <c r="D160" s="2">
        <f>SUM(D158:D159)</f>
        <v>92875</v>
      </c>
      <c r="E160" s="2"/>
      <c r="F160" s="2"/>
      <c r="G160" s="2"/>
      <c r="H160" s="2"/>
      <c r="I160" s="2"/>
      <c r="J160" s="2"/>
    </row>
    <row r="161" spans="1:10" x14ac:dyDescent="0.25">
      <c r="B161" s="2"/>
      <c r="C161" s="2"/>
      <c r="D161" s="2"/>
      <c r="E161" s="2"/>
      <c r="F161" s="2"/>
      <c r="G161" s="2"/>
      <c r="H161" s="2"/>
      <c r="I161" s="2"/>
      <c r="J161" s="2"/>
    </row>
    <row r="162" spans="1:10" ht="13.8" x14ac:dyDescent="0.3">
      <c r="A162" s="11" t="s">
        <v>1547</v>
      </c>
      <c r="B162" s="2"/>
      <c r="C162" s="2"/>
      <c r="D162" s="2"/>
      <c r="E162" s="2">
        <v>5157</v>
      </c>
      <c r="F162" s="2">
        <v>5072</v>
      </c>
      <c r="G162" s="2">
        <v>6327</v>
      </c>
      <c r="H162" s="2">
        <v>6327</v>
      </c>
      <c r="I162" s="2">
        <v>6327</v>
      </c>
      <c r="J162" s="2">
        <v>6327</v>
      </c>
    </row>
    <row r="163" spans="1:10" x14ac:dyDescent="0.25">
      <c r="A163" s="8" t="s">
        <v>977</v>
      </c>
      <c r="B163" s="2"/>
      <c r="C163" s="2"/>
      <c r="D163" s="2">
        <v>1875</v>
      </c>
      <c r="E163" s="2"/>
      <c r="F163" s="2"/>
      <c r="G163" s="2"/>
      <c r="H163" s="2"/>
      <c r="I163" s="2"/>
      <c r="J163" s="2"/>
    </row>
    <row r="164" spans="1:10" x14ac:dyDescent="0.25">
      <c r="A164" s="8" t="s">
        <v>1295</v>
      </c>
      <c r="B164" s="2">
        <v>3</v>
      </c>
      <c r="C164" s="2"/>
      <c r="D164" s="2">
        <v>2760</v>
      </c>
      <c r="E164" s="2"/>
      <c r="F164" s="2"/>
      <c r="G164" s="2"/>
      <c r="H164" s="2"/>
      <c r="I164" s="2"/>
      <c r="J164" s="2"/>
    </row>
    <row r="165" spans="1:10" ht="15" x14ac:dyDescent="0.4">
      <c r="A165" s="8" t="s">
        <v>645</v>
      </c>
      <c r="B165" s="2">
        <v>12</v>
      </c>
      <c r="C165" s="2">
        <v>141</v>
      </c>
      <c r="D165" s="12">
        <f>B165*C165</f>
        <v>1692</v>
      </c>
      <c r="E165" s="2"/>
      <c r="F165" s="2"/>
      <c r="G165" s="2"/>
      <c r="H165" s="2"/>
      <c r="I165" s="2"/>
      <c r="J165" s="2"/>
    </row>
    <row r="166" spans="1:10" x14ac:dyDescent="0.25">
      <c r="B166" s="2"/>
      <c r="C166" s="2"/>
      <c r="D166" s="2">
        <f>SUM(D163:D165)</f>
        <v>6327</v>
      </c>
      <c r="E166" s="2"/>
      <c r="F166" s="2"/>
      <c r="G166" s="2"/>
      <c r="H166" s="2"/>
      <c r="I166" s="2"/>
      <c r="J166" s="2"/>
    </row>
    <row r="167" spans="1:10" x14ac:dyDescent="0.25">
      <c r="C167" s="19"/>
      <c r="D167" s="2"/>
      <c r="E167" s="2"/>
      <c r="F167" s="2"/>
      <c r="G167" s="2"/>
      <c r="H167" s="2"/>
      <c r="I167" s="2"/>
      <c r="J167" s="2"/>
    </row>
    <row r="168" spans="1:10" ht="13.8" x14ac:dyDescent="0.3">
      <c r="A168" s="11" t="s">
        <v>523</v>
      </c>
      <c r="C168" s="2"/>
      <c r="D168" s="2"/>
      <c r="E168" s="2">
        <v>155</v>
      </c>
      <c r="F168" s="2">
        <v>150</v>
      </c>
      <c r="G168" s="2">
        <v>450</v>
      </c>
      <c r="H168" s="2">
        <v>450</v>
      </c>
      <c r="I168" s="2">
        <v>450</v>
      </c>
      <c r="J168" s="2">
        <v>450</v>
      </c>
    </row>
    <row r="169" spans="1:10" x14ac:dyDescent="0.25">
      <c r="A169" s="8" t="s">
        <v>2192</v>
      </c>
      <c r="B169" s="2" t="s">
        <v>417</v>
      </c>
      <c r="C169" s="2"/>
      <c r="D169" s="2">
        <v>450</v>
      </c>
      <c r="E169" s="2"/>
      <c r="F169" s="2"/>
      <c r="G169" s="2"/>
      <c r="H169" s="2"/>
      <c r="I169" s="2"/>
      <c r="J169" s="2"/>
    </row>
    <row r="170" spans="1:10" x14ac:dyDescent="0.25">
      <c r="C170" s="2"/>
      <c r="D170" s="2"/>
      <c r="E170" s="2"/>
      <c r="F170" s="2"/>
      <c r="G170" s="2"/>
      <c r="H170" s="2"/>
      <c r="I170" s="2"/>
      <c r="J170" s="2"/>
    </row>
    <row r="171" spans="1:10" ht="13.8" x14ac:dyDescent="0.3">
      <c r="A171" s="18" t="s">
        <v>1469</v>
      </c>
      <c r="C171" s="2"/>
      <c r="D171" s="2"/>
      <c r="E171" s="2">
        <v>14897</v>
      </c>
      <c r="F171" s="2">
        <v>15748</v>
      </c>
      <c r="G171" s="2">
        <v>17534</v>
      </c>
      <c r="H171" s="2">
        <v>16482</v>
      </c>
      <c r="I171" s="2">
        <v>16482</v>
      </c>
      <c r="J171" s="2">
        <v>16482</v>
      </c>
    </row>
    <row r="172" spans="1:10" hidden="1" x14ac:dyDescent="0.25">
      <c r="A172" s="8" t="s">
        <v>1788</v>
      </c>
      <c r="C172" s="2"/>
      <c r="D172" s="2">
        <v>15748</v>
      </c>
      <c r="E172" s="2"/>
      <c r="F172" s="2"/>
      <c r="G172" s="2"/>
      <c r="H172" s="2"/>
      <c r="I172" s="2"/>
      <c r="J172" s="2"/>
    </row>
    <row r="173" spans="1:10" x14ac:dyDescent="0.25">
      <c r="C173" s="2"/>
      <c r="D173" s="2"/>
      <c r="E173" s="2"/>
      <c r="F173" s="2"/>
      <c r="G173" s="2"/>
      <c r="H173" s="2"/>
      <c r="I173" s="2"/>
      <c r="J173" s="2"/>
    </row>
    <row r="174" spans="1:10" ht="13.8" x14ac:dyDescent="0.3">
      <c r="A174" s="11" t="s">
        <v>1470</v>
      </c>
      <c r="C174" s="2"/>
      <c r="D174" s="2"/>
      <c r="E174" s="2">
        <v>457</v>
      </c>
      <c r="F174" s="2">
        <v>500</v>
      </c>
      <c r="G174" s="2">
        <v>500</v>
      </c>
      <c r="H174" s="2">
        <v>500</v>
      </c>
      <c r="I174" s="2">
        <v>500</v>
      </c>
      <c r="J174" s="2">
        <v>500</v>
      </c>
    </row>
    <row r="175" spans="1:10" x14ac:dyDescent="0.25">
      <c r="A175" s="8" t="s">
        <v>1836</v>
      </c>
      <c r="C175" s="2"/>
      <c r="D175" s="2">
        <v>500</v>
      </c>
      <c r="E175" s="2"/>
      <c r="F175" s="2"/>
      <c r="G175" s="2"/>
      <c r="H175" s="2"/>
      <c r="I175" s="2"/>
      <c r="J175" s="2"/>
    </row>
    <row r="176" spans="1:10" x14ac:dyDescent="0.25">
      <c r="C176" s="2"/>
      <c r="D176" s="2"/>
      <c r="E176" s="2"/>
      <c r="F176" s="2"/>
      <c r="G176" s="2"/>
      <c r="H176" s="2"/>
      <c r="I176" s="2"/>
      <c r="J176" s="2"/>
    </row>
    <row r="177" spans="1:10" ht="13.8" x14ac:dyDescent="0.3">
      <c r="A177" s="11" t="s">
        <v>312</v>
      </c>
      <c r="C177" s="2"/>
      <c r="D177" s="9" t="s">
        <v>417</v>
      </c>
      <c r="E177" s="2">
        <v>5615</v>
      </c>
      <c r="F177" s="2">
        <v>20000</v>
      </c>
      <c r="G177" s="2">
        <v>20500</v>
      </c>
      <c r="H177" s="2">
        <v>20500</v>
      </c>
      <c r="I177" s="2">
        <v>20500</v>
      </c>
      <c r="J177" s="2">
        <v>20500</v>
      </c>
    </row>
    <row r="178" spans="1:10" x14ac:dyDescent="0.25">
      <c r="A178" s="8" t="s">
        <v>313</v>
      </c>
      <c r="C178" s="2"/>
      <c r="D178" s="2"/>
      <c r="E178" s="2"/>
      <c r="F178" s="2"/>
      <c r="G178" s="2"/>
      <c r="H178" s="2"/>
      <c r="I178" s="2"/>
      <c r="J178" s="2"/>
    </row>
    <row r="179" spans="1:10" x14ac:dyDescent="0.25">
      <c r="A179" s="8" t="s">
        <v>1837</v>
      </c>
      <c r="C179" s="2"/>
      <c r="D179" s="2">
        <v>18500</v>
      </c>
      <c r="E179" s="2"/>
      <c r="F179" s="2"/>
      <c r="G179" s="2"/>
      <c r="H179" s="2"/>
      <c r="I179" s="2"/>
      <c r="J179" s="2"/>
    </row>
    <row r="180" spans="1:10" x14ac:dyDescent="0.25">
      <c r="A180" s="27" t="s">
        <v>2156</v>
      </c>
      <c r="B180" s="27"/>
      <c r="C180" s="28"/>
      <c r="D180" s="52">
        <v>2000</v>
      </c>
      <c r="E180" s="2"/>
      <c r="I180" s="209"/>
      <c r="J180" s="213"/>
    </row>
    <row r="181" spans="1:10" x14ac:dyDescent="0.25">
      <c r="A181" s="8" t="s">
        <v>1279</v>
      </c>
      <c r="B181" s="27"/>
      <c r="C181" s="28"/>
      <c r="D181" s="28">
        <f>SUM(D179:D180)</f>
        <v>20500</v>
      </c>
      <c r="E181" s="2"/>
      <c r="I181" s="209"/>
      <c r="J181" s="213"/>
    </row>
    <row r="182" spans="1:10" x14ac:dyDescent="0.25">
      <c r="A182" s="27"/>
      <c r="B182" s="27"/>
      <c r="C182" s="28"/>
      <c r="D182" s="28"/>
      <c r="E182" s="2"/>
      <c r="I182" s="209"/>
      <c r="J182" s="213"/>
    </row>
    <row r="183" spans="1:10" ht="13.8" x14ac:dyDescent="0.3">
      <c r="A183" s="11" t="s">
        <v>1494</v>
      </c>
      <c r="C183" s="2"/>
      <c r="D183" s="2"/>
      <c r="E183" s="2">
        <v>10379</v>
      </c>
      <c r="F183" s="2">
        <v>8550</v>
      </c>
      <c r="G183" s="2">
        <v>9550</v>
      </c>
      <c r="H183" s="2">
        <v>10050</v>
      </c>
      <c r="I183" s="2">
        <v>10050</v>
      </c>
      <c r="J183" s="2">
        <v>10050</v>
      </c>
    </row>
    <row r="184" spans="1:10" x14ac:dyDescent="0.25">
      <c r="A184" s="8" t="s">
        <v>1426</v>
      </c>
      <c r="C184" s="9"/>
      <c r="D184" s="9" t="s">
        <v>417</v>
      </c>
      <c r="E184" s="2"/>
      <c r="F184" s="2"/>
      <c r="G184" s="2"/>
      <c r="H184" s="2"/>
      <c r="I184" s="2"/>
      <c r="J184" s="2"/>
    </row>
    <row r="185" spans="1:10" x14ac:dyDescent="0.25">
      <c r="A185" s="8" t="s">
        <v>21</v>
      </c>
      <c r="C185" s="2"/>
      <c r="D185" s="2">
        <v>500</v>
      </c>
      <c r="E185" s="2"/>
      <c r="F185" s="2"/>
      <c r="G185" s="2"/>
      <c r="H185" s="2"/>
      <c r="I185" s="2"/>
      <c r="J185" s="2"/>
    </row>
    <row r="186" spans="1:10" x14ac:dyDescent="0.25">
      <c r="A186" s="27" t="s">
        <v>125</v>
      </c>
      <c r="B186" s="27"/>
      <c r="C186" s="28"/>
      <c r="D186" s="28">
        <v>600</v>
      </c>
      <c r="E186" s="2"/>
      <c r="F186" s="2"/>
      <c r="G186" s="2"/>
      <c r="H186" s="2"/>
      <c r="I186" s="2"/>
      <c r="J186" s="2"/>
    </row>
    <row r="187" spans="1:10" x14ac:dyDescent="0.25">
      <c r="A187" s="27" t="s">
        <v>2157</v>
      </c>
      <c r="B187" s="27"/>
      <c r="C187" s="28"/>
      <c r="D187" s="28"/>
      <c r="E187" s="2"/>
      <c r="F187" s="2"/>
      <c r="G187" s="2"/>
      <c r="H187" s="2"/>
      <c r="I187" s="2"/>
      <c r="J187" s="2"/>
    </row>
    <row r="188" spans="1:10" x14ac:dyDescent="0.25">
      <c r="A188" s="27" t="s">
        <v>565</v>
      </c>
      <c r="B188" s="27"/>
      <c r="C188" s="28"/>
      <c r="D188" s="28">
        <v>200</v>
      </c>
      <c r="E188" s="2"/>
      <c r="F188" s="2"/>
      <c r="G188" s="2"/>
      <c r="H188" s="2"/>
      <c r="I188" s="2"/>
      <c r="J188" s="2"/>
    </row>
    <row r="189" spans="1:10" x14ac:dyDescent="0.25">
      <c r="A189" s="27" t="s">
        <v>566</v>
      </c>
      <c r="B189" s="27"/>
      <c r="C189" s="28"/>
      <c r="D189" s="28">
        <v>600</v>
      </c>
      <c r="E189" s="2"/>
      <c r="F189" s="2"/>
      <c r="G189" s="2"/>
      <c r="H189" s="2"/>
      <c r="I189" s="2"/>
      <c r="J189" s="2"/>
    </row>
    <row r="190" spans="1:10" x14ac:dyDescent="0.25">
      <c r="A190" s="27" t="s">
        <v>567</v>
      </c>
      <c r="B190" s="27"/>
      <c r="C190" s="28"/>
      <c r="D190" s="28">
        <v>100</v>
      </c>
      <c r="E190" s="2"/>
      <c r="F190" s="2"/>
      <c r="G190" s="2"/>
      <c r="H190" s="2"/>
      <c r="I190" s="2"/>
      <c r="J190" s="2"/>
    </row>
    <row r="191" spans="1:10" x14ac:dyDescent="0.25">
      <c r="A191" s="27" t="s">
        <v>1076</v>
      </c>
      <c r="B191" s="27"/>
      <c r="C191" s="28"/>
      <c r="D191" s="28">
        <v>50</v>
      </c>
      <c r="E191" s="2"/>
      <c r="F191" s="2"/>
      <c r="G191" s="2"/>
      <c r="H191" s="2"/>
      <c r="I191" s="2"/>
      <c r="J191" s="2"/>
    </row>
    <row r="192" spans="1:10" x14ac:dyDescent="0.25">
      <c r="A192" s="27" t="s">
        <v>1838</v>
      </c>
      <c r="B192" s="27"/>
      <c r="C192" s="28"/>
      <c r="D192" s="28">
        <v>2000</v>
      </c>
      <c r="E192" s="2"/>
      <c r="F192" s="2"/>
      <c r="G192" s="2"/>
      <c r="H192" s="2"/>
      <c r="I192" s="2"/>
      <c r="J192" s="2"/>
    </row>
    <row r="193" spans="1:10" x14ac:dyDescent="0.25">
      <c r="A193" s="27" t="s">
        <v>1839</v>
      </c>
      <c r="B193" s="27"/>
      <c r="C193" s="28"/>
      <c r="D193" s="28">
        <v>4100</v>
      </c>
      <c r="E193" s="2"/>
      <c r="F193" s="2"/>
      <c r="G193" s="2"/>
      <c r="H193" s="2"/>
      <c r="I193" s="2"/>
      <c r="J193" s="2"/>
    </row>
    <row r="194" spans="1:10" x14ac:dyDescent="0.25">
      <c r="A194" s="27" t="s">
        <v>331</v>
      </c>
      <c r="B194" s="27"/>
      <c r="C194" s="28"/>
      <c r="D194" s="28">
        <v>900</v>
      </c>
      <c r="E194" s="2"/>
      <c r="F194" s="2"/>
      <c r="G194" s="2"/>
      <c r="H194" s="2"/>
      <c r="I194" s="2"/>
      <c r="J194" s="2"/>
    </row>
    <row r="195" spans="1:10" x14ac:dyDescent="0.25">
      <c r="A195" s="27" t="s">
        <v>332</v>
      </c>
      <c r="B195" s="27"/>
      <c r="C195" s="28"/>
      <c r="D195" s="28">
        <v>500</v>
      </c>
      <c r="E195" s="2"/>
      <c r="F195" s="2"/>
      <c r="G195" s="2"/>
      <c r="H195" s="2"/>
      <c r="I195" s="2"/>
      <c r="J195" s="2"/>
    </row>
    <row r="196" spans="1:10" ht="15" x14ac:dyDescent="0.4">
      <c r="A196" s="27" t="s">
        <v>1273</v>
      </c>
      <c r="B196" s="27"/>
      <c r="C196" s="57"/>
      <c r="D196" s="19">
        <v>500</v>
      </c>
      <c r="E196" s="2"/>
      <c r="F196" s="2"/>
      <c r="G196" s="2"/>
      <c r="H196" s="2"/>
      <c r="I196" s="2"/>
      <c r="J196" s="2"/>
    </row>
    <row r="197" spans="1:10" x14ac:dyDescent="0.25">
      <c r="A197" s="8" t="s">
        <v>1279</v>
      </c>
      <c r="C197" s="2"/>
      <c r="D197" s="2">
        <f>SUM(D185:D196)</f>
        <v>10050</v>
      </c>
      <c r="E197" s="2"/>
      <c r="F197" s="2"/>
      <c r="G197" s="2"/>
      <c r="H197" s="2"/>
      <c r="I197" s="2"/>
      <c r="J197" s="2"/>
    </row>
    <row r="198" spans="1:10" x14ac:dyDescent="0.25">
      <c r="C198" s="2"/>
      <c r="D198" s="2"/>
      <c r="E198" s="2"/>
      <c r="F198" s="2"/>
      <c r="G198" s="2"/>
      <c r="H198" s="2"/>
      <c r="I198" s="2"/>
      <c r="J198" s="2"/>
    </row>
    <row r="199" spans="1:10" ht="13.8" x14ac:dyDescent="0.3">
      <c r="A199" s="11" t="s">
        <v>452</v>
      </c>
      <c r="C199" s="2"/>
      <c r="D199" s="2"/>
      <c r="E199" s="2">
        <v>102377</v>
      </c>
      <c r="F199" s="2">
        <v>110000</v>
      </c>
      <c r="G199" s="2">
        <v>112000</v>
      </c>
      <c r="H199" s="2">
        <v>112000</v>
      </c>
      <c r="I199" s="2">
        <v>112000</v>
      </c>
      <c r="J199" s="2">
        <v>112000</v>
      </c>
    </row>
    <row r="200" spans="1:10" ht="15.6" x14ac:dyDescent="0.3">
      <c r="A200" s="125" t="s">
        <v>1854</v>
      </c>
      <c r="C200" s="2"/>
      <c r="D200" s="2">
        <v>112000</v>
      </c>
      <c r="E200" s="2"/>
      <c r="F200" s="2"/>
      <c r="G200" s="2"/>
      <c r="H200" s="2"/>
      <c r="I200" s="2"/>
      <c r="J200" s="2"/>
    </row>
    <row r="201" spans="1:10" x14ac:dyDescent="0.25">
      <c r="C201" s="19"/>
      <c r="D201" s="2"/>
      <c r="E201" s="2"/>
      <c r="F201" s="2"/>
      <c r="G201" s="2"/>
      <c r="H201" s="2"/>
      <c r="I201" s="2"/>
      <c r="J201" s="2"/>
    </row>
    <row r="202" spans="1:10" ht="13.8" x14ac:dyDescent="0.3">
      <c r="A202" s="11" t="s">
        <v>1388</v>
      </c>
      <c r="C202" s="2"/>
      <c r="D202" s="2"/>
      <c r="E202" s="2">
        <v>6099</v>
      </c>
      <c r="F202" s="2">
        <v>3160</v>
      </c>
      <c r="G202" s="2">
        <v>2160</v>
      </c>
      <c r="H202" s="2">
        <v>2160</v>
      </c>
      <c r="I202" s="2">
        <v>2160</v>
      </c>
      <c r="J202" s="2">
        <v>2160</v>
      </c>
    </row>
    <row r="203" spans="1:10" x14ac:dyDescent="0.25">
      <c r="A203" s="8" t="s">
        <v>61</v>
      </c>
      <c r="C203" s="2"/>
      <c r="D203" s="2"/>
      <c r="E203" s="2"/>
      <c r="F203" s="2"/>
      <c r="G203" s="2"/>
      <c r="H203" s="2"/>
      <c r="I203" s="2"/>
      <c r="J203" s="2"/>
    </row>
    <row r="204" spans="1:10" x14ac:dyDescent="0.25">
      <c r="A204" s="8" t="s">
        <v>2158</v>
      </c>
      <c r="C204" s="2"/>
      <c r="D204" s="2">
        <v>1950</v>
      </c>
      <c r="E204" s="2"/>
      <c r="F204" s="2"/>
      <c r="G204" s="2"/>
      <c r="H204" s="2"/>
      <c r="I204" s="2"/>
      <c r="J204" s="2"/>
    </row>
    <row r="205" spans="1:10" ht="15" x14ac:dyDescent="0.4">
      <c r="A205" s="8" t="s">
        <v>56</v>
      </c>
      <c r="C205" s="2"/>
      <c r="D205" s="12">
        <v>210</v>
      </c>
      <c r="E205" s="2"/>
      <c r="F205" s="2"/>
      <c r="G205" s="2"/>
      <c r="H205" s="2"/>
      <c r="I205" s="2"/>
      <c r="J205" s="2"/>
    </row>
    <row r="206" spans="1:10" x14ac:dyDescent="0.25">
      <c r="A206" s="8" t="s">
        <v>1279</v>
      </c>
      <c r="C206" s="2"/>
      <c r="D206" s="2">
        <f>SUM(D203:D205)</f>
        <v>2160</v>
      </c>
      <c r="E206" s="2"/>
      <c r="H206" s="2"/>
      <c r="I206" s="2"/>
      <c r="J206" s="2"/>
    </row>
    <row r="207" spans="1:10" x14ac:dyDescent="0.25">
      <c r="C207" s="2"/>
      <c r="D207" s="2"/>
      <c r="E207" s="2"/>
      <c r="I207" s="209"/>
      <c r="J207" s="213"/>
    </row>
    <row r="208" spans="1:10" ht="13.8" x14ac:dyDescent="0.3">
      <c r="A208" s="11" t="s">
        <v>1332</v>
      </c>
      <c r="B208" s="7"/>
      <c r="C208" s="2"/>
      <c r="D208" s="2"/>
      <c r="E208" s="2">
        <v>14366</v>
      </c>
      <c r="F208" s="2">
        <v>15100</v>
      </c>
      <c r="G208" s="2">
        <v>30100</v>
      </c>
      <c r="H208" s="2">
        <v>30100</v>
      </c>
      <c r="I208" s="2">
        <v>30100</v>
      </c>
      <c r="J208" s="2">
        <v>30100</v>
      </c>
    </row>
    <row r="209" spans="1:10" x14ac:dyDescent="0.25">
      <c r="A209" s="8" t="s">
        <v>1679</v>
      </c>
      <c r="C209" s="2"/>
      <c r="D209" s="2">
        <v>17700</v>
      </c>
      <c r="E209" s="2"/>
      <c r="F209" s="2"/>
      <c r="G209" s="2"/>
      <c r="H209" s="2"/>
      <c r="I209" s="2"/>
      <c r="J209" s="2"/>
    </row>
    <row r="210" spans="1:10" ht="15" x14ac:dyDescent="0.4">
      <c r="A210" s="8" t="s">
        <v>1599</v>
      </c>
      <c r="C210" s="2"/>
      <c r="D210" s="12">
        <v>12400</v>
      </c>
      <c r="E210" s="2"/>
      <c r="F210" s="2"/>
      <c r="G210" s="2"/>
      <c r="H210" s="2"/>
      <c r="I210" s="2"/>
      <c r="J210" s="2"/>
    </row>
    <row r="211" spans="1:10" x14ac:dyDescent="0.25">
      <c r="A211" s="8" t="s">
        <v>1279</v>
      </c>
      <c r="C211" s="2"/>
      <c r="D211" s="2">
        <f>SUM(D209:D210)</f>
        <v>30100</v>
      </c>
      <c r="E211" s="2"/>
      <c r="F211" s="2"/>
      <c r="G211" s="2"/>
      <c r="H211" s="2"/>
      <c r="I211" s="2"/>
      <c r="J211" s="2"/>
    </row>
    <row r="212" spans="1:10" x14ac:dyDescent="0.25">
      <c r="C212" s="2"/>
      <c r="D212" s="2"/>
      <c r="E212" s="2"/>
      <c r="F212" s="2"/>
      <c r="G212" s="2"/>
      <c r="H212" s="2"/>
      <c r="I212" s="2"/>
      <c r="J212" s="2"/>
    </row>
    <row r="213" spans="1:10" ht="13.8" x14ac:dyDescent="0.3">
      <c r="A213" s="11" t="s">
        <v>1333</v>
      </c>
      <c r="C213" s="2"/>
      <c r="D213" s="2"/>
      <c r="E213" s="2">
        <v>70721.37</v>
      </c>
      <c r="F213" s="2">
        <v>125000</v>
      </c>
      <c r="G213" s="2">
        <v>130000</v>
      </c>
      <c r="H213" s="2">
        <v>115000</v>
      </c>
      <c r="I213" s="2">
        <v>115000</v>
      </c>
      <c r="J213" s="2">
        <v>115000</v>
      </c>
    </row>
    <row r="214" spans="1:10" x14ac:dyDescent="0.25">
      <c r="A214" s="8" t="s">
        <v>1359</v>
      </c>
      <c r="C214" s="2"/>
      <c r="D214" s="2">
        <v>115000</v>
      </c>
      <c r="E214" s="2"/>
      <c r="F214" s="2"/>
      <c r="G214" s="2"/>
      <c r="H214" s="2"/>
      <c r="I214" s="2"/>
      <c r="J214" s="2"/>
    </row>
    <row r="215" spans="1:10" x14ac:dyDescent="0.25">
      <c r="A215" s="8" t="s">
        <v>1840</v>
      </c>
      <c r="C215" s="2"/>
      <c r="E215" s="2"/>
      <c r="F215" s="2"/>
      <c r="G215" s="2"/>
      <c r="H215" s="2"/>
      <c r="I215" s="2"/>
      <c r="J215" s="2"/>
    </row>
    <row r="216" spans="1:10" x14ac:dyDescent="0.25">
      <c r="C216" s="2"/>
      <c r="D216" s="2"/>
      <c r="E216" s="2"/>
      <c r="F216" s="2"/>
      <c r="G216" s="2"/>
      <c r="H216" s="2"/>
      <c r="I216" s="2"/>
      <c r="J216" s="2"/>
    </row>
    <row r="217" spans="1:10" ht="13.8" x14ac:dyDescent="0.3">
      <c r="A217" s="11" t="s">
        <v>1102</v>
      </c>
      <c r="C217" s="2"/>
      <c r="D217" s="2"/>
      <c r="E217" s="2">
        <v>0</v>
      </c>
      <c r="F217" s="2">
        <v>2000</v>
      </c>
      <c r="G217" s="2">
        <v>2000</v>
      </c>
      <c r="H217" s="2">
        <v>2000</v>
      </c>
      <c r="I217" s="2">
        <v>2000</v>
      </c>
      <c r="J217" s="2">
        <v>2000</v>
      </c>
    </row>
    <row r="218" spans="1:10" x14ac:dyDescent="0.25">
      <c r="A218" s="8" t="s">
        <v>88</v>
      </c>
      <c r="C218" s="2"/>
      <c r="D218" s="2">
        <v>2000</v>
      </c>
      <c r="E218" s="2"/>
      <c r="F218" s="2"/>
      <c r="G218" s="2"/>
      <c r="H218" s="2"/>
      <c r="I218" s="2"/>
      <c r="J218" s="2"/>
    </row>
    <row r="219" spans="1:10" x14ac:dyDescent="0.25">
      <c r="C219" s="2"/>
      <c r="D219" s="2"/>
      <c r="E219" s="2"/>
      <c r="F219" s="2"/>
      <c r="G219" s="2"/>
      <c r="H219" s="2"/>
      <c r="I219" s="2"/>
      <c r="J219" s="2"/>
    </row>
    <row r="220" spans="1:10" ht="13.8" x14ac:dyDescent="0.3">
      <c r="A220" s="11" t="s">
        <v>1353</v>
      </c>
      <c r="C220" s="2"/>
      <c r="D220" s="2"/>
      <c r="E220" s="2">
        <v>11584</v>
      </c>
      <c r="F220" s="2">
        <v>18000</v>
      </c>
      <c r="G220" s="2">
        <v>18000</v>
      </c>
      <c r="H220" s="2">
        <v>18000</v>
      </c>
      <c r="I220" s="2">
        <v>18000</v>
      </c>
      <c r="J220" s="2">
        <v>18000</v>
      </c>
    </row>
    <row r="221" spans="1:10" x14ac:dyDescent="0.25">
      <c r="A221" s="8" t="s">
        <v>1354</v>
      </c>
      <c r="C221" s="2"/>
      <c r="D221" s="2">
        <v>18000</v>
      </c>
      <c r="F221" s="2"/>
      <c r="G221" s="2"/>
      <c r="H221" s="2"/>
      <c r="I221" s="2"/>
      <c r="J221" s="2"/>
    </row>
    <row r="222" spans="1:10" x14ac:dyDescent="0.25">
      <c r="A222" s="8" t="s">
        <v>1841</v>
      </c>
      <c r="C222" s="2"/>
      <c r="E222" s="2"/>
      <c r="F222" s="2"/>
      <c r="G222" s="2"/>
      <c r="H222" s="2"/>
      <c r="I222" s="2"/>
      <c r="J222" s="2"/>
    </row>
    <row r="223" spans="1:10" x14ac:dyDescent="0.25">
      <c r="C223" s="2"/>
      <c r="D223" s="2"/>
      <c r="E223" s="2"/>
      <c r="F223" s="2"/>
      <c r="G223" s="2"/>
      <c r="H223" s="2"/>
      <c r="I223" s="2"/>
      <c r="J223" s="2"/>
    </row>
    <row r="224" spans="1:10" ht="13.8" x14ac:dyDescent="0.3">
      <c r="A224" s="11" t="s">
        <v>1068</v>
      </c>
      <c r="C224" s="2"/>
      <c r="D224" s="2"/>
      <c r="E224" s="2">
        <v>248</v>
      </c>
      <c r="F224" s="2">
        <v>12500</v>
      </c>
      <c r="G224" s="2">
        <v>12500</v>
      </c>
      <c r="H224" s="2">
        <v>12500</v>
      </c>
      <c r="I224" s="2">
        <v>12500</v>
      </c>
      <c r="J224" s="2">
        <v>12500</v>
      </c>
    </row>
    <row r="225" spans="1:10" x14ac:dyDescent="0.25">
      <c r="A225" s="8" t="s">
        <v>1229</v>
      </c>
      <c r="C225" s="2"/>
      <c r="D225" s="2">
        <v>12500</v>
      </c>
      <c r="E225" s="2"/>
      <c r="F225" s="2"/>
      <c r="G225" s="2"/>
      <c r="H225" s="2"/>
      <c r="I225" s="2"/>
      <c r="J225" s="2"/>
    </row>
    <row r="226" spans="1:10" x14ac:dyDescent="0.25">
      <c r="C226" s="2"/>
      <c r="E226" s="2"/>
      <c r="F226" s="2"/>
      <c r="G226" s="2"/>
      <c r="H226" s="2"/>
      <c r="I226" s="2"/>
      <c r="J226" s="2"/>
    </row>
    <row r="227" spans="1:10" ht="13.8" x14ac:dyDescent="0.3">
      <c r="A227" s="11" t="s">
        <v>182</v>
      </c>
      <c r="C227" s="2"/>
      <c r="D227" s="2"/>
      <c r="E227" s="2">
        <v>15971</v>
      </c>
      <c r="F227" s="2">
        <v>10000</v>
      </c>
      <c r="G227" s="2">
        <v>10000</v>
      </c>
      <c r="H227" s="2">
        <v>10000</v>
      </c>
      <c r="I227" s="2">
        <v>10000</v>
      </c>
      <c r="J227" s="2">
        <v>10000</v>
      </c>
    </row>
    <row r="228" spans="1:10" x14ac:dyDescent="0.25">
      <c r="A228" s="8" t="s">
        <v>37</v>
      </c>
      <c r="C228" s="2"/>
      <c r="D228" s="2"/>
      <c r="E228" s="2"/>
      <c r="H228" s="2"/>
      <c r="I228" s="2"/>
      <c r="J228" s="2"/>
    </row>
    <row r="229" spans="1:10" x14ac:dyDescent="0.25">
      <c r="A229" s="8" t="s">
        <v>1306</v>
      </c>
      <c r="C229" s="2"/>
      <c r="D229" s="2"/>
      <c r="E229" s="2"/>
      <c r="F229" s="2"/>
      <c r="G229" s="2"/>
      <c r="I229" s="209"/>
      <c r="J229" s="213"/>
    </row>
    <row r="230" spans="1:10" x14ac:dyDescent="0.25">
      <c r="A230" s="8" t="s">
        <v>1307</v>
      </c>
      <c r="C230" s="2"/>
      <c r="D230" s="2">
        <v>10000</v>
      </c>
      <c r="E230" s="2"/>
      <c r="F230" s="2"/>
      <c r="G230" s="2"/>
      <c r="H230" s="2"/>
      <c r="I230" s="2"/>
      <c r="J230" s="2"/>
    </row>
    <row r="231" spans="1:10" x14ac:dyDescent="0.25">
      <c r="C231" s="2"/>
      <c r="D231" s="2"/>
      <c r="E231" s="2"/>
      <c r="F231" s="2"/>
      <c r="G231" s="2"/>
      <c r="H231" s="2"/>
      <c r="I231" s="2"/>
      <c r="J231" s="2"/>
    </row>
    <row r="232" spans="1:10" ht="13.8" x14ac:dyDescent="0.3">
      <c r="A232" s="11" t="s">
        <v>1518</v>
      </c>
      <c r="C232" s="2"/>
      <c r="D232" s="2"/>
      <c r="E232" s="2">
        <v>0</v>
      </c>
      <c r="F232" s="2">
        <v>800</v>
      </c>
      <c r="G232" s="2">
        <v>1000</v>
      </c>
      <c r="H232" s="2">
        <v>1000</v>
      </c>
      <c r="I232" s="2">
        <v>1000</v>
      </c>
      <c r="J232" s="2">
        <v>1000</v>
      </c>
    </row>
    <row r="233" spans="1:10" x14ac:dyDescent="0.25">
      <c r="A233" s="8" t="s">
        <v>1842</v>
      </c>
      <c r="C233" s="2"/>
      <c r="D233" s="2">
        <v>1000</v>
      </c>
      <c r="E233" s="2"/>
      <c r="H233" s="2"/>
      <c r="I233" s="2"/>
      <c r="J233" s="2"/>
    </row>
    <row r="234" spans="1:10" x14ac:dyDescent="0.25">
      <c r="A234" s="8" t="s">
        <v>417</v>
      </c>
      <c r="C234" s="19"/>
      <c r="D234" s="2"/>
      <c r="E234" s="2"/>
      <c r="F234" s="2"/>
      <c r="G234" s="2"/>
      <c r="I234" s="209"/>
      <c r="J234" s="213"/>
    </row>
    <row r="235" spans="1:10" ht="13.8" x14ac:dyDescent="0.3">
      <c r="A235" s="11" t="s">
        <v>1519</v>
      </c>
      <c r="C235" s="2"/>
      <c r="D235" s="2"/>
      <c r="E235" s="2">
        <v>1829</v>
      </c>
      <c r="F235" s="2">
        <v>3250</v>
      </c>
      <c r="G235" s="2">
        <v>3250</v>
      </c>
      <c r="H235" s="2">
        <v>3250</v>
      </c>
      <c r="I235" s="2">
        <v>3250</v>
      </c>
      <c r="J235" s="2">
        <v>3250</v>
      </c>
    </row>
    <row r="236" spans="1:10" x14ac:dyDescent="0.25">
      <c r="A236" s="8" t="s">
        <v>1843</v>
      </c>
      <c r="C236" s="2"/>
      <c r="D236" s="2">
        <v>3250</v>
      </c>
      <c r="E236" s="2"/>
      <c r="F236" s="2"/>
      <c r="G236" s="2"/>
      <c r="H236" s="2"/>
      <c r="I236" s="2"/>
      <c r="J236" s="2"/>
    </row>
    <row r="237" spans="1:10" x14ac:dyDescent="0.25">
      <c r="A237" s="8" t="s">
        <v>417</v>
      </c>
      <c r="C237" s="2"/>
      <c r="D237" s="2" t="s">
        <v>417</v>
      </c>
      <c r="E237" s="2"/>
      <c r="F237" s="2"/>
      <c r="G237" s="2"/>
      <c r="H237" s="2"/>
      <c r="I237" s="2"/>
      <c r="J237" s="2"/>
    </row>
    <row r="238" spans="1:10" ht="13.8" x14ac:dyDescent="0.3">
      <c r="A238" s="11" t="s">
        <v>1520</v>
      </c>
      <c r="C238" s="2"/>
      <c r="D238" s="2" t="s">
        <v>417</v>
      </c>
      <c r="E238" s="2">
        <v>15981</v>
      </c>
      <c r="F238" s="2">
        <v>10000</v>
      </c>
      <c r="G238" s="2">
        <v>15000</v>
      </c>
      <c r="H238" s="2">
        <v>15000</v>
      </c>
      <c r="I238" s="2">
        <v>15000</v>
      </c>
      <c r="J238" s="2">
        <v>15000</v>
      </c>
    </row>
    <row r="239" spans="1:10" x14ac:dyDescent="0.25">
      <c r="A239" s="7" t="s">
        <v>57</v>
      </c>
      <c r="B239" s="7"/>
      <c r="C239" s="2"/>
      <c r="D239" s="2" t="s">
        <v>417</v>
      </c>
      <c r="E239" s="2"/>
      <c r="F239" s="2"/>
      <c r="G239" s="2"/>
      <c r="H239" s="2"/>
      <c r="I239" s="2"/>
      <c r="J239" s="2"/>
    </row>
    <row r="240" spans="1:10" x14ac:dyDescent="0.25">
      <c r="A240" s="8" t="s">
        <v>1844</v>
      </c>
      <c r="C240" s="2"/>
      <c r="D240" s="2">
        <v>8000</v>
      </c>
      <c r="E240" s="2"/>
      <c r="F240" s="2"/>
      <c r="G240" s="2"/>
      <c r="H240" s="2"/>
      <c r="I240" s="2"/>
      <c r="J240" s="2"/>
    </row>
    <row r="241" spans="1:10" ht="15" x14ac:dyDescent="0.4">
      <c r="A241" s="8" t="s">
        <v>1600</v>
      </c>
      <c r="C241" s="2"/>
      <c r="D241" s="10">
        <v>7000</v>
      </c>
      <c r="E241" s="2"/>
      <c r="F241" s="2"/>
      <c r="G241" s="2"/>
      <c r="H241" s="2"/>
      <c r="I241" s="2"/>
      <c r="J241" s="2"/>
    </row>
    <row r="242" spans="1:10" x14ac:dyDescent="0.25">
      <c r="A242" s="8" t="s">
        <v>1279</v>
      </c>
      <c r="C242" s="2"/>
      <c r="D242" s="2">
        <f>SUM(D240:D241)</f>
        <v>15000</v>
      </c>
      <c r="E242" s="2"/>
      <c r="F242" s="2"/>
      <c r="G242" s="2"/>
      <c r="H242" s="2"/>
      <c r="I242" s="2"/>
      <c r="J242" s="2"/>
    </row>
    <row r="243" spans="1:10" x14ac:dyDescent="0.25">
      <c r="C243" s="2"/>
      <c r="D243" s="2"/>
      <c r="E243" s="2"/>
      <c r="F243" s="2"/>
      <c r="G243" s="2"/>
      <c r="H243" s="2"/>
      <c r="I243" s="2"/>
      <c r="J243" s="2"/>
    </row>
    <row r="244" spans="1:10" ht="13.8" x14ac:dyDescent="0.3">
      <c r="A244" s="11" t="s">
        <v>1103</v>
      </c>
      <c r="C244" s="20"/>
      <c r="D244" s="20"/>
      <c r="E244" s="2">
        <v>106477</v>
      </c>
      <c r="F244" s="2">
        <v>98070</v>
      </c>
      <c r="G244" s="2">
        <v>129570</v>
      </c>
      <c r="H244" s="2">
        <v>99570</v>
      </c>
      <c r="I244" s="2">
        <v>99570</v>
      </c>
      <c r="J244" s="2">
        <v>99570</v>
      </c>
    </row>
    <row r="245" spans="1:10" x14ac:dyDescent="0.25">
      <c r="A245" s="8" t="s">
        <v>484</v>
      </c>
      <c r="C245" s="2"/>
      <c r="D245" s="2">
        <v>25000</v>
      </c>
      <c r="E245" s="2"/>
      <c r="F245" s="2"/>
      <c r="G245" s="2"/>
      <c r="H245" s="2"/>
      <c r="I245" s="2"/>
      <c r="J245" s="2"/>
    </row>
    <row r="246" spans="1:10" x14ac:dyDescent="0.25">
      <c r="A246" s="8" t="s">
        <v>1845</v>
      </c>
      <c r="C246" s="2"/>
      <c r="D246" s="2">
        <v>1000</v>
      </c>
      <c r="E246" s="2"/>
      <c r="F246" s="2"/>
      <c r="G246" s="2"/>
      <c r="H246" s="2"/>
      <c r="I246" s="2"/>
      <c r="J246" s="2"/>
    </row>
    <row r="247" spans="1:10" x14ac:dyDescent="0.25">
      <c r="A247" s="8" t="s">
        <v>593</v>
      </c>
      <c r="C247" s="2"/>
      <c r="D247" s="2">
        <v>60000</v>
      </c>
      <c r="E247" s="2"/>
      <c r="F247" s="2"/>
      <c r="G247" s="2"/>
      <c r="H247" s="2"/>
      <c r="I247" s="2"/>
      <c r="J247" s="2"/>
    </row>
    <row r="248" spans="1:10" x14ac:dyDescent="0.25">
      <c r="A248" s="8" t="s">
        <v>1601</v>
      </c>
      <c r="C248" s="2"/>
      <c r="D248" s="2">
        <v>0</v>
      </c>
      <c r="E248" s="2"/>
      <c r="F248" s="2"/>
      <c r="G248" s="2"/>
      <c r="H248" s="2"/>
      <c r="I248" s="2"/>
      <c r="J248" s="2"/>
    </row>
    <row r="249" spans="1:10" x14ac:dyDescent="0.25">
      <c r="A249" s="8" t="s">
        <v>58</v>
      </c>
      <c r="C249" s="2"/>
      <c r="D249" s="2">
        <v>1750</v>
      </c>
      <c r="E249" s="2"/>
      <c r="F249" s="2"/>
      <c r="G249" s="2"/>
      <c r="H249" s="2"/>
      <c r="I249" s="2"/>
      <c r="J249" s="2"/>
    </row>
    <row r="250" spans="1:10" x14ac:dyDescent="0.25">
      <c r="A250" s="8" t="s">
        <v>59</v>
      </c>
      <c r="C250" s="2"/>
      <c r="D250" s="2">
        <v>1700</v>
      </c>
      <c r="E250" s="2"/>
      <c r="F250" s="2"/>
      <c r="G250" s="2"/>
      <c r="H250" s="2"/>
      <c r="I250" s="2"/>
      <c r="J250" s="2"/>
    </row>
    <row r="251" spans="1:10" x14ac:dyDescent="0.25">
      <c r="A251" s="8" t="s">
        <v>60</v>
      </c>
      <c r="C251" s="2"/>
      <c r="D251" s="2">
        <v>300</v>
      </c>
      <c r="E251" s="2"/>
      <c r="F251" s="2"/>
      <c r="G251" s="2"/>
      <c r="H251" s="2"/>
      <c r="I251" s="2"/>
      <c r="J251" s="2"/>
    </row>
    <row r="252" spans="1:10" x14ac:dyDescent="0.25">
      <c r="A252" s="8" t="s">
        <v>1846</v>
      </c>
      <c r="C252" s="19"/>
      <c r="D252" s="2">
        <v>2000</v>
      </c>
      <c r="E252" s="2"/>
      <c r="F252" s="2"/>
      <c r="G252" s="2"/>
      <c r="H252" s="2"/>
      <c r="I252" s="2"/>
      <c r="J252" s="2"/>
    </row>
    <row r="253" spans="1:10" x14ac:dyDescent="0.25">
      <c r="A253" s="27" t="s">
        <v>158</v>
      </c>
      <c r="B253" s="27"/>
      <c r="C253" s="28"/>
      <c r="D253" s="28">
        <v>4220</v>
      </c>
      <c r="E253" s="2"/>
      <c r="F253" s="2"/>
      <c r="G253" s="2"/>
      <c r="H253" s="2"/>
      <c r="I253" s="2"/>
      <c r="J253" s="2"/>
    </row>
    <row r="254" spans="1:10" x14ac:dyDescent="0.25">
      <c r="A254" s="27" t="s">
        <v>2159</v>
      </c>
      <c r="B254" s="27"/>
      <c r="C254" s="28"/>
      <c r="D254" s="28">
        <v>600</v>
      </c>
      <c r="E254" s="2"/>
      <c r="F254" s="2"/>
      <c r="G254" s="2"/>
      <c r="H254" s="2"/>
      <c r="I254" s="2"/>
      <c r="J254" s="2"/>
    </row>
    <row r="255" spans="1:10" x14ac:dyDescent="0.25">
      <c r="A255" s="27" t="s">
        <v>424</v>
      </c>
      <c r="B255" s="27"/>
      <c r="C255" s="28"/>
      <c r="D255" s="28">
        <v>2000</v>
      </c>
      <c r="E255" s="2"/>
      <c r="F255" s="2"/>
      <c r="G255" s="2"/>
      <c r="H255" s="2"/>
      <c r="I255" s="2"/>
      <c r="J255" s="2"/>
    </row>
    <row r="256" spans="1:10" ht="15" x14ac:dyDescent="0.4">
      <c r="A256" s="27" t="s">
        <v>592</v>
      </c>
      <c r="B256" s="27"/>
      <c r="C256" s="57"/>
      <c r="D256" s="57">
        <v>1000</v>
      </c>
      <c r="E256" s="2"/>
      <c r="F256" s="2"/>
      <c r="G256" s="2"/>
      <c r="H256" s="2"/>
      <c r="I256" s="2"/>
      <c r="J256" s="2"/>
    </row>
    <row r="257" spans="1:10" x14ac:dyDescent="0.25">
      <c r="A257" s="8" t="s">
        <v>1279</v>
      </c>
      <c r="C257" s="19"/>
      <c r="D257" s="2">
        <f>SUM(D245:D256)</f>
        <v>99570</v>
      </c>
      <c r="E257" s="2"/>
      <c r="H257" s="2"/>
      <c r="I257" s="2"/>
      <c r="J257" s="2"/>
    </row>
    <row r="258" spans="1:10" x14ac:dyDescent="0.25">
      <c r="C258" s="2"/>
      <c r="D258" s="2"/>
      <c r="E258" s="2"/>
      <c r="I258" s="209"/>
      <c r="J258" s="213"/>
    </row>
    <row r="259" spans="1:10" ht="13.8" x14ac:dyDescent="0.3">
      <c r="A259" s="11" t="s">
        <v>594</v>
      </c>
      <c r="C259" s="2"/>
      <c r="D259" s="2"/>
      <c r="E259" s="2">
        <v>100107</v>
      </c>
      <c r="F259" s="2">
        <v>110625</v>
      </c>
      <c r="G259" s="2">
        <v>55000</v>
      </c>
      <c r="H259" s="2">
        <v>55000</v>
      </c>
      <c r="I259" s="2">
        <v>55000</v>
      </c>
      <c r="J259" s="2">
        <v>55000</v>
      </c>
    </row>
    <row r="260" spans="1:10" x14ac:dyDescent="0.25">
      <c r="A260" s="8" t="s">
        <v>595</v>
      </c>
      <c r="C260" s="2"/>
      <c r="D260" s="2"/>
      <c r="E260" s="2"/>
      <c r="F260" s="2"/>
      <c r="G260" s="2"/>
      <c r="H260" s="2"/>
      <c r="I260" s="2"/>
      <c r="J260" s="2"/>
    </row>
    <row r="261" spans="1:10" x14ac:dyDescent="0.25">
      <c r="A261" s="8" t="s">
        <v>845</v>
      </c>
      <c r="B261" s="8" t="s">
        <v>417</v>
      </c>
      <c r="C261" s="2"/>
      <c r="D261" s="2">
        <v>55000</v>
      </c>
      <c r="E261" s="2"/>
      <c r="F261" s="2"/>
      <c r="G261" s="2"/>
      <c r="H261" s="2"/>
      <c r="I261" s="2"/>
      <c r="J261" s="2"/>
    </row>
    <row r="262" spans="1:10" x14ac:dyDescent="0.25">
      <c r="C262" s="2"/>
      <c r="D262" s="2"/>
      <c r="E262" s="2"/>
      <c r="F262" s="2"/>
      <c r="G262" s="2"/>
      <c r="H262" s="2"/>
      <c r="I262" s="2"/>
      <c r="J262" s="2"/>
    </row>
    <row r="263" spans="1:10" ht="13.8" x14ac:dyDescent="0.3">
      <c r="A263" s="11" t="s">
        <v>1427</v>
      </c>
      <c r="C263" s="2"/>
      <c r="D263" s="2"/>
      <c r="E263" s="2">
        <v>4521</v>
      </c>
      <c r="F263" s="2">
        <v>10138</v>
      </c>
      <c r="G263" s="2">
        <v>10800</v>
      </c>
      <c r="H263" s="2">
        <v>10800</v>
      </c>
      <c r="I263" s="2">
        <v>10800</v>
      </c>
      <c r="J263" s="2">
        <v>10800</v>
      </c>
    </row>
    <row r="264" spans="1:10" x14ac:dyDescent="0.25">
      <c r="A264" s="8" t="s">
        <v>1401</v>
      </c>
      <c r="B264" s="8" t="s">
        <v>417</v>
      </c>
      <c r="C264" s="2"/>
      <c r="D264" s="2">
        <v>5000</v>
      </c>
      <c r="E264" s="2"/>
      <c r="F264" s="2"/>
      <c r="G264" s="2"/>
      <c r="H264" s="2"/>
      <c r="I264" s="2"/>
      <c r="J264" s="2"/>
    </row>
    <row r="265" spans="1:10" x14ac:dyDescent="0.25">
      <c r="A265" s="8" t="s">
        <v>2160</v>
      </c>
      <c r="C265" s="2"/>
      <c r="D265" s="2">
        <v>4800</v>
      </c>
      <c r="E265" s="2"/>
      <c r="F265" s="2"/>
      <c r="G265" s="2"/>
      <c r="H265" s="2"/>
      <c r="I265" s="2"/>
      <c r="J265" s="2"/>
    </row>
    <row r="266" spans="1:10" ht="15" x14ac:dyDescent="0.4">
      <c r="A266" s="8" t="s">
        <v>1428</v>
      </c>
      <c r="C266" s="12"/>
      <c r="D266" s="12">
        <v>1000</v>
      </c>
      <c r="E266" s="2"/>
      <c r="F266" s="2"/>
      <c r="G266" s="2"/>
      <c r="H266" s="2"/>
      <c r="I266" s="2"/>
      <c r="J266" s="2"/>
    </row>
    <row r="267" spans="1:10" x14ac:dyDescent="0.25">
      <c r="A267" s="8" t="s">
        <v>1279</v>
      </c>
      <c r="C267" s="2"/>
      <c r="D267" s="2">
        <f>SUM(D264:D266)</f>
        <v>10800</v>
      </c>
      <c r="E267" s="2"/>
      <c r="F267" s="2"/>
      <c r="G267" s="2"/>
      <c r="H267" s="2"/>
      <c r="I267" s="2"/>
      <c r="J267" s="2"/>
    </row>
    <row r="268" spans="1:10" x14ac:dyDescent="0.25">
      <c r="C268" s="2" t="s">
        <v>417</v>
      </c>
      <c r="D268" s="2" t="s">
        <v>417</v>
      </c>
      <c r="E268" s="2"/>
      <c r="F268" s="2"/>
      <c r="G268" s="2"/>
      <c r="H268" s="2"/>
      <c r="I268" s="2"/>
      <c r="J268" s="2"/>
    </row>
    <row r="269" spans="1:10" ht="15.6" x14ac:dyDescent="0.3">
      <c r="A269" s="51" t="s">
        <v>1230</v>
      </c>
      <c r="B269" s="50"/>
      <c r="C269" s="60"/>
      <c r="D269" s="60"/>
      <c r="E269" s="28">
        <v>28308</v>
      </c>
      <c r="F269" s="28">
        <v>35000</v>
      </c>
      <c r="G269" s="28">
        <v>38000</v>
      </c>
      <c r="H269" s="28">
        <v>38000</v>
      </c>
      <c r="I269" s="28">
        <v>38000</v>
      </c>
      <c r="J269" s="28">
        <v>38000</v>
      </c>
    </row>
    <row r="270" spans="1:10" ht="15.6" x14ac:dyDescent="0.3">
      <c r="A270" s="27" t="s">
        <v>152</v>
      </c>
      <c r="B270" s="50"/>
      <c r="C270" s="28"/>
      <c r="D270" s="28">
        <v>500</v>
      </c>
      <c r="E270" s="28"/>
      <c r="F270" s="28"/>
      <c r="G270" s="28"/>
      <c r="H270" s="28"/>
      <c r="I270" s="28"/>
      <c r="J270" s="28"/>
    </row>
    <row r="271" spans="1:10" ht="15.6" x14ac:dyDescent="0.3">
      <c r="A271" s="27" t="s">
        <v>773</v>
      </c>
      <c r="B271" s="50"/>
      <c r="C271" s="28"/>
      <c r="D271" s="28">
        <v>7500</v>
      </c>
      <c r="E271" s="28"/>
      <c r="F271" s="28"/>
      <c r="G271" s="28"/>
      <c r="H271" s="28"/>
      <c r="I271" s="28"/>
      <c r="J271" s="28"/>
    </row>
    <row r="272" spans="1:10" ht="15.6" x14ac:dyDescent="0.3">
      <c r="A272" s="27" t="s">
        <v>1115</v>
      </c>
      <c r="B272" s="50"/>
      <c r="C272" s="28"/>
      <c r="D272" s="28" t="s">
        <v>417</v>
      </c>
      <c r="E272" s="28"/>
      <c r="F272" s="28"/>
      <c r="G272" s="28"/>
      <c r="H272" s="28"/>
      <c r="I272" s="28"/>
      <c r="J272" s="28"/>
    </row>
    <row r="273" spans="1:10" ht="15.6" x14ac:dyDescent="0.3">
      <c r="A273" s="27" t="s">
        <v>214</v>
      </c>
      <c r="B273" s="50"/>
      <c r="C273" s="28"/>
      <c r="D273" s="28">
        <v>1510</v>
      </c>
      <c r="E273" s="28"/>
      <c r="F273" s="28"/>
      <c r="G273" s="28"/>
      <c r="H273" s="28"/>
      <c r="I273" s="28"/>
      <c r="J273" s="28"/>
    </row>
    <row r="274" spans="1:10" ht="15.6" x14ac:dyDescent="0.3">
      <c r="A274" s="27" t="s">
        <v>153</v>
      </c>
      <c r="B274" s="50"/>
      <c r="C274" s="28"/>
      <c r="D274" s="28">
        <v>5000</v>
      </c>
      <c r="E274" s="28"/>
      <c r="F274" s="28"/>
      <c r="G274" s="28"/>
      <c r="H274" s="28"/>
      <c r="I274" s="28"/>
      <c r="J274" s="28"/>
    </row>
    <row r="275" spans="1:10" ht="15.6" x14ac:dyDescent="0.3">
      <c r="A275" s="27" t="s">
        <v>74</v>
      </c>
      <c r="B275" s="50"/>
      <c r="C275" s="28"/>
      <c r="D275" s="28">
        <v>6940</v>
      </c>
      <c r="E275" s="28"/>
      <c r="F275" s="28"/>
      <c r="G275" s="28"/>
      <c r="H275" s="28"/>
      <c r="I275" s="28"/>
      <c r="J275" s="28"/>
    </row>
    <row r="276" spans="1:10" ht="15.6" x14ac:dyDescent="0.3">
      <c r="A276" s="27" t="s">
        <v>159</v>
      </c>
      <c r="B276" s="50"/>
      <c r="C276" s="28"/>
      <c r="D276" s="28">
        <v>0</v>
      </c>
      <c r="E276" s="28"/>
      <c r="F276" s="28"/>
      <c r="G276" s="28"/>
      <c r="H276" s="28"/>
      <c r="I276" s="28"/>
      <c r="J276" s="28"/>
    </row>
    <row r="277" spans="1:10" ht="15.6" x14ac:dyDescent="0.3">
      <c r="A277" s="27" t="s">
        <v>215</v>
      </c>
      <c r="B277" s="50"/>
      <c r="C277" s="28"/>
      <c r="D277" s="28">
        <v>1000</v>
      </c>
      <c r="E277" s="28"/>
      <c r="F277" s="28"/>
      <c r="G277" s="28"/>
      <c r="H277" s="28"/>
      <c r="I277" s="28"/>
      <c r="J277" s="28"/>
    </row>
    <row r="278" spans="1:10" ht="15.6" x14ac:dyDescent="0.3">
      <c r="A278" s="27" t="s">
        <v>216</v>
      </c>
      <c r="B278" s="50"/>
      <c r="C278" s="28"/>
      <c r="D278" s="28">
        <v>7750</v>
      </c>
      <c r="E278" s="28"/>
      <c r="F278" s="28"/>
      <c r="G278" s="28"/>
      <c r="H278" s="28"/>
      <c r="I278" s="28"/>
      <c r="J278" s="28"/>
    </row>
    <row r="279" spans="1:10" ht="15.6" x14ac:dyDescent="0.3">
      <c r="A279" s="27" t="s">
        <v>217</v>
      </c>
      <c r="B279" s="50"/>
      <c r="C279" s="28"/>
      <c r="D279" s="28">
        <v>300</v>
      </c>
      <c r="E279" s="28"/>
      <c r="F279" s="28"/>
      <c r="G279" s="28"/>
      <c r="H279" s="28"/>
      <c r="I279" s="28"/>
      <c r="J279" s="28"/>
    </row>
    <row r="280" spans="1:10" ht="15.6" x14ac:dyDescent="0.3">
      <c r="A280" s="27" t="s">
        <v>2161</v>
      </c>
      <c r="B280" s="50"/>
      <c r="C280" s="28"/>
      <c r="D280" s="28">
        <v>1000</v>
      </c>
      <c r="E280" s="28"/>
      <c r="F280" s="28"/>
      <c r="G280" s="28"/>
      <c r="H280" s="28"/>
      <c r="I280" s="28"/>
      <c r="J280" s="28"/>
    </row>
    <row r="281" spans="1:10" ht="15.6" x14ac:dyDescent="0.3">
      <c r="A281" s="27" t="s">
        <v>2162</v>
      </c>
      <c r="B281" s="50"/>
      <c r="C281" s="28"/>
      <c r="D281" s="28">
        <v>1000</v>
      </c>
      <c r="E281" s="28"/>
      <c r="F281" s="28"/>
      <c r="G281" s="28"/>
      <c r="H281" s="2"/>
      <c r="I281" s="2"/>
      <c r="J281" s="2"/>
    </row>
    <row r="282" spans="1:10" ht="16.8" x14ac:dyDescent="0.4">
      <c r="A282" s="27" t="s">
        <v>2207</v>
      </c>
      <c r="B282" s="50"/>
      <c r="C282" s="57"/>
      <c r="D282" s="57">
        <v>5500</v>
      </c>
      <c r="E282" s="28"/>
      <c r="F282" s="2"/>
      <c r="G282" s="2"/>
      <c r="I282" s="209"/>
      <c r="J282" s="213"/>
    </row>
    <row r="283" spans="1:10" ht="15.6" x14ac:dyDescent="0.3">
      <c r="A283" s="27" t="s">
        <v>1279</v>
      </c>
      <c r="B283" s="50"/>
      <c r="C283" s="28"/>
      <c r="D283" s="28">
        <f>SUM(D270:D282)</f>
        <v>38000</v>
      </c>
      <c r="E283" s="28"/>
      <c r="I283" s="209"/>
      <c r="J283" s="213"/>
    </row>
    <row r="284" spans="1:10" x14ac:dyDescent="0.25">
      <c r="C284" s="2"/>
      <c r="D284" s="2"/>
      <c r="E284" s="2"/>
      <c r="H284" s="2"/>
      <c r="I284" s="2"/>
      <c r="J284" s="2"/>
    </row>
    <row r="285" spans="1:10" ht="13.8" x14ac:dyDescent="0.3">
      <c r="A285" s="11" t="s">
        <v>827</v>
      </c>
      <c r="C285" s="9" t="s">
        <v>417</v>
      </c>
      <c r="D285" s="9" t="s">
        <v>417</v>
      </c>
      <c r="E285" s="2">
        <v>0</v>
      </c>
      <c r="F285" s="2">
        <v>12000</v>
      </c>
      <c r="G285" s="2">
        <v>12000</v>
      </c>
      <c r="H285" s="2">
        <v>12000</v>
      </c>
      <c r="I285" s="2">
        <v>12000</v>
      </c>
      <c r="J285" s="2">
        <v>12000</v>
      </c>
    </row>
    <row r="286" spans="1:10" x14ac:dyDescent="0.25">
      <c r="A286" s="8" t="s">
        <v>1408</v>
      </c>
      <c r="C286" s="2"/>
      <c r="D286" s="2">
        <v>12000</v>
      </c>
      <c r="E286" s="2"/>
      <c r="F286" s="2"/>
      <c r="G286" s="2"/>
      <c r="H286" s="2"/>
      <c r="I286" s="2"/>
      <c r="J286" s="2"/>
    </row>
    <row r="287" spans="1:10" x14ac:dyDescent="0.25">
      <c r="C287" s="2"/>
      <c r="D287" s="2"/>
      <c r="E287" s="2"/>
      <c r="F287" s="2"/>
      <c r="G287" s="2"/>
      <c r="H287" s="2"/>
      <c r="I287" s="2"/>
      <c r="J287" s="2"/>
    </row>
    <row r="288" spans="1:10" ht="13.8" x14ac:dyDescent="0.3">
      <c r="A288" s="11" t="s">
        <v>459</v>
      </c>
      <c r="C288" s="2"/>
      <c r="D288" s="2"/>
      <c r="E288" s="2">
        <v>0</v>
      </c>
      <c r="F288" s="2">
        <v>1000</v>
      </c>
      <c r="G288" s="2">
        <v>1000</v>
      </c>
      <c r="H288" s="2">
        <v>1000</v>
      </c>
      <c r="I288" s="2">
        <v>1000</v>
      </c>
      <c r="J288" s="2">
        <v>1000</v>
      </c>
    </row>
    <row r="289" spans="1:10" x14ac:dyDescent="0.25">
      <c r="A289" s="25" t="s">
        <v>1231</v>
      </c>
      <c r="C289" s="2"/>
      <c r="D289" s="2"/>
      <c r="E289" s="2"/>
      <c r="F289" s="2"/>
      <c r="G289" s="2"/>
      <c r="H289" s="2"/>
      <c r="I289" s="2"/>
      <c r="J289" s="2"/>
    </row>
    <row r="290" spans="1:10" x14ac:dyDescent="0.25">
      <c r="A290" s="8" t="s">
        <v>1232</v>
      </c>
      <c r="C290" s="2"/>
      <c r="D290" s="2">
        <v>1000</v>
      </c>
      <c r="E290" s="2"/>
      <c r="F290" s="2"/>
      <c r="G290" s="2"/>
      <c r="I290" s="209"/>
      <c r="J290" s="213"/>
    </row>
    <row r="291" spans="1:10" x14ac:dyDescent="0.25">
      <c r="C291" s="19"/>
      <c r="D291" s="2"/>
      <c r="E291" s="2"/>
      <c r="I291" s="209"/>
      <c r="J291" s="213"/>
    </row>
    <row r="292" spans="1:10" ht="13.8" x14ac:dyDescent="0.3">
      <c r="A292" s="11" t="s">
        <v>277</v>
      </c>
      <c r="C292" s="2"/>
      <c r="D292" s="2"/>
      <c r="E292" s="2">
        <v>1371</v>
      </c>
      <c r="F292" s="2">
        <v>4900</v>
      </c>
      <c r="G292" s="2">
        <v>4900</v>
      </c>
      <c r="H292" s="8">
        <v>4900</v>
      </c>
      <c r="I292" s="209">
        <v>4900</v>
      </c>
      <c r="J292" s="213">
        <v>4900</v>
      </c>
    </row>
    <row r="293" spans="1:10" x14ac:dyDescent="0.25">
      <c r="A293" s="7" t="s">
        <v>1847</v>
      </c>
      <c r="B293" s="7"/>
      <c r="C293" s="2"/>
      <c r="D293" s="2">
        <v>4900</v>
      </c>
      <c r="E293" s="2"/>
      <c r="F293" s="2"/>
      <c r="G293" s="2"/>
      <c r="H293" s="2"/>
      <c r="I293" s="2"/>
      <c r="J293" s="2"/>
    </row>
    <row r="294" spans="1:10" x14ac:dyDescent="0.25">
      <c r="A294" s="7" t="s">
        <v>1967</v>
      </c>
      <c r="B294" s="7"/>
      <c r="C294" s="2"/>
      <c r="D294" s="2"/>
      <c r="E294" s="2"/>
      <c r="F294" s="2"/>
      <c r="G294" s="2"/>
      <c r="H294" s="2"/>
      <c r="I294" s="2"/>
      <c r="J294" s="2"/>
    </row>
    <row r="295" spans="1:10" x14ac:dyDescent="0.25">
      <c r="A295" s="7"/>
      <c r="B295" s="7"/>
      <c r="C295" s="2"/>
      <c r="D295" s="2"/>
      <c r="E295" s="2"/>
      <c r="F295" s="2"/>
      <c r="G295" s="2"/>
      <c r="H295" s="2"/>
      <c r="I295" s="2"/>
      <c r="J295" s="2"/>
    </row>
    <row r="296" spans="1:10" ht="13.8" x14ac:dyDescent="0.3">
      <c r="A296" s="11" t="s">
        <v>676</v>
      </c>
      <c r="C296" s="2"/>
      <c r="D296" s="9" t="s">
        <v>417</v>
      </c>
      <c r="E296" s="2">
        <v>0</v>
      </c>
      <c r="F296" s="2">
        <v>0</v>
      </c>
      <c r="G296" s="2">
        <v>0</v>
      </c>
      <c r="H296" s="2">
        <v>0</v>
      </c>
      <c r="I296" s="2">
        <v>0</v>
      </c>
      <c r="J296" s="2">
        <v>0</v>
      </c>
    </row>
    <row r="297" spans="1:10" x14ac:dyDescent="0.25">
      <c r="A297" s="7" t="s">
        <v>1848</v>
      </c>
      <c r="C297" s="2"/>
      <c r="D297" s="9">
        <v>0</v>
      </c>
      <c r="E297" s="2"/>
      <c r="F297" s="2"/>
      <c r="G297" s="2"/>
      <c r="H297" s="2"/>
      <c r="I297" s="2"/>
      <c r="J297" s="2"/>
    </row>
    <row r="298" spans="1:10" x14ac:dyDescent="0.25">
      <c r="C298" s="9"/>
      <c r="D298" s="2"/>
      <c r="E298" s="2"/>
      <c r="F298" s="2"/>
      <c r="G298" s="2"/>
      <c r="H298" s="2"/>
      <c r="I298" s="2"/>
      <c r="J298" s="2"/>
    </row>
    <row r="299" spans="1:10" ht="13.8" x14ac:dyDescent="0.3">
      <c r="A299" s="11" t="s">
        <v>1878</v>
      </c>
      <c r="C299" s="9"/>
      <c r="D299" s="2"/>
      <c r="E299" s="2">
        <v>1043</v>
      </c>
      <c r="F299" s="2"/>
      <c r="G299" s="2">
        <v>3500</v>
      </c>
      <c r="H299" s="2">
        <v>3500</v>
      </c>
      <c r="I299" s="2">
        <v>3500</v>
      </c>
      <c r="J299" s="2">
        <v>3500</v>
      </c>
    </row>
    <row r="300" spans="1:10" x14ac:dyDescent="0.25">
      <c r="A300" s="8" t="s">
        <v>2163</v>
      </c>
      <c r="C300" s="9"/>
      <c r="D300" s="2">
        <v>500</v>
      </c>
      <c r="E300" s="2"/>
      <c r="F300" s="2"/>
      <c r="G300" s="2"/>
      <c r="H300" s="2"/>
      <c r="I300" s="2"/>
      <c r="J300" s="2"/>
    </row>
    <row r="301" spans="1:10" x14ac:dyDescent="0.25">
      <c r="A301" s="8" t="s">
        <v>2208</v>
      </c>
      <c r="C301" s="9"/>
      <c r="D301" s="37">
        <v>3000</v>
      </c>
      <c r="E301" s="2"/>
      <c r="F301" s="2"/>
      <c r="G301" s="2"/>
      <c r="H301" s="2"/>
      <c r="I301" s="2"/>
      <c r="J301" s="2"/>
    </row>
    <row r="302" spans="1:10" x14ac:dyDescent="0.25">
      <c r="C302" s="9"/>
      <c r="D302" s="2">
        <f>SUM(D300:D301)</f>
        <v>3500</v>
      </c>
      <c r="E302" s="2"/>
      <c r="F302" s="2"/>
      <c r="G302" s="2"/>
      <c r="H302" s="2"/>
      <c r="I302" s="2"/>
      <c r="J302" s="2"/>
    </row>
    <row r="303" spans="1:10" x14ac:dyDescent="0.25">
      <c r="C303" s="9"/>
      <c r="D303" s="2"/>
      <c r="E303" s="2"/>
      <c r="F303" s="2"/>
      <c r="G303" s="2"/>
      <c r="H303" s="2"/>
      <c r="I303" s="2"/>
      <c r="J303" s="2"/>
    </row>
    <row r="304" spans="1:10" ht="13.8" x14ac:dyDescent="0.3">
      <c r="A304" s="11" t="s">
        <v>1862</v>
      </c>
      <c r="C304" s="2"/>
      <c r="D304" s="9" t="s">
        <v>417</v>
      </c>
      <c r="E304" s="2">
        <f>120000+708676</f>
        <v>828676</v>
      </c>
      <c r="F304" s="2">
        <v>750000</v>
      </c>
      <c r="G304" s="2">
        <v>850000</v>
      </c>
      <c r="H304" s="2">
        <v>750000</v>
      </c>
      <c r="I304" s="2">
        <v>750000</v>
      </c>
      <c r="J304" s="2">
        <v>750000</v>
      </c>
    </row>
    <row r="305" spans="1:10" x14ac:dyDescent="0.25">
      <c r="A305" s="8" t="s">
        <v>227</v>
      </c>
      <c r="B305" s="2"/>
      <c r="D305" s="2">
        <v>625000</v>
      </c>
      <c r="E305" s="2"/>
      <c r="F305" s="2"/>
      <c r="G305" s="2"/>
      <c r="H305" s="2"/>
      <c r="I305" s="2"/>
      <c r="J305" s="2"/>
    </row>
    <row r="306" spans="1:10" ht="15" x14ac:dyDescent="0.4">
      <c r="A306" s="8" t="s">
        <v>62</v>
      </c>
      <c r="B306" s="2"/>
      <c r="D306" s="12">
        <v>125000</v>
      </c>
      <c r="E306" s="2"/>
      <c r="F306" s="2"/>
      <c r="G306" s="2"/>
      <c r="H306" s="2"/>
      <c r="I306" s="2"/>
      <c r="J306" s="2"/>
    </row>
    <row r="307" spans="1:10" x14ac:dyDescent="0.25">
      <c r="A307" s="8" t="s">
        <v>1279</v>
      </c>
      <c r="B307" s="2"/>
      <c r="D307" s="2">
        <f>SUM(D305:D306)</f>
        <v>750000</v>
      </c>
      <c r="E307" s="2"/>
      <c r="F307" s="2"/>
      <c r="G307" s="2"/>
      <c r="H307" s="2"/>
      <c r="I307" s="2"/>
      <c r="J307" s="2"/>
    </row>
    <row r="308" spans="1:10" x14ac:dyDescent="0.25">
      <c r="B308" s="2"/>
      <c r="D308" s="2"/>
      <c r="E308" s="2"/>
      <c r="F308" s="2"/>
      <c r="G308" s="2"/>
      <c r="H308" s="2"/>
      <c r="I308" s="2"/>
      <c r="J308" s="2"/>
    </row>
    <row r="309" spans="1:10" ht="13.8" x14ac:dyDescent="0.3">
      <c r="A309" s="11" t="s">
        <v>805</v>
      </c>
      <c r="C309" s="2"/>
      <c r="D309" s="2"/>
      <c r="E309" s="2">
        <v>5020</v>
      </c>
      <c r="F309" s="2">
        <v>12000</v>
      </c>
      <c r="G309" s="2">
        <v>12000</v>
      </c>
      <c r="H309" s="2">
        <v>12000</v>
      </c>
      <c r="I309" s="2">
        <v>12000</v>
      </c>
      <c r="J309" s="2">
        <v>12000</v>
      </c>
    </row>
    <row r="310" spans="1:10" ht="15" x14ac:dyDescent="0.4">
      <c r="A310" s="45" t="s">
        <v>2164</v>
      </c>
      <c r="B310" s="12"/>
      <c r="C310" s="12"/>
      <c r="D310" s="3">
        <v>3500</v>
      </c>
      <c r="E310" s="2"/>
      <c r="F310" s="2"/>
      <c r="G310" s="2"/>
      <c r="H310" s="2"/>
      <c r="I310" s="2"/>
      <c r="J310" s="2"/>
    </row>
    <row r="311" spans="1:10" ht="15" x14ac:dyDescent="0.4">
      <c r="A311" s="45" t="s">
        <v>2165</v>
      </c>
      <c r="B311" s="2"/>
      <c r="C311" s="2"/>
      <c r="D311" s="12">
        <v>8500</v>
      </c>
      <c r="E311" s="2"/>
      <c r="F311" s="2"/>
      <c r="G311" s="2"/>
      <c r="H311" s="2"/>
      <c r="I311" s="2"/>
      <c r="J311" s="2"/>
    </row>
    <row r="312" spans="1:10" x14ac:dyDescent="0.25">
      <c r="A312" s="45"/>
      <c r="B312" s="2"/>
      <c r="C312" s="2"/>
      <c r="D312" s="2">
        <f>SUM(D310:D311)</f>
        <v>12000</v>
      </c>
      <c r="E312" s="2"/>
      <c r="F312" s="2"/>
      <c r="G312" s="2"/>
      <c r="H312" s="2"/>
      <c r="I312" s="2"/>
      <c r="J312" s="2"/>
    </row>
    <row r="313" spans="1:10" x14ac:dyDescent="0.25">
      <c r="A313" s="25"/>
      <c r="C313" s="2"/>
      <c r="D313" s="2"/>
      <c r="E313" s="2"/>
      <c r="F313" s="2"/>
      <c r="G313" s="2"/>
      <c r="H313" s="2"/>
      <c r="I313" s="2"/>
      <c r="J313" s="2"/>
    </row>
    <row r="314" spans="1:10" ht="13.8" x14ac:dyDescent="0.3">
      <c r="A314" s="11" t="s">
        <v>806</v>
      </c>
      <c r="B314" s="136" t="s">
        <v>1684</v>
      </c>
      <c r="C314" s="154" t="s">
        <v>1874</v>
      </c>
      <c r="D314" s="154" t="s">
        <v>1944</v>
      </c>
      <c r="E314" s="2">
        <v>960000</v>
      </c>
      <c r="F314" s="2">
        <v>960000</v>
      </c>
      <c r="G314" s="2">
        <v>990000</v>
      </c>
      <c r="H314" s="2">
        <v>990000</v>
      </c>
      <c r="I314" s="2">
        <v>990000</v>
      </c>
      <c r="J314" s="2">
        <v>990000</v>
      </c>
    </row>
    <row r="315" spans="1:10" x14ac:dyDescent="0.25">
      <c r="A315" s="8" t="s">
        <v>1109</v>
      </c>
      <c r="B315" s="2">
        <v>300000</v>
      </c>
      <c r="C315" s="2">
        <v>300000</v>
      </c>
      <c r="D315" s="2">
        <v>325000</v>
      </c>
      <c r="F315" s="2"/>
      <c r="G315" s="2"/>
      <c r="H315" s="2"/>
      <c r="I315" s="2"/>
      <c r="J315" s="2"/>
    </row>
    <row r="316" spans="1:10" x14ac:dyDescent="0.25">
      <c r="A316" s="8" t="s">
        <v>1851</v>
      </c>
      <c r="B316" s="2">
        <v>10000</v>
      </c>
      <c r="C316" s="2">
        <v>10000</v>
      </c>
      <c r="D316" s="2">
        <v>15000</v>
      </c>
      <c r="F316" s="2"/>
      <c r="G316" s="2"/>
      <c r="H316" s="2"/>
      <c r="I316" s="2"/>
      <c r="J316" s="2"/>
    </row>
    <row r="317" spans="1:10" x14ac:dyDescent="0.25">
      <c r="A317" s="8" t="s">
        <v>826</v>
      </c>
      <c r="B317" s="2">
        <v>50000</v>
      </c>
      <c r="C317" s="2">
        <v>50000</v>
      </c>
      <c r="D317" s="2">
        <v>50000</v>
      </c>
      <c r="F317" s="2"/>
      <c r="G317" s="2"/>
      <c r="H317" s="2"/>
      <c r="I317" s="2"/>
      <c r="J317" s="2"/>
    </row>
    <row r="318" spans="1:10" ht="15" x14ac:dyDescent="0.4">
      <c r="A318" s="8" t="s">
        <v>1863</v>
      </c>
      <c r="B318" s="12">
        <v>600000</v>
      </c>
      <c r="C318" s="12">
        <v>600000</v>
      </c>
      <c r="D318" s="19">
        <v>600000</v>
      </c>
      <c r="F318" s="2"/>
      <c r="G318" s="2"/>
      <c r="H318" s="2"/>
      <c r="I318" s="2"/>
      <c r="J318" s="2"/>
    </row>
    <row r="319" spans="1:10" x14ac:dyDescent="0.25">
      <c r="A319" s="8" t="s">
        <v>1279</v>
      </c>
      <c r="B319" s="2">
        <f>SUM(B315:B318)</f>
        <v>960000</v>
      </c>
      <c r="C319" s="2">
        <f>SUM(C315:C318)</f>
        <v>960000</v>
      </c>
      <c r="D319" s="2">
        <f>SUM(D315:D318)</f>
        <v>990000</v>
      </c>
      <c r="F319" s="2"/>
      <c r="G319" s="2"/>
      <c r="H319" s="2"/>
      <c r="I319" s="2"/>
      <c r="J319" s="2"/>
    </row>
    <row r="320" spans="1:10" x14ac:dyDescent="0.25">
      <c r="B320" s="2"/>
      <c r="C320" s="2"/>
      <c r="D320" s="2"/>
      <c r="F320" s="2"/>
      <c r="G320" s="2"/>
      <c r="H320" s="156"/>
      <c r="I320" s="156"/>
      <c r="J320" s="156"/>
    </row>
    <row r="321" spans="1:10" ht="13.8" x14ac:dyDescent="0.3">
      <c r="A321" s="11" t="s">
        <v>1355</v>
      </c>
      <c r="B321" s="136" t="s">
        <v>1684</v>
      </c>
      <c r="C321" s="154" t="s">
        <v>1874</v>
      </c>
      <c r="D321" s="154" t="s">
        <v>1944</v>
      </c>
      <c r="E321" s="2">
        <v>3639646</v>
      </c>
      <c r="F321" s="2">
        <v>3708500</v>
      </c>
      <c r="G321" s="2">
        <v>2359040</v>
      </c>
      <c r="H321" s="156">
        <v>2359040</v>
      </c>
      <c r="I321" s="156">
        <v>2359040</v>
      </c>
      <c r="J321" s="156">
        <v>2359040</v>
      </c>
    </row>
    <row r="322" spans="1:10" ht="15" x14ac:dyDescent="0.4">
      <c r="A322" s="44" t="s">
        <v>110</v>
      </c>
      <c r="B322" s="2">
        <v>100000</v>
      </c>
      <c r="C322" s="2">
        <v>100000</v>
      </c>
      <c r="D322" s="2">
        <v>200000</v>
      </c>
      <c r="E322" s="12"/>
      <c r="F322" s="156"/>
      <c r="G322" s="156"/>
      <c r="H322" s="156"/>
      <c r="I322" s="156"/>
      <c r="J322" s="156"/>
    </row>
    <row r="323" spans="1:10" ht="15" x14ac:dyDescent="0.4">
      <c r="A323" s="44" t="s">
        <v>2205</v>
      </c>
      <c r="B323" s="2"/>
      <c r="C323" s="2"/>
      <c r="D323" s="2">
        <v>150000</v>
      </c>
      <c r="E323" s="12"/>
      <c r="F323" s="156"/>
      <c r="G323" s="156"/>
      <c r="H323" s="12"/>
      <c r="I323" s="12"/>
      <c r="J323" s="12"/>
    </row>
    <row r="324" spans="1:10" ht="15" x14ac:dyDescent="0.4">
      <c r="A324" s="45" t="s">
        <v>2266</v>
      </c>
      <c r="B324" s="2"/>
      <c r="C324" s="2">
        <v>2727500</v>
      </c>
      <c r="D324" s="2">
        <v>1129040</v>
      </c>
      <c r="E324" s="12"/>
      <c r="F324" s="156"/>
      <c r="G324" s="156"/>
      <c r="H324" s="12"/>
      <c r="I324" s="12"/>
      <c r="J324" s="12"/>
    </row>
    <row r="325" spans="1:10" ht="15" x14ac:dyDescent="0.4">
      <c r="A325" s="44" t="s">
        <v>2206</v>
      </c>
      <c r="B325" s="2"/>
      <c r="C325" s="2"/>
      <c r="D325" s="2">
        <v>300000</v>
      </c>
      <c r="E325" s="12"/>
      <c r="F325" s="2"/>
      <c r="G325" s="12"/>
      <c r="H325" s="12"/>
      <c r="I325" s="12"/>
      <c r="J325" s="12"/>
    </row>
    <row r="326" spans="1:10" ht="15" x14ac:dyDescent="0.4">
      <c r="A326" s="45" t="s">
        <v>1809</v>
      </c>
      <c r="B326" s="49">
        <v>1600000</v>
      </c>
      <c r="C326" s="49"/>
      <c r="D326" s="49"/>
      <c r="E326" s="12"/>
      <c r="F326" s="2"/>
      <c r="G326" s="12"/>
      <c r="H326" s="2"/>
      <c r="I326" s="2"/>
      <c r="J326" s="2"/>
    </row>
    <row r="327" spans="1:10" ht="15" x14ac:dyDescent="0.4">
      <c r="A327" s="45" t="s">
        <v>2270</v>
      </c>
      <c r="B327" s="49"/>
      <c r="C327" s="49"/>
      <c r="D327" s="49">
        <v>67000</v>
      </c>
      <c r="E327" s="12"/>
      <c r="F327" s="2"/>
      <c r="G327" s="12"/>
      <c r="H327" s="2"/>
      <c r="I327" s="2"/>
      <c r="J327" s="2"/>
    </row>
    <row r="328" spans="1:10" ht="15" x14ac:dyDescent="0.4">
      <c r="A328" s="45" t="s">
        <v>2229</v>
      </c>
      <c r="B328" s="49"/>
      <c r="C328" s="49">
        <v>586000</v>
      </c>
      <c r="D328" s="49"/>
      <c r="E328" s="12"/>
      <c r="F328" s="2"/>
      <c r="G328" s="12"/>
      <c r="H328" s="2"/>
      <c r="I328" s="2"/>
      <c r="J328" s="2"/>
    </row>
    <row r="329" spans="1:10" ht="15" x14ac:dyDescent="0.4">
      <c r="A329" s="45" t="s">
        <v>2267</v>
      </c>
      <c r="B329" s="49"/>
      <c r="C329" s="49"/>
      <c r="D329" s="49">
        <v>105000</v>
      </c>
      <c r="E329" s="12"/>
      <c r="F329" s="2"/>
      <c r="G329" s="12"/>
      <c r="H329" s="2"/>
      <c r="I329" s="2"/>
      <c r="J329" s="2"/>
    </row>
    <row r="330" spans="1:10" ht="15" x14ac:dyDescent="0.4">
      <c r="A330" s="45" t="s">
        <v>1810</v>
      </c>
      <c r="B330" s="2">
        <v>400000</v>
      </c>
      <c r="C330" s="2"/>
      <c r="D330" s="2"/>
      <c r="E330" s="12"/>
      <c r="F330" s="2"/>
      <c r="G330" s="12"/>
      <c r="H330" s="2"/>
      <c r="I330" s="2"/>
      <c r="J330" s="2"/>
    </row>
    <row r="331" spans="1:10" ht="15" x14ac:dyDescent="0.4">
      <c r="A331" s="45" t="s">
        <v>2166</v>
      </c>
      <c r="B331" s="2"/>
      <c r="C331" s="2"/>
      <c r="D331" s="2">
        <v>170000</v>
      </c>
      <c r="E331" s="12"/>
      <c r="F331" s="2"/>
      <c r="G331" s="12"/>
      <c r="H331" s="2"/>
      <c r="I331" s="2"/>
      <c r="J331" s="2"/>
    </row>
    <row r="332" spans="1:10" ht="15" x14ac:dyDescent="0.4">
      <c r="A332" s="45" t="s">
        <v>2167</v>
      </c>
      <c r="B332" s="2"/>
      <c r="C332" s="2"/>
      <c r="D332" s="2">
        <v>170000</v>
      </c>
      <c r="E332" s="12"/>
      <c r="F332" s="2"/>
      <c r="G332" s="12"/>
      <c r="H332" s="2"/>
      <c r="I332" s="2"/>
      <c r="J332" s="2"/>
    </row>
    <row r="333" spans="1:10" x14ac:dyDescent="0.25">
      <c r="A333" s="45" t="s">
        <v>1920</v>
      </c>
      <c r="B333" s="2">
        <v>0</v>
      </c>
      <c r="C333" s="2">
        <v>170000</v>
      </c>
      <c r="D333" s="2"/>
      <c r="E333" s="2"/>
      <c r="F333" s="2"/>
      <c r="G333" s="2"/>
      <c r="H333" s="2"/>
      <c r="I333" s="2"/>
      <c r="J333" s="2"/>
    </row>
    <row r="334" spans="1:10" x14ac:dyDescent="0.25">
      <c r="A334" s="45" t="s">
        <v>1602</v>
      </c>
      <c r="B334" s="2">
        <v>0</v>
      </c>
      <c r="C334" s="2">
        <v>125000</v>
      </c>
      <c r="D334" s="2"/>
      <c r="E334" s="2"/>
      <c r="F334" s="2"/>
      <c r="G334" s="2"/>
      <c r="I334" s="209"/>
      <c r="J334" s="213"/>
    </row>
    <row r="335" spans="1:10" x14ac:dyDescent="0.25">
      <c r="A335" s="45" t="s">
        <v>1849</v>
      </c>
      <c r="B335" s="2">
        <v>155000</v>
      </c>
      <c r="C335" s="2"/>
      <c r="D335" s="2"/>
      <c r="E335" s="2"/>
      <c r="F335" s="2"/>
      <c r="G335" s="2"/>
      <c r="I335" s="209"/>
      <c r="J335" s="213"/>
    </row>
    <row r="336" spans="1:10" x14ac:dyDescent="0.25">
      <c r="A336" s="45" t="s">
        <v>1850</v>
      </c>
      <c r="B336" s="2">
        <v>150000</v>
      </c>
      <c r="C336" s="2"/>
      <c r="D336" s="2"/>
      <c r="E336" s="2"/>
      <c r="F336" s="2"/>
      <c r="G336" s="2"/>
      <c r="I336" s="209"/>
      <c r="J336" s="213"/>
    </row>
    <row r="337" spans="1:10" x14ac:dyDescent="0.25">
      <c r="A337" s="45" t="s">
        <v>2168</v>
      </c>
      <c r="B337" s="2"/>
      <c r="C337" s="2"/>
      <c r="D337" s="2">
        <v>15000</v>
      </c>
      <c r="E337" s="2"/>
      <c r="F337" s="2"/>
      <c r="G337" s="2"/>
      <c r="H337" s="2"/>
      <c r="I337" s="2"/>
      <c r="J337" s="2"/>
    </row>
    <row r="338" spans="1:10" x14ac:dyDescent="0.25">
      <c r="A338" s="45" t="s">
        <v>2169</v>
      </c>
      <c r="B338" s="2"/>
      <c r="C338" s="2"/>
      <c r="D338" s="2">
        <v>28000</v>
      </c>
      <c r="E338" s="2"/>
      <c r="F338" s="2"/>
      <c r="G338" s="2"/>
      <c r="H338" s="2"/>
      <c r="I338" s="2"/>
      <c r="J338" s="2"/>
    </row>
    <row r="339" spans="1:10" ht="15" x14ac:dyDescent="0.4">
      <c r="A339" s="8" t="s">
        <v>2191</v>
      </c>
      <c r="B339" s="12">
        <v>0</v>
      </c>
      <c r="C339" s="12">
        <v>0</v>
      </c>
      <c r="D339" s="12">
        <v>25000</v>
      </c>
      <c r="E339" s="12">
        <v>0</v>
      </c>
      <c r="F339" s="12">
        <v>0</v>
      </c>
      <c r="G339" s="12">
        <v>0</v>
      </c>
      <c r="H339" s="12">
        <v>0</v>
      </c>
      <c r="I339" s="12">
        <v>0</v>
      </c>
      <c r="J339" s="12">
        <v>0</v>
      </c>
    </row>
    <row r="340" spans="1:10" ht="15" x14ac:dyDescent="0.4">
      <c r="A340" s="45"/>
      <c r="B340" s="12"/>
      <c r="C340" s="12"/>
      <c r="D340" s="12"/>
      <c r="E340" s="2"/>
      <c r="F340" s="12"/>
      <c r="G340" s="2"/>
      <c r="H340" s="2"/>
      <c r="I340" s="2"/>
      <c r="J340" s="2"/>
    </row>
    <row r="341" spans="1:10" x14ac:dyDescent="0.25">
      <c r="A341" s="8" t="s">
        <v>1279</v>
      </c>
      <c r="B341" s="49">
        <f>SUM(B322:B339)</f>
        <v>2405000</v>
      </c>
      <c r="C341" s="49">
        <f>SUM(C322:C339)</f>
        <v>3708500</v>
      </c>
      <c r="D341" s="49">
        <f>SUM(D322:D339)</f>
        <v>2359040</v>
      </c>
      <c r="E341" s="49"/>
      <c r="F341" s="49"/>
      <c r="G341" s="49"/>
      <c r="H341" s="49"/>
      <c r="I341" s="49"/>
      <c r="J341" s="49"/>
    </row>
    <row r="342" spans="1:10" ht="15" x14ac:dyDescent="0.4">
      <c r="C342" s="12"/>
      <c r="D342" s="2"/>
      <c r="I342" s="209"/>
      <c r="J342" s="213"/>
    </row>
    <row r="343" spans="1:10" ht="15" x14ac:dyDescent="0.4">
      <c r="C343" s="12"/>
      <c r="D343" s="2"/>
      <c r="I343" s="209"/>
      <c r="J343" s="213"/>
    </row>
    <row r="344" spans="1:10" x14ac:dyDescent="0.25">
      <c r="A344" s="21" t="s">
        <v>1366</v>
      </c>
      <c r="C344" s="2"/>
      <c r="D344" s="71"/>
      <c r="E344" s="2">
        <f t="shared" ref="E344:H344" si="3">SUM(E6:E343)</f>
        <v>7661689.2699999996</v>
      </c>
      <c r="F344" s="2">
        <f t="shared" si="3"/>
        <v>7969269</v>
      </c>
      <c r="G344" s="2">
        <f t="shared" si="3"/>
        <v>6789469</v>
      </c>
      <c r="H344" s="2">
        <f t="shared" si="3"/>
        <v>6644438</v>
      </c>
      <c r="I344" s="2">
        <f>SUM(I6:I343)</f>
        <v>6644438</v>
      </c>
      <c r="J344" s="2">
        <f>SUM(J6:J343)</f>
        <v>6646294</v>
      </c>
    </row>
    <row r="345" spans="1:10" x14ac:dyDescent="0.25">
      <c r="A345" s="21"/>
      <c r="C345" s="2"/>
      <c r="D345" s="71"/>
      <c r="E345" s="2"/>
      <c r="F345" s="2"/>
      <c r="G345" s="2"/>
      <c r="H345" s="2"/>
      <c r="I345" s="2"/>
      <c r="J345" s="2"/>
    </row>
    <row r="346" spans="1:10" x14ac:dyDescent="0.25">
      <c r="A346" s="8" t="s">
        <v>1001</v>
      </c>
      <c r="C346" s="71"/>
      <c r="D346" s="71"/>
      <c r="E346" s="2">
        <f t="shared" ref="E346:H346" si="4">SUM(E6:E108)</f>
        <v>1597762.9</v>
      </c>
      <c r="F346" s="2">
        <f t="shared" si="4"/>
        <v>1761325</v>
      </c>
      <c r="G346" s="2">
        <f t="shared" si="4"/>
        <v>1791166</v>
      </c>
      <c r="H346" s="2">
        <f t="shared" si="4"/>
        <v>1791687</v>
      </c>
      <c r="I346" s="2">
        <f>SUM(I6:I108)</f>
        <v>1791687</v>
      </c>
      <c r="J346" s="2">
        <f>SUM(J6:J108)</f>
        <v>1793543</v>
      </c>
    </row>
    <row r="347" spans="1:10" x14ac:dyDescent="0.25">
      <c r="A347" s="8" t="s">
        <v>975</v>
      </c>
      <c r="C347" s="71"/>
      <c r="D347" s="71"/>
      <c r="E347" s="2">
        <f t="shared" ref="E347:H347" si="5">SUM(E110:E293)</f>
        <v>629541.37</v>
      </c>
      <c r="F347" s="2">
        <f t="shared" si="5"/>
        <v>777444</v>
      </c>
      <c r="G347" s="2">
        <f t="shared" si="5"/>
        <v>783763</v>
      </c>
      <c r="H347" s="2">
        <f t="shared" si="5"/>
        <v>738211</v>
      </c>
      <c r="I347" s="2">
        <f>SUM(I110:I293)</f>
        <v>738211</v>
      </c>
      <c r="J347" s="2">
        <f>SUM(J110:J293)</f>
        <v>738211</v>
      </c>
    </row>
    <row r="348" spans="1:10" ht="15" x14ac:dyDescent="0.4">
      <c r="A348" s="8" t="s">
        <v>976</v>
      </c>
      <c r="E348" s="12">
        <f t="shared" ref="E348:H348" si="6">SUM(E296:E323)</f>
        <v>5434385</v>
      </c>
      <c r="F348" s="12">
        <f t="shared" si="6"/>
        <v>5430500</v>
      </c>
      <c r="G348" s="12">
        <f t="shared" si="6"/>
        <v>4214540</v>
      </c>
      <c r="H348" s="12">
        <f t="shared" si="6"/>
        <v>4114540</v>
      </c>
      <c r="I348" s="12">
        <f>SUM(I296:I323)</f>
        <v>4114540</v>
      </c>
      <c r="J348" s="12">
        <f>SUM(J296:J323)</f>
        <v>4114540</v>
      </c>
    </row>
    <row r="349" spans="1:10" x14ac:dyDescent="0.25">
      <c r="A349" s="8" t="s">
        <v>1279</v>
      </c>
      <c r="E349" s="2">
        <f t="shared" ref="E349:H349" si="7">SUM(E346:E348)</f>
        <v>7661689.2699999996</v>
      </c>
      <c r="F349" s="2">
        <f t="shared" si="7"/>
        <v>7969269</v>
      </c>
      <c r="G349" s="2">
        <f t="shared" si="7"/>
        <v>6789469</v>
      </c>
      <c r="H349" s="2">
        <f t="shared" si="7"/>
        <v>6644438</v>
      </c>
      <c r="I349" s="2">
        <f>SUM(I346:I348)</f>
        <v>6644438</v>
      </c>
      <c r="J349" s="2">
        <f>SUM(J346:J348)</f>
        <v>6646294</v>
      </c>
    </row>
    <row r="350" spans="1:10" x14ac:dyDescent="0.25">
      <c r="I350" s="209"/>
      <c r="J350" s="213"/>
    </row>
    <row r="351" spans="1:10" x14ac:dyDescent="0.25">
      <c r="I351" s="209"/>
      <c r="J351" s="213"/>
    </row>
    <row r="352" spans="1:10" x14ac:dyDescent="0.25">
      <c r="I352" s="209"/>
      <c r="J352" s="213"/>
    </row>
    <row r="353" spans="9:10" x14ac:dyDescent="0.25">
      <c r="I353" s="209"/>
      <c r="J353" s="213"/>
    </row>
    <row r="354" spans="9:10" x14ac:dyDescent="0.25">
      <c r="I354" s="209"/>
      <c r="J354" s="213"/>
    </row>
    <row r="355" spans="9:10" x14ac:dyDescent="0.25">
      <c r="I355" s="209"/>
      <c r="J355" s="213"/>
    </row>
    <row r="356" spans="9:10" x14ac:dyDescent="0.25">
      <c r="I356" s="209"/>
      <c r="J356" s="213"/>
    </row>
    <row r="357" spans="9:10" x14ac:dyDescent="0.25">
      <c r="I357" s="209"/>
      <c r="J357" s="213"/>
    </row>
    <row r="358" spans="9:10" x14ac:dyDescent="0.25">
      <c r="I358" s="209"/>
      <c r="J358" s="213"/>
    </row>
    <row r="359" spans="9:10" x14ac:dyDescent="0.25">
      <c r="I359" s="209"/>
      <c r="J359" s="213"/>
    </row>
    <row r="360" spans="9:10" x14ac:dyDescent="0.25">
      <c r="I360" s="209"/>
      <c r="J360" s="213"/>
    </row>
    <row r="361" spans="9:10" x14ac:dyDescent="0.25">
      <c r="I361" s="209"/>
      <c r="J361" s="213"/>
    </row>
    <row r="362" spans="9:10" x14ac:dyDescent="0.25">
      <c r="I362" s="209"/>
      <c r="J362" s="213"/>
    </row>
    <row r="363" spans="9:10" x14ac:dyDescent="0.25">
      <c r="I363" s="209"/>
      <c r="J363" s="213"/>
    </row>
    <row r="364" spans="9:10" x14ac:dyDescent="0.25">
      <c r="I364" s="209"/>
      <c r="J364" s="213"/>
    </row>
    <row r="365" spans="9:10" x14ac:dyDescent="0.25">
      <c r="I365" s="209"/>
      <c r="J365" s="213"/>
    </row>
    <row r="366" spans="9:10" x14ac:dyDescent="0.25">
      <c r="I366" s="209"/>
      <c r="J366" s="213"/>
    </row>
    <row r="367" spans="9:10" x14ac:dyDescent="0.25">
      <c r="I367" s="209"/>
      <c r="J367" s="213"/>
    </row>
    <row r="368" spans="9:10" x14ac:dyDescent="0.25">
      <c r="I368" s="209"/>
      <c r="J368" s="213"/>
    </row>
    <row r="369" spans="9:10" x14ac:dyDescent="0.25">
      <c r="I369" s="209"/>
      <c r="J369" s="213"/>
    </row>
    <row r="370" spans="9:10" x14ac:dyDescent="0.25">
      <c r="I370" s="209"/>
      <c r="J370" s="213"/>
    </row>
    <row r="371" spans="9:10" x14ac:dyDescent="0.25">
      <c r="I371" s="209"/>
      <c r="J371" s="213"/>
    </row>
    <row r="372" spans="9:10" x14ac:dyDescent="0.25">
      <c r="I372" s="209"/>
      <c r="J372" s="213"/>
    </row>
    <row r="373" spans="9:10" x14ac:dyDescent="0.25">
      <c r="I373" s="209"/>
      <c r="J373" s="213"/>
    </row>
    <row r="374" spans="9:10" x14ac:dyDescent="0.25">
      <c r="I374" s="209"/>
      <c r="J374" s="213"/>
    </row>
    <row r="375" spans="9:10" x14ac:dyDescent="0.25">
      <c r="J375" s="213"/>
    </row>
    <row r="376" spans="9:10" x14ac:dyDescent="0.25">
      <c r="J376" s="213"/>
    </row>
    <row r="377" spans="9:10" x14ac:dyDescent="0.25">
      <c r="J377" s="213"/>
    </row>
    <row r="378" spans="9:10" x14ac:dyDescent="0.25">
      <c r="J378" s="213"/>
    </row>
    <row r="379" spans="9:10" x14ac:dyDescent="0.25">
      <c r="J379" s="213"/>
    </row>
    <row r="380" spans="9:10" x14ac:dyDescent="0.25">
      <c r="J380" s="213"/>
    </row>
  </sheetData>
  <mergeCells count="1">
    <mergeCell ref="A1:J1"/>
  </mergeCells>
  <phoneticPr fontId="0" type="noConversion"/>
  <printOptions gridLines="1"/>
  <pageMargins left="0.75" right="0.16" top="0.51" bottom="0.22" header="0.5" footer="0"/>
  <pageSetup scale="80" fitToHeight="25" orientation="landscape" r:id="rId1"/>
  <headerFooter alignWithMargins="0"/>
  <rowBreaks count="5" manualBreakCount="5">
    <brk id="49" max="9" man="1"/>
    <brk id="131" max="9" man="1"/>
    <brk id="231" max="9" man="1"/>
    <brk id="268" max="9" man="1"/>
    <brk id="313"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46</vt:i4>
      </vt:variant>
    </vt:vector>
  </HeadingPairs>
  <TitlesOfParts>
    <vt:vector size="70" baseType="lpstr">
      <vt:lpstr>CRF</vt:lpstr>
      <vt:lpstr>01-gen gov</vt:lpstr>
      <vt:lpstr>02-assessing</vt:lpstr>
      <vt:lpstr>03-fire</vt:lpstr>
      <vt:lpstr>04-police</vt:lpstr>
      <vt:lpstr>05-comm</vt:lpstr>
      <vt:lpstr>06-code enforcement</vt:lpstr>
      <vt:lpstr>07-pub works</vt:lpstr>
      <vt:lpstr>08-highway</vt:lpstr>
      <vt:lpstr>09-solid waste</vt:lpstr>
      <vt:lpstr>13-parks &amp; rec</vt:lpstr>
      <vt:lpstr>15-library</vt:lpstr>
      <vt:lpstr>16-equip mntc</vt:lpstr>
      <vt:lpstr>17-bldg &amp; grounds</vt:lpstr>
      <vt:lpstr>21-comm dev</vt:lpstr>
      <vt:lpstr>24-tax coll</vt:lpstr>
      <vt:lpstr>25-welfare</vt:lpstr>
      <vt:lpstr>27-debt svc</vt:lpstr>
      <vt:lpstr>10-wastewater</vt:lpstr>
      <vt:lpstr>32-Media</vt:lpstr>
      <vt:lpstr>33-Fire Protection -other</vt:lpstr>
      <vt:lpstr>42- capital Projects fund</vt:lpstr>
      <vt:lpstr>-other SPECIAL REVENUE FUNDING</vt:lpstr>
      <vt:lpstr>Revolving Fund</vt:lpstr>
      <vt:lpstr>'01-gen gov'!Print_Area</vt:lpstr>
      <vt:lpstr>'02-assessing'!Print_Area</vt:lpstr>
      <vt:lpstr>'03-fire'!Print_Area</vt:lpstr>
      <vt:lpstr>'04-police'!Print_Area</vt:lpstr>
      <vt:lpstr>'05-comm'!Print_Area</vt:lpstr>
      <vt:lpstr>'06-code enforcement'!Print_Area</vt:lpstr>
      <vt:lpstr>'07-pub works'!Print_Area</vt:lpstr>
      <vt:lpstr>'08-highway'!Print_Area</vt:lpstr>
      <vt:lpstr>'09-solid waste'!Print_Area</vt:lpstr>
      <vt:lpstr>'10-wastewater'!Print_Area</vt:lpstr>
      <vt:lpstr>'13-parks &amp; rec'!Print_Area</vt:lpstr>
      <vt:lpstr>'15-library'!Print_Area</vt:lpstr>
      <vt:lpstr>'16-equip mntc'!Print_Area</vt:lpstr>
      <vt:lpstr>'17-bldg &amp; grounds'!Print_Area</vt:lpstr>
      <vt:lpstr>'21-comm dev'!Print_Area</vt:lpstr>
      <vt:lpstr>'24-tax coll'!Print_Area</vt:lpstr>
      <vt:lpstr>'25-welfare'!Print_Area</vt:lpstr>
      <vt:lpstr>'27-debt svc'!Print_Area</vt:lpstr>
      <vt:lpstr>'32-Media'!Print_Area</vt:lpstr>
      <vt:lpstr>'33-Fire Protection -other'!Print_Area</vt:lpstr>
      <vt:lpstr>'42- capital Projects fund'!Print_Area</vt:lpstr>
      <vt:lpstr>CRF!Print_Area</vt:lpstr>
      <vt:lpstr>'-other SPECIAL REVENUE FUNDING'!Print_Area</vt:lpstr>
      <vt:lpstr>'Revolving Fund'!Print_Area</vt:lpstr>
      <vt:lpstr>'01-gen gov'!Print_Titles</vt:lpstr>
      <vt:lpstr>'02-assessing'!Print_Titles</vt:lpstr>
      <vt:lpstr>'03-fire'!Print_Titles</vt:lpstr>
      <vt:lpstr>'04-police'!Print_Titles</vt:lpstr>
      <vt:lpstr>'05-comm'!Print_Titles</vt:lpstr>
      <vt:lpstr>'06-code enforcement'!Print_Titles</vt:lpstr>
      <vt:lpstr>'07-pub works'!Print_Titles</vt:lpstr>
      <vt:lpstr>'08-highway'!Print_Titles</vt:lpstr>
      <vt:lpstr>'09-solid waste'!Print_Titles</vt:lpstr>
      <vt:lpstr>'10-wastewater'!Print_Titles</vt:lpstr>
      <vt:lpstr>'13-parks &amp; rec'!Print_Titles</vt:lpstr>
      <vt:lpstr>'15-library'!Print_Titles</vt:lpstr>
      <vt:lpstr>'16-equip mntc'!Print_Titles</vt:lpstr>
      <vt:lpstr>'17-bldg &amp; grounds'!Print_Titles</vt:lpstr>
      <vt:lpstr>'21-comm dev'!Print_Titles</vt:lpstr>
      <vt:lpstr>'24-tax coll'!Print_Titles</vt:lpstr>
      <vt:lpstr>'25-welfare'!Print_Titles</vt:lpstr>
      <vt:lpstr>'32-Media'!Print_Titles</vt:lpstr>
      <vt:lpstr>'33-Fire Protection -other'!Print_Titles</vt:lpstr>
      <vt:lpstr>'42- capital Projects fund'!Print_Titles</vt:lpstr>
      <vt:lpstr>'-other SPECIAL REVENUE FUNDING'!Print_Titles</vt:lpstr>
      <vt:lpstr>'Revolving Fund'!Print_Titles</vt:lpstr>
    </vt:vector>
  </TitlesOfParts>
  <Company>Town of Merrimack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dc:creator>
  <cp:lastModifiedBy>Paul Micali</cp:lastModifiedBy>
  <cp:lastPrinted>2017-02-14T19:53:45Z</cp:lastPrinted>
  <dcterms:created xsi:type="dcterms:W3CDTF">2001-06-20T19:26:14Z</dcterms:created>
  <dcterms:modified xsi:type="dcterms:W3CDTF">2017-12-26T18:45:43Z</dcterms:modified>
</cp:coreProperties>
</file>