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TBoland\Documents\Budgets\2022-23 Town Council\Web Documents\"/>
    </mc:Choice>
  </mc:AlternateContent>
  <bookViews>
    <workbookView xWindow="0" yWindow="0" windowWidth="19200" windowHeight="8895" tabRatio="596"/>
  </bookViews>
  <sheets>
    <sheet name="01-gen gov" sheetId="1" r:id="rId1"/>
    <sheet name="02-assessing" sheetId="2" r:id="rId2"/>
    <sheet name="03-fire" sheetId="3" r:id="rId3"/>
    <sheet name="04-police" sheetId="4" r:id="rId4"/>
    <sheet name="05-comm" sheetId="5" r:id="rId5"/>
    <sheet name="06-code enforcement" sheetId="53" r:id="rId6"/>
    <sheet name="07-pub works" sheetId="6" r:id="rId7"/>
    <sheet name="08-highway" sheetId="7" r:id="rId8"/>
    <sheet name="09-solid waste" sheetId="8" r:id="rId9"/>
    <sheet name="13-parks &amp; rec" sheetId="11" r:id="rId10"/>
    <sheet name="15-library" sheetId="12" r:id="rId11"/>
    <sheet name="16-equip mntc" sheetId="13" r:id="rId12"/>
    <sheet name="17-bldg &amp; grounds" sheetId="14" r:id="rId13"/>
    <sheet name="21-comm dev" sheetId="15" r:id="rId14"/>
    <sheet name="24-tax coll" sheetId="16" r:id="rId15"/>
    <sheet name="25-welfare" sheetId="17" r:id="rId16"/>
    <sheet name="27-debt svc" sheetId="18" r:id="rId17"/>
    <sheet name="10-wastewater" sheetId="9" r:id="rId18"/>
    <sheet name="32-Media" sheetId="37" r:id="rId19"/>
    <sheet name="33-Fire Protection -other" sheetId="36" r:id="rId20"/>
    <sheet name="43- WWTF capital Project" sheetId="63" r:id="rId21"/>
    <sheet name="45- capital Projects fund" sheetId="61" r:id="rId22"/>
    <sheet name="-other SPECIAL REVENUE FUNDING" sheetId="50" r:id="rId23"/>
  </sheets>
  <externalReferences>
    <externalReference r:id="rId24"/>
    <externalReference r:id="rId25"/>
    <externalReference r:id="rId26"/>
  </externalReferences>
  <definedNames>
    <definedName name="_bos38" localSheetId="20">'15-library'!#REF!</definedName>
    <definedName name="_bos38" localSheetId="21">'15-library'!#REF!</definedName>
    <definedName name="_mgr38" localSheetId="20">'15-library'!#REF!</definedName>
    <definedName name="_mgr38" localSheetId="21">'15-library'!#REF!</definedName>
    <definedName name="_Order1" hidden="1">255</definedName>
    <definedName name="_Order2" hidden="1">255</definedName>
    <definedName name="aaa" localSheetId="20">'[1]15-library'!#REF!</definedName>
    <definedName name="aaa" localSheetId="21">'[1]15-library'!#REF!</definedName>
    <definedName name="aaa">'[1]15-library'!#REF!</definedName>
    <definedName name="actual" localSheetId="20">'15-library'!#REF!</definedName>
    <definedName name="actual" localSheetId="21">'15-library'!#REF!</definedName>
    <definedName name="actual38" localSheetId="20">'15-library'!#REF!</definedName>
    <definedName name="actual38" localSheetId="21">'15-library'!#REF!</definedName>
    <definedName name="bbb" localSheetId="20">'[1]15-library'!#REF!</definedName>
    <definedName name="bbb" localSheetId="21">'[1]15-library'!#REF!</definedName>
    <definedName name="bbb">'[1]15-library'!#REF!</definedName>
    <definedName name="bos" localSheetId="20">'15-library'!#REF!</definedName>
    <definedName name="bos" localSheetId="21">'15-library'!#REF!</definedName>
    <definedName name="budcom" localSheetId="20">'15-library'!#REF!</definedName>
    <definedName name="budcom" localSheetId="21">'15-library'!#REF!</definedName>
    <definedName name="budget" localSheetId="20">'15-library'!#REF!</definedName>
    <definedName name="budget" localSheetId="21">'15-library'!#REF!</definedName>
    <definedName name="budget38" localSheetId="20">'15-library'!#REF!</definedName>
    <definedName name="budget38" localSheetId="21">'15-library'!#REF!</definedName>
    <definedName name="ccc" localSheetId="20">'[1]15-library'!#REF!</definedName>
    <definedName name="ccc" localSheetId="21">'[1]15-library'!#REF!</definedName>
    <definedName name="ccc">'[1]15-library'!#REF!</definedName>
    <definedName name="ddd" localSheetId="20">'[1]15-library'!#REF!</definedName>
    <definedName name="ddd" localSheetId="21">'[1]15-library'!#REF!</definedName>
    <definedName name="ddd">'[1]15-library'!#REF!</definedName>
    <definedName name="dept" localSheetId="20">'15-library'!#REF!</definedName>
    <definedName name="dept" localSheetId="21">'15-library'!#REF!</definedName>
    <definedName name="dept22" localSheetId="20">'15-library'!#REF!</definedName>
    <definedName name="dept22" localSheetId="21">'15-library'!#REF!</definedName>
    <definedName name="dept22">'15-library'!#REF!</definedName>
    <definedName name="dept38" localSheetId="20">'15-library'!#REF!</definedName>
    <definedName name="dept38" localSheetId="21">'15-library'!#REF!</definedName>
    <definedName name="eee" localSheetId="20">'[1]15-library'!#REF!</definedName>
    <definedName name="eee" localSheetId="21">'[1]15-library'!#REF!</definedName>
    <definedName name="eee">'[1]15-library'!#REF!</definedName>
    <definedName name="fff" localSheetId="20">'[1]15-library'!#REF!</definedName>
    <definedName name="fff" localSheetId="21">'[1]15-library'!#REF!</definedName>
    <definedName name="fff">'[1]15-library'!#REF!</definedName>
    <definedName name="ggg" localSheetId="20">'[1]15-library'!#REF!</definedName>
    <definedName name="ggg" localSheetId="21">'[1]15-library'!#REF!</definedName>
    <definedName name="ggg">'[1]15-library'!#REF!</definedName>
    <definedName name="help" localSheetId="20">'[2]15-library'!#REF!</definedName>
    <definedName name="help" localSheetId="21">'[2]15-library'!#REF!</definedName>
    <definedName name="help">'[2]15-library'!#REF!</definedName>
    <definedName name="hhh" localSheetId="20">'[1]15-library'!#REF!</definedName>
    <definedName name="hhh" localSheetId="21">'[1]15-library'!#REF!</definedName>
    <definedName name="hhh">'[1]15-library'!#REF!</definedName>
    <definedName name="iii" localSheetId="20">'[1]15-library'!#REF!</definedName>
    <definedName name="iii" localSheetId="21">'[1]15-library'!#REF!</definedName>
    <definedName name="iii">'[1]15-library'!#REF!</definedName>
    <definedName name="jjj" localSheetId="20">'[1]15-library'!#REF!</definedName>
    <definedName name="jjj" localSheetId="21">'[1]15-library'!#REF!</definedName>
    <definedName name="jjj">'[1]15-library'!#REF!</definedName>
    <definedName name="meet" localSheetId="20">'[3]15-library'!#REF!</definedName>
    <definedName name="meet" localSheetId="21">'[3]15-library'!#REF!</definedName>
    <definedName name="meet">'[3]15-library'!#REF!</definedName>
    <definedName name="meeting" localSheetId="20">'15-library'!#REF!</definedName>
    <definedName name="meeting" localSheetId="21">'15-library'!#REF!</definedName>
    <definedName name="mgr" localSheetId="20">'15-library'!#REF!</definedName>
    <definedName name="mgr" localSheetId="21">'15-library'!#REF!</definedName>
    <definedName name="ooop" localSheetId="20">'[2]15-library'!#REF!</definedName>
    <definedName name="ooop" localSheetId="21">'[2]15-library'!#REF!</definedName>
    <definedName name="ooop">'[2]15-library'!#REF!</definedName>
    <definedName name="ooou" localSheetId="20">'[2]15-library'!#REF!</definedName>
    <definedName name="ooou" localSheetId="21">'[2]15-library'!#REF!</definedName>
    <definedName name="ooou">'[2]15-library'!#REF!</definedName>
    <definedName name="_xlnm.Print_Area" localSheetId="0">'01-gen gov'!$A$1:$J$280</definedName>
    <definedName name="_xlnm.Print_Area" localSheetId="1">'02-assessing'!$A$1:$J$124</definedName>
    <definedName name="_xlnm.Print_Area" localSheetId="2">'03-fire'!$A$1:$J$382</definedName>
    <definedName name="_xlnm.Print_Area" localSheetId="3">'04-police'!$A$1:$J$309</definedName>
    <definedName name="_xlnm.Print_Area" localSheetId="4">'05-comm'!$A$1:$J$159</definedName>
    <definedName name="_xlnm.Print_Area" localSheetId="5">'06-code enforcement'!$A$1:$J$155</definedName>
    <definedName name="_xlnm.Print_Area" localSheetId="6">'07-pub works'!$A$1:$J$145</definedName>
    <definedName name="_xlnm.Print_Area" localSheetId="7">'08-highway'!$A$1:$J$361</definedName>
    <definedName name="_xlnm.Print_Area" localSheetId="8">'09-solid waste'!$A$1:$J$231</definedName>
    <definedName name="_xlnm.Print_Area" localSheetId="17">'10-wastewater'!$A$1:$J$347</definedName>
    <definedName name="_xlnm.Print_Area" localSheetId="9">'13-parks &amp; rec'!$A$1:$J$258</definedName>
    <definedName name="_xlnm.Print_Area" localSheetId="10">'15-library'!$A$1:$J$258</definedName>
    <definedName name="_xlnm.Print_Area" localSheetId="11">'16-equip mntc'!$A$1:$J$133</definedName>
    <definedName name="_xlnm.Print_Area" localSheetId="12">'17-bldg &amp; grounds'!$A$1:$J$154</definedName>
    <definedName name="_xlnm.Print_Area" localSheetId="13">'21-comm dev'!$A$1:$J$163</definedName>
    <definedName name="_xlnm.Print_Area" localSheetId="14">'24-tax coll'!$A$1:$J$156</definedName>
    <definedName name="_xlnm.Print_Area" localSheetId="15">'25-welfare'!$A$1:$K$99</definedName>
    <definedName name="_xlnm.Print_Area" localSheetId="16">'27-debt svc'!$A$1:$G$66</definedName>
    <definedName name="_xlnm.Print_Area" localSheetId="18">'32-Media'!$A$1:$J$117</definedName>
    <definedName name="_xlnm.Print_Area" localSheetId="19">'33-Fire Protection -other'!$A$1:$J$18</definedName>
    <definedName name="_xlnm.Print_Area" localSheetId="20">'43- WWTF capital Project'!$A$1:$J$18</definedName>
    <definedName name="_xlnm.Print_Area" localSheetId="21">'45- capital Projects fund'!$A$1:$J$18</definedName>
    <definedName name="_xlnm.Print_Area" localSheetId="22">'-other SPECIAL REVENUE FUNDING'!$A$1:$J$19</definedName>
    <definedName name="_xlnm.Print_Titles" localSheetId="0">'01-gen gov'!$1:$5</definedName>
    <definedName name="_xlnm.Print_Titles" localSheetId="1">'02-assessing'!$1:$5</definedName>
    <definedName name="_xlnm.Print_Titles" localSheetId="2">'03-fire'!$1:$5</definedName>
    <definedName name="_xlnm.Print_Titles" localSheetId="3">'04-police'!$1:$5</definedName>
    <definedName name="_xlnm.Print_Titles" localSheetId="4">'05-comm'!$1:$5</definedName>
    <definedName name="_xlnm.Print_Titles" localSheetId="5">'06-code enforcement'!$1:$5</definedName>
    <definedName name="_xlnm.Print_Titles" localSheetId="6">'07-pub works'!$1:$5</definedName>
    <definedName name="_xlnm.Print_Titles" localSheetId="7">'08-highway'!$1:$5</definedName>
    <definedName name="_xlnm.Print_Titles" localSheetId="8">'09-solid waste'!$1:$5</definedName>
    <definedName name="_xlnm.Print_Titles" localSheetId="17">'10-wastewater'!$1:$5</definedName>
    <definedName name="_xlnm.Print_Titles" localSheetId="9">'13-parks &amp; rec'!$1:$5</definedName>
    <definedName name="_xlnm.Print_Titles" localSheetId="10">'15-library'!$1:$5</definedName>
    <definedName name="_xlnm.Print_Titles" localSheetId="11">'16-equip mntc'!$1:$5</definedName>
    <definedName name="_xlnm.Print_Titles" localSheetId="12">'17-bldg &amp; grounds'!$1:$5</definedName>
    <definedName name="_xlnm.Print_Titles" localSheetId="13">'21-comm dev'!$1:$5</definedName>
    <definedName name="_xlnm.Print_Titles" localSheetId="14">'24-tax coll'!$1:$5</definedName>
    <definedName name="_xlnm.Print_Titles" localSheetId="15">'25-welfare'!$1:$5</definedName>
    <definedName name="_xlnm.Print_Titles" localSheetId="18">'32-Media'!$1:$5</definedName>
    <definedName name="_xlnm.Print_Titles" localSheetId="19">'33-Fire Protection -other'!$1:$4</definedName>
    <definedName name="_xlnm.Print_Titles" localSheetId="20">'43- WWTF capital Project'!$1:$4</definedName>
    <definedName name="_xlnm.Print_Titles" localSheetId="21">'45- capital Projects fund'!$1:$4</definedName>
    <definedName name="_xlnm.Print_Titles" localSheetId="22">'-other SPECIAL REVENUE FUNDING'!$1:$6</definedName>
    <definedName name="pwq" localSheetId="20">'[2]15-library'!#REF!</definedName>
    <definedName name="pwq" localSheetId="21">'[2]15-library'!#REF!</definedName>
    <definedName name="pwq">'[2]15-library'!#REF!</definedName>
    <definedName name="revenue2" localSheetId="20">'15-library'!#REF!</definedName>
    <definedName name="revenue2" localSheetId="21">'15-library'!#REF!</definedName>
    <definedName name="revenue2">'15-library'!#REF!</definedName>
    <definedName name="rtl" localSheetId="20">'[2]15-library'!#REF!</definedName>
    <definedName name="rtl" localSheetId="21">'[2]15-library'!#REF!</definedName>
    <definedName name="rtl">'[2]15-library'!#REF!</definedName>
    <definedName name="ssg" localSheetId="20">'[2]15-library'!#REF!</definedName>
    <definedName name="ssg" localSheetId="21">'[2]15-library'!#REF!</definedName>
    <definedName name="ssg">'[2]15-library'!#REF!</definedName>
    <definedName name="voted" localSheetId="20">'15-library'!#REF!</definedName>
    <definedName name="voted" localSheetId="21">'15-library'!#REF!</definedName>
    <definedName name="www" localSheetId="20">'[2]15-library'!#REF!</definedName>
    <definedName name="www" localSheetId="21">'[2]15-library'!#REF!</definedName>
    <definedName name="www">'[2]15-library'!#REF!</definedName>
  </definedNames>
  <calcPr calcId="152511"/>
</workbook>
</file>

<file path=xl/calcChain.xml><?xml version="1.0" encoding="utf-8"?>
<calcChain xmlns="http://schemas.openxmlformats.org/spreadsheetml/2006/main">
  <c r="E229" i="8" l="1"/>
  <c r="E230" i="8"/>
  <c r="G230" i="8"/>
  <c r="H230" i="8"/>
  <c r="I230" i="8"/>
  <c r="G153" i="16"/>
  <c r="G154" i="16"/>
  <c r="G155" i="16"/>
  <c r="H155" i="16"/>
  <c r="I155" i="16"/>
  <c r="J155" i="16"/>
  <c r="J230" i="8"/>
  <c r="G156" i="16" l="1"/>
  <c r="D47" i="7" l="1"/>
  <c r="D57" i="7"/>
  <c r="D146" i="9"/>
  <c r="D101" i="8" l="1"/>
  <c r="D80" i="13"/>
  <c r="D81" i="13"/>
  <c r="D82" i="13"/>
  <c r="D139" i="7" l="1"/>
  <c r="D140" i="7"/>
  <c r="J380" i="3" l="1"/>
  <c r="J376" i="3"/>
  <c r="J162" i="15"/>
  <c r="J157" i="15"/>
  <c r="J225" i="8"/>
  <c r="C352" i="7"/>
  <c r="B352" i="7"/>
  <c r="D352" i="7"/>
  <c r="J373" i="3"/>
  <c r="D373" i="3"/>
  <c r="J123" i="2"/>
  <c r="J119" i="2"/>
  <c r="D271" i="1"/>
  <c r="C271" i="1"/>
  <c r="B271" i="1"/>
  <c r="J346" i="9" l="1"/>
  <c r="I346" i="9"/>
  <c r="I345" i="9"/>
  <c r="J345" i="9"/>
  <c r="G23" i="18"/>
  <c r="J131" i="13"/>
  <c r="J229" i="8"/>
  <c r="I229" i="8"/>
  <c r="J158" i="5"/>
  <c r="J157" i="5"/>
  <c r="J156" i="5"/>
  <c r="J154" i="5"/>
  <c r="J308" i="4"/>
  <c r="D110" i="4" l="1"/>
  <c r="D14" i="16" l="1"/>
  <c r="H114" i="37" l="1"/>
  <c r="I116" i="37"/>
  <c r="I115" i="37"/>
  <c r="I114" i="37"/>
  <c r="I117" i="37" s="1"/>
  <c r="I112" i="37"/>
  <c r="I344" i="9"/>
  <c r="I347" i="9" s="1"/>
  <c r="I342" i="9"/>
  <c r="F63" i="18"/>
  <c r="F61" i="18"/>
  <c r="F64" i="18" s="1"/>
  <c r="F23" i="18"/>
  <c r="J98" i="17"/>
  <c r="J97" i="17"/>
  <c r="J96" i="17"/>
  <c r="J99" i="17" s="1"/>
  <c r="J94" i="17"/>
  <c r="J92" i="17"/>
  <c r="I154" i="16"/>
  <c r="I153" i="16"/>
  <c r="I156" i="16" s="1"/>
  <c r="I151" i="16"/>
  <c r="I162" i="15"/>
  <c r="I161" i="15"/>
  <c r="I160" i="15"/>
  <c r="I163" i="15" s="1"/>
  <c r="I157" i="15"/>
  <c r="I153" i="14"/>
  <c r="I152" i="14"/>
  <c r="I151" i="14"/>
  <c r="I149" i="14"/>
  <c r="I132" i="13"/>
  <c r="I131" i="13"/>
  <c r="I130" i="13"/>
  <c r="I133" i="13" s="1"/>
  <c r="I127" i="13"/>
  <c r="I257" i="12"/>
  <c r="I256" i="12"/>
  <c r="I255" i="12"/>
  <c r="I248" i="12"/>
  <c r="I252" i="12" s="1"/>
  <c r="I257" i="11"/>
  <c r="I256" i="11"/>
  <c r="I255" i="11"/>
  <c r="I253" i="11"/>
  <c r="I228" i="8"/>
  <c r="I225" i="8"/>
  <c r="D32" i="7"/>
  <c r="I154" i="14" l="1"/>
  <c r="I258" i="12"/>
  <c r="I258" i="11"/>
  <c r="F65" i="18"/>
  <c r="I231" i="8"/>
  <c r="D33" i="7"/>
  <c r="I360" i="7"/>
  <c r="I359" i="7"/>
  <c r="I358" i="7"/>
  <c r="I356" i="7"/>
  <c r="I144" i="6"/>
  <c r="I143" i="6"/>
  <c r="I142" i="6"/>
  <c r="I140" i="6"/>
  <c r="I154" i="53"/>
  <c r="I153" i="53"/>
  <c r="I152" i="53"/>
  <c r="I150" i="53"/>
  <c r="I158" i="5"/>
  <c r="I157" i="5"/>
  <c r="I154" i="5"/>
  <c r="I156" i="5"/>
  <c r="I308" i="4"/>
  <c r="I307" i="4"/>
  <c r="I306" i="4"/>
  <c r="I309" i="4" s="1"/>
  <c r="I304" i="4"/>
  <c r="I380" i="3"/>
  <c r="I379" i="3"/>
  <c r="I378" i="3"/>
  <c r="I381" i="3" s="1"/>
  <c r="I376" i="3"/>
  <c r="I123" i="2"/>
  <c r="I122" i="2"/>
  <c r="I121" i="2"/>
  <c r="I124" i="2" s="1"/>
  <c r="I119" i="2"/>
  <c r="I278" i="1"/>
  <c r="I277" i="1"/>
  <c r="I276" i="1"/>
  <c r="I279" i="1" s="1"/>
  <c r="I274" i="1"/>
  <c r="I145" i="6" l="1"/>
  <c r="I155" i="53"/>
  <c r="I361" i="7"/>
  <c r="I159" i="5"/>
  <c r="K62" i="53" l="1"/>
  <c r="K61" i="53"/>
  <c r="K60" i="53"/>
  <c r="K59" i="53"/>
  <c r="K58" i="53"/>
  <c r="K57" i="53"/>
  <c r="K56" i="53"/>
  <c r="K55" i="53"/>
  <c r="K54" i="53"/>
  <c r="K53" i="53"/>
  <c r="K52" i="53"/>
  <c r="K51" i="53"/>
  <c r="K50" i="53"/>
  <c r="K49" i="53"/>
  <c r="K48" i="53"/>
  <c r="K47" i="53"/>
  <c r="K46" i="53"/>
  <c r="K45" i="53"/>
  <c r="K44" i="53"/>
  <c r="K43" i="53"/>
  <c r="K42" i="53"/>
  <c r="K41" i="53"/>
  <c r="K40" i="53"/>
  <c r="K39" i="53"/>
  <c r="K38" i="53"/>
  <c r="K37" i="53"/>
  <c r="K36" i="53"/>
  <c r="K35" i="53"/>
  <c r="K34" i="53"/>
  <c r="K33" i="53"/>
  <c r="K32" i="53"/>
  <c r="K31" i="53"/>
  <c r="K30" i="53"/>
  <c r="K29" i="53"/>
  <c r="K28" i="53"/>
  <c r="K27" i="53"/>
  <c r="K26" i="53"/>
  <c r="K25" i="53"/>
  <c r="K24" i="53"/>
  <c r="K23" i="53"/>
  <c r="K22" i="53"/>
  <c r="K21" i="53"/>
  <c r="D48" i="3"/>
  <c r="B126" i="3"/>
  <c r="D126" i="3" s="1"/>
  <c r="B132" i="3"/>
  <c r="B140" i="3"/>
  <c r="B145" i="3"/>
  <c r="K165" i="3"/>
  <c r="K164" i="3"/>
  <c r="K163" i="3"/>
  <c r="K162" i="3"/>
  <c r="K161" i="3"/>
  <c r="K160" i="3"/>
  <c r="K159" i="3"/>
  <c r="K158" i="3"/>
  <c r="K157" i="3"/>
  <c r="K156" i="3"/>
  <c r="K155" i="3"/>
  <c r="K154" i="3"/>
  <c r="K153" i="3"/>
  <c r="K152" i="3"/>
  <c r="K151" i="3"/>
  <c r="K150" i="3"/>
  <c r="K149" i="3"/>
  <c r="K148" i="3"/>
  <c r="K147" i="3"/>
  <c r="K146" i="3"/>
  <c r="K145" i="3"/>
  <c r="K144" i="3"/>
  <c r="K143" i="3"/>
  <c r="K142" i="3"/>
  <c r="K141" i="3"/>
  <c r="K140" i="3"/>
  <c r="K139" i="3"/>
  <c r="K138" i="3"/>
  <c r="K137" i="3"/>
  <c r="K136" i="3"/>
  <c r="K135" i="3"/>
  <c r="K134" i="3"/>
  <c r="K133" i="3"/>
  <c r="K132" i="3"/>
  <c r="K131" i="3"/>
  <c r="K130" i="3"/>
  <c r="K129" i="3"/>
  <c r="K128" i="3"/>
  <c r="K127" i="3"/>
  <c r="K126" i="3"/>
  <c r="K125" i="3"/>
  <c r="K124" i="3"/>
  <c r="K123" i="3"/>
  <c r="K122" i="3"/>
  <c r="K121" i="3"/>
  <c r="K120" i="3"/>
  <c r="K119" i="3"/>
  <c r="K118" i="3"/>
  <c r="K117" i="3"/>
  <c r="K116" i="3"/>
  <c r="K115" i="3"/>
  <c r="K114" i="3"/>
  <c r="K113" i="3"/>
  <c r="K112" i="3"/>
  <c r="K111" i="3"/>
  <c r="K110" i="3"/>
  <c r="K109" i="3"/>
  <c r="K108" i="3"/>
  <c r="K107" i="3"/>
  <c r="K106" i="3"/>
  <c r="K105" i="3"/>
  <c r="K104" i="3"/>
  <c r="K103" i="3"/>
  <c r="K102" i="3"/>
  <c r="K101" i="3"/>
  <c r="K100" i="3"/>
  <c r="K99" i="3"/>
  <c r="K98" i="3"/>
  <c r="K97" i="3"/>
  <c r="K96" i="3"/>
  <c r="K95" i="3"/>
  <c r="K94" i="3"/>
  <c r="K93" i="3"/>
  <c r="K92" i="3"/>
  <c r="K91" i="3"/>
  <c r="K90" i="3"/>
  <c r="K89" i="3"/>
  <c r="K88" i="3"/>
  <c r="K87" i="3"/>
  <c r="K86" i="3"/>
  <c r="K85" i="3"/>
  <c r="K84" i="3"/>
  <c r="K83" i="3"/>
  <c r="K82" i="3"/>
  <c r="K81" i="3"/>
  <c r="K80" i="3"/>
  <c r="K79" i="3"/>
  <c r="K78" i="3"/>
  <c r="K77" i="3"/>
  <c r="K76" i="3"/>
  <c r="K75" i="3"/>
  <c r="K74" i="3"/>
  <c r="K73" i="3"/>
  <c r="K72" i="3"/>
  <c r="K71" i="3"/>
  <c r="K70" i="3"/>
  <c r="K69" i="3"/>
  <c r="K68" i="3"/>
  <c r="K67" i="3"/>
  <c r="K66" i="3"/>
  <c r="K65" i="3"/>
  <c r="K64" i="3"/>
  <c r="K63" i="3"/>
  <c r="K62" i="3"/>
  <c r="K61" i="3"/>
  <c r="K60" i="3"/>
  <c r="K59" i="3"/>
  <c r="K58" i="3"/>
  <c r="K57" i="3"/>
  <c r="K56" i="3"/>
  <c r="K55" i="3"/>
  <c r="K54" i="3"/>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8" i="3"/>
  <c r="K7" i="3"/>
  <c r="K6" i="3"/>
  <c r="B160" i="3"/>
  <c r="D229" i="11"/>
  <c r="E23" i="18"/>
  <c r="G308" i="4"/>
  <c r="F308" i="4"/>
  <c r="E308" i="4"/>
  <c r="H308" i="4"/>
  <c r="K308" i="4" s="1"/>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294" i="4"/>
  <c r="E162" i="15"/>
  <c r="E161" i="15"/>
  <c r="E160" i="15"/>
  <c r="J151" i="14"/>
  <c r="H151" i="14"/>
  <c r="G151" i="14"/>
  <c r="G154" i="14" s="1"/>
  <c r="F151" i="14"/>
  <c r="J153" i="14"/>
  <c r="H153" i="14"/>
  <c r="G153" i="14"/>
  <c r="F153" i="14"/>
  <c r="J152" i="14"/>
  <c r="H152" i="14"/>
  <c r="G152" i="14"/>
  <c r="F152" i="14"/>
  <c r="J360" i="7"/>
  <c r="H360" i="7"/>
  <c r="G360" i="7"/>
  <c r="F360" i="7"/>
  <c r="J359" i="7"/>
  <c r="H359" i="7"/>
  <c r="G359" i="7"/>
  <c r="F359" i="7"/>
  <c r="J358" i="7"/>
  <c r="H358" i="7"/>
  <c r="G358" i="7"/>
  <c r="F358" i="7"/>
  <c r="E360" i="7"/>
  <c r="E359" i="7"/>
  <c r="E358" i="7"/>
  <c r="D232" i="9"/>
  <c r="K358" i="7" l="1"/>
  <c r="E163" i="15"/>
  <c r="F154" i="14"/>
  <c r="H154" i="14"/>
  <c r="J154" i="14"/>
  <c r="D176" i="3"/>
  <c r="D367" i="3"/>
  <c r="D366" i="3"/>
  <c r="D365" i="3"/>
  <c r="D368" i="3" s="1"/>
  <c r="D361" i="3"/>
  <c r="D362" i="3" s="1"/>
  <c r="D355" i="3"/>
  <c r="D357" i="3" s="1"/>
  <c r="D348" i="3"/>
  <c r="D343" i="3"/>
  <c r="D342" i="3"/>
  <c r="D341" i="3"/>
  <c r="D338" i="3"/>
  <c r="D335" i="3"/>
  <c r="D331" i="3"/>
  <c r="D330" i="3"/>
  <c r="D329" i="3"/>
  <c r="D328" i="3"/>
  <c r="D327" i="3"/>
  <c r="D322" i="3"/>
  <c r="D321" i="3"/>
  <c r="D320" i="3"/>
  <c r="D324" i="3" s="1"/>
  <c r="D314" i="3"/>
  <c r="D313" i="3"/>
  <c r="D312" i="3"/>
  <c r="D311" i="3"/>
  <c r="D310" i="3"/>
  <c r="D309" i="3"/>
  <c r="D308" i="3"/>
  <c r="D307" i="3"/>
  <c r="D306" i="3"/>
  <c r="D305" i="3"/>
  <c r="D304" i="3"/>
  <c r="D303" i="3"/>
  <c r="D302" i="3"/>
  <c r="D297" i="3"/>
  <c r="D296" i="3"/>
  <c r="D294" i="3"/>
  <c r="D293" i="3"/>
  <c r="D292" i="3"/>
  <c r="D284" i="3"/>
  <c r="D259" i="3"/>
  <c r="D258" i="3"/>
  <c r="D257" i="3"/>
  <c r="D256" i="3"/>
  <c r="D255" i="3"/>
  <c r="D254" i="3"/>
  <c r="D253" i="3"/>
  <c r="D252" i="3"/>
  <c r="D248" i="3"/>
  <c r="D247" i="3"/>
  <c r="D246" i="3"/>
  <c r="D245" i="3"/>
  <c r="D244" i="3"/>
  <c r="D243" i="3"/>
  <c r="D237" i="3"/>
  <c r="D236" i="3"/>
  <c r="D233" i="3"/>
  <c r="D224" i="3"/>
  <c r="D218" i="3"/>
  <c r="D205" i="3"/>
  <c r="D204" i="3"/>
  <c r="D203" i="3"/>
  <c r="D202" i="3"/>
  <c r="D201" i="3"/>
  <c r="D200" i="3"/>
  <c r="D199" i="3"/>
  <c r="D198" i="3"/>
  <c r="D197" i="3"/>
  <c r="D196" i="3"/>
  <c r="D195" i="3"/>
  <c r="D194" i="3"/>
  <c r="D193" i="3"/>
  <c r="D186" i="3"/>
  <c r="D185" i="3"/>
  <c r="D184" i="3"/>
  <c r="D183" i="3"/>
  <c r="D182" i="3"/>
  <c r="D181" i="3"/>
  <c r="D180" i="3"/>
  <c r="D179" i="3"/>
  <c r="D171" i="3"/>
  <c r="D163" i="3"/>
  <c r="D162" i="3"/>
  <c r="D161" i="3"/>
  <c r="D160" i="3"/>
  <c r="D159" i="3"/>
  <c r="D158" i="3"/>
  <c r="D145" i="3"/>
  <c r="D144" i="3"/>
  <c r="D140" i="3"/>
  <c r="D139" i="3"/>
  <c r="D138" i="3"/>
  <c r="D134" i="3"/>
  <c r="D133" i="3"/>
  <c r="D132" i="3"/>
  <c r="D128" i="3"/>
  <c r="D127" i="3"/>
  <c r="D100" i="3"/>
  <c r="D92" i="3"/>
  <c r="D91" i="3"/>
  <c r="D88" i="3"/>
  <c r="B86" i="3"/>
  <c r="D85" i="3"/>
  <c r="D84" i="3"/>
  <c r="D83" i="3"/>
  <c r="B75" i="3"/>
  <c r="D67" i="3"/>
  <c r="C66" i="3"/>
  <c r="D66" i="3" s="1"/>
  <c r="C65" i="3"/>
  <c r="D65" i="3" s="1"/>
  <c r="C64" i="3"/>
  <c r="D64" i="3" s="1"/>
  <c r="D63" i="3"/>
  <c r="C62" i="3"/>
  <c r="D62" i="3" s="1"/>
  <c r="C61" i="3"/>
  <c r="D61" i="3" s="1"/>
  <c r="C60" i="3"/>
  <c r="D60" i="3" s="1"/>
  <c r="C59" i="3"/>
  <c r="D59" i="3" s="1"/>
  <c r="D58" i="3"/>
  <c r="D57" i="3"/>
  <c r="C56" i="3"/>
  <c r="D56" i="3" s="1"/>
  <c r="C55" i="3"/>
  <c r="D55" i="3" s="1"/>
  <c r="D54" i="3"/>
  <c r="C53" i="3"/>
  <c r="D53" i="3" s="1"/>
  <c r="D52" i="3"/>
  <c r="D51" i="3"/>
  <c r="D50" i="3"/>
  <c r="C49" i="3"/>
  <c r="D49" i="3" s="1"/>
  <c r="C47" i="3"/>
  <c r="D47" i="3" s="1"/>
  <c r="C46" i="3"/>
  <c r="D46" i="3" s="1"/>
  <c r="C45" i="3"/>
  <c r="D45" i="3" s="1"/>
  <c r="D44" i="3"/>
  <c r="D43" i="3"/>
  <c r="D42" i="3"/>
  <c r="D41" i="3"/>
  <c r="D40" i="3"/>
  <c r="D39" i="3"/>
  <c r="D38" i="3"/>
  <c r="D37" i="3"/>
  <c r="D36" i="3"/>
  <c r="C35" i="3"/>
  <c r="D35" i="3" s="1"/>
  <c r="D34" i="3"/>
  <c r="D33" i="3"/>
  <c r="D32" i="3"/>
  <c r="D23" i="3"/>
  <c r="D22" i="3"/>
  <c r="C21" i="3"/>
  <c r="D21" i="3" s="1"/>
  <c r="C20" i="3"/>
  <c r="D20" i="3" s="1"/>
  <c r="C19" i="3"/>
  <c r="D19" i="3" s="1"/>
  <c r="D18" i="3"/>
  <c r="D17" i="3"/>
  <c r="C16" i="3"/>
  <c r="D16" i="3" s="1"/>
  <c r="C15" i="3"/>
  <c r="D15" i="3" s="1"/>
  <c r="D12" i="3"/>
  <c r="D7" i="3"/>
  <c r="D9" i="3" s="1"/>
  <c r="H154" i="53"/>
  <c r="G154" i="53"/>
  <c r="H153" i="53"/>
  <c r="G153" i="53"/>
  <c r="H152" i="53"/>
  <c r="H155" i="53" s="1"/>
  <c r="G152" i="53"/>
  <c r="B73" i="53"/>
  <c r="D23" i="53"/>
  <c r="D24" i="53" s="1"/>
  <c r="F154" i="53"/>
  <c r="E154" i="53"/>
  <c r="F153" i="53"/>
  <c r="E153" i="53"/>
  <c r="F152" i="53"/>
  <c r="E152" i="53"/>
  <c r="G150" i="53"/>
  <c r="F150" i="53"/>
  <c r="E150" i="53"/>
  <c r="D142" i="53"/>
  <c r="D124" i="53"/>
  <c r="D126" i="53" s="1"/>
  <c r="D121" i="53"/>
  <c r="D114" i="53"/>
  <c r="D113" i="53"/>
  <c r="D112" i="53"/>
  <c r="D111" i="53"/>
  <c r="D110" i="53"/>
  <c r="D109" i="53"/>
  <c r="D108" i="53"/>
  <c r="D107" i="53"/>
  <c r="D102" i="53"/>
  <c r="D101" i="53"/>
  <c r="D100" i="53"/>
  <c r="D96" i="53"/>
  <c r="D90" i="53"/>
  <c r="D85" i="53"/>
  <c r="D84" i="53"/>
  <c r="D80" i="53"/>
  <c r="D73" i="53"/>
  <c r="D72" i="53"/>
  <c r="D71" i="53"/>
  <c r="D70" i="53"/>
  <c r="D69" i="53"/>
  <c r="D58" i="53"/>
  <c r="D55" i="53"/>
  <c r="D51" i="53"/>
  <c r="D50" i="53"/>
  <c r="D47" i="53"/>
  <c r="C28" i="53"/>
  <c r="D28" i="53" s="1"/>
  <c r="C27" i="53"/>
  <c r="D27" i="53" s="1"/>
  <c r="D18" i="53"/>
  <c r="D17" i="53"/>
  <c r="D16" i="53"/>
  <c r="D11" i="53"/>
  <c r="D13" i="53" s="1"/>
  <c r="D7" i="53"/>
  <c r="D8" i="53" s="1"/>
  <c r="D52" i="53" l="1"/>
  <c r="G155" i="53"/>
  <c r="D141" i="3"/>
  <c r="D135" i="3"/>
  <c r="D74" i="53"/>
  <c r="D29" i="53"/>
  <c r="B36" i="53" s="1"/>
  <c r="D36" i="53" s="1"/>
  <c r="C68" i="3"/>
  <c r="D129" i="3"/>
  <c r="C74" i="3"/>
  <c r="C78" i="3" s="1"/>
  <c r="D332" i="3"/>
  <c r="C26" i="3"/>
  <c r="D26" i="3" s="1"/>
  <c r="D28" i="3" s="1"/>
  <c r="B109" i="3"/>
  <c r="B118" i="3" s="1"/>
  <c r="D118" i="3" s="1"/>
  <c r="B149" i="3"/>
  <c r="D149" i="3" s="1"/>
  <c r="D206" i="3"/>
  <c r="D86" i="3"/>
  <c r="D189" i="3"/>
  <c r="D344" i="3"/>
  <c r="D298" i="3"/>
  <c r="D146" i="3"/>
  <c r="D317" i="3"/>
  <c r="D249" i="3"/>
  <c r="D93" i="3"/>
  <c r="D238" i="3"/>
  <c r="D260" i="3"/>
  <c r="D19" i="53"/>
  <c r="B42" i="53" s="1"/>
  <c r="D42" i="53" s="1"/>
  <c r="D86" i="53"/>
  <c r="F155" i="53"/>
  <c r="D115" i="53"/>
  <c r="E155" i="53"/>
  <c r="D103" i="53"/>
  <c r="B61" i="53"/>
  <c r="D61" i="53" s="1"/>
  <c r="B40" i="53"/>
  <c r="D40" i="53" s="1"/>
  <c r="B32" i="53"/>
  <c r="D32" i="53" s="1"/>
  <c r="B62" i="53"/>
  <c r="D62" i="53" s="1"/>
  <c r="B33" i="53"/>
  <c r="D33" i="53" s="1"/>
  <c r="B41" i="53"/>
  <c r="D41" i="53" s="1"/>
  <c r="D35" i="53"/>
  <c r="D64" i="53"/>
  <c r="B65" i="53"/>
  <c r="D65" i="53" s="1"/>
  <c r="B43" i="53"/>
  <c r="D43" i="53" s="1"/>
  <c r="D94" i="3" l="1"/>
  <c r="B164" i="3" s="1"/>
  <c r="D164" i="3" s="1"/>
  <c r="D165" i="3" s="1"/>
  <c r="D109" i="3"/>
  <c r="B150" i="3"/>
  <c r="D150" i="3" s="1"/>
  <c r="B110" i="3"/>
  <c r="D68" i="3"/>
  <c r="D70" i="3" s="1"/>
  <c r="C97" i="3"/>
  <c r="C75" i="3"/>
  <c r="D78" i="3"/>
  <c r="C77" i="3"/>
  <c r="D77" i="3" s="1"/>
  <c r="D74" i="3"/>
  <c r="B63" i="53"/>
  <c r="D63" i="53" s="1"/>
  <c r="B34" i="53"/>
  <c r="D34" i="53" s="1"/>
  <c r="D37" i="53" s="1"/>
  <c r="D66" i="53"/>
  <c r="D44" i="53"/>
  <c r="B113" i="3" l="1"/>
  <c r="D113" i="3" s="1"/>
  <c r="B153" i="3"/>
  <c r="D153" i="3" s="1"/>
  <c r="C99" i="3"/>
  <c r="D99" i="3" s="1"/>
  <c r="C98" i="3"/>
  <c r="D97" i="3"/>
  <c r="C76" i="3"/>
  <c r="D76" i="3" s="1"/>
  <c r="D75" i="3"/>
  <c r="D110" i="3"/>
  <c r="B119" i="3"/>
  <c r="D119" i="3" s="1"/>
  <c r="B111" i="3"/>
  <c r="B151" i="3"/>
  <c r="D151" i="3" s="1"/>
  <c r="D79" i="3" l="1"/>
  <c r="B112" i="3" s="1"/>
  <c r="B121" i="3" s="1"/>
  <c r="D111" i="3"/>
  <c r="B120" i="3"/>
  <c r="D120" i="3" s="1"/>
  <c r="C105" i="3"/>
  <c r="D98" i="3"/>
  <c r="C104" i="3"/>
  <c r="D104" i="3" s="1"/>
  <c r="D112" i="3" l="1"/>
  <c r="C101" i="3"/>
  <c r="D105" i="3"/>
  <c r="D121" i="3"/>
  <c r="B152" i="3"/>
  <c r="D152" i="3" s="1"/>
  <c r="D101" i="3" l="1"/>
  <c r="C102" i="3"/>
  <c r="D102" i="3" s="1"/>
  <c r="D106" i="3" l="1"/>
  <c r="B114" i="3" s="1"/>
  <c r="D114" i="3" l="1"/>
  <c r="D115" i="3" s="1"/>
  <c r="B122" i="3"/>
  <c r="B154" i="3" l="1"/>
  <c r="D154" i="3" s="1"/>
  <c r="D155" i="3" s="1"/>
  <c r="D122" i="3"/>
  <c r="D123" i="3" s="1"/>
  <c r="D149" i="5" l="1"/>
  <c r="H150" i="53" l="1"/>
  <c r="E61" i="18"/>
  <c r="I94" i="17"/>
  <c r="I92" i="17"/>
  <c r="K78" i="16"/>
  <c r="K77" i="16"/>
  <c r="K76" i="16"/>
  <c r="K75" i="16"/>
  <c r="K74" i="16"/>
  <c r="K73" i="16"/>
  <c r="K72" i="16"/>
  <c r="K71" i="16"/>
  <c r="K70" i="16"/>
  <c r="K69" i="16"/>
  <c r="K68" i="16"/>
  <c r="K67" i="16"/>
  <c r="K66" i="16"/>
  <c r="K65" i="16"/>
  <c r="K64" i="16"/>
  <c r="K63" i="16"/>
  <c r="K62" i="16"/>
  <c r="K61" i="16"/>
  <c r="K60" i="16"/>
  <c r="K59" i="16"/>
  <c r="K58" i="16"/>
  <c r="K57" i="16"/>
  <c r="K56" i="16"/>
  <c r="K55" i="16"/>
  <c r="K54" i="16"/>
  <c r="K53" i="16"/>
  <c r="K52" i="16"/>
  <c r="K51" i="16"/>
  <c r="K50" i="16"/>
  <c r="K49" i="16"/>
  <c r="K48" i="16"/>
  <c r="K47" i="16"/>
  <c r="K46" i="16"/>
  <c r="K45" i="16"/>
  <c r="K44" i="16"/>
  <c r="K43" i="16"/>
  <c r="K42" i="16"/>
  <c r="K41" i="16"/>
  <c r="K40" i="16"/>
  <c r="K39" i="16"/>
  <c r="K38" i="16"/>
  <c r="K37" i="16"/>
  <c r="K36" i="16"/>
  <c r="K35" i="16"/>
  <c r="K34" i="16"/>
  <c r="K33" i="16"/>
  <c r="K32" i="16"/>
  <c r="K31" i="16"/>
  <c r="K30" i="16"/>
  <c r="K29" i="16"/>
  <c r="K28" i="16"/>
  <c r="K27" i="16"/>
  <c r="K26" i="16"/>
  <c r="K25" i="16"/>
  <c r="K24" i="16"/>
  <c r="K23" i="16"/>
  <c r="K22" i="16"/>
  <c r="K21" i="16"/>
  <c r="K20" i="16"/>
  <c r="K19" i="16"/>
  <c r="K18" i="16"/>
  <c r="K17" i="16"/>
  <c r="K16" i="16"/>
  <c r="K15" i="16"/>
  <c r="K14" i="16"/>
  <c r="K13" i="16"/>
  <c r="K12" i="16"/>
  <c r="K11" i="16"/>
  <c r="H154" i="16"/>
  <c r="H153" i="16"/>
  <c r="H151" i="16"/>
  <c r="H162" i="15"/>
  <c r="H161" i="15"/>
  <c r="H160" i="15"/>
  <c r="H157" i="15"/>
  <c r="H132" i="13"/>
  <c r="H130" i="13"/>
  <c r="H127" i="13"/>
  <c r="H131" i="13"/>
  <c r="H257" i="12"/>
  <c r="H256" i="12"/>
  <c r="H255" i="12"/>
  <c r="H248" i="12"/>
  <c r="H252" i="12" s="1"/>
  <c r="H257" i="11"/>
  <c r="H256" i="11"/>
  <c r="H255" i="11"/>
  <c r="H253" i="11"/>
  <c r="H228" i="8"/>
  <c r="H229" i="8"/>
  <c r="H356" i="7"/>
  <c r="H144" i="6"/>
  <c r="H143" i="6"/>
  <c r="H142" i="6"/>
  <c r="H140" i="6"/>
  <c r="H158" i="5"/>
  <c r="H157" i="5"/>
  <c r="H85" i="5"/>
  <c r="H156" i="5" s="1"/>
  <c r="D282" i="4"/>
  <c r="D17" i="4"/>
  <c r="H123" i="2"/>
  <c r="H122" i="2"/>
  <c r="H121" i="2"/>
  <c r="H124" i="2" s="1"/>
  <c r="H119" i="2"/>
  <c r="H274" i="1"/>
  <c r="K359" i="7"/>
  <c r="G114" i="37"/>
  <c r="L52" i="37"/>
  <c r="L51" i="37"/>
  <c r="L50" i="37"/>
  <c r="L49" i="37"/>
  <c r="L48" i="37"/>
  <c r="L47" i="37"/>
  <c r="L46" i="37"/>
  <c r="L45" i="37"/>
  <c r="L44" i="37"/>
  <c r="L43" i="37"/>
  <c r="L42" i="37"/>
  <c r="L41" i="37"/>
  <c r="L40" i="37"/>
  <c r="L39" i="37"/>
  <c r="L38" i="37"/>
  <c r="L37" i="37"/>
  <c r="L36" i="37"/>
  <c r="L35" i="37"/>
  <c r="L34" i="37"/>
  <c r="L33" i="37"/>
  <c r="L32" i="37"/>
  <c r="L31" i="37"/>
  <c r="L30" i="37"/>
  <c r="L29" i="37"/>
  <c r="L28" i="37"/>
  <c r="L27" i="37"/>
  <c r="L26" i="37"/>
  <c r="L25" i="37"/>
  <c r="L24" i="37"/>
  <c r="L23" i="37"/>
  <c r="L22" i="37"/>
  <c r="L21" i="37"/>
  <c r="L20" i="37"/>
  <c r="L19" i="37"/>
  <c r="L18" i="37"/>
  <c r="L17" i="37"/>
  <c r="L16" i="37"/>
  <c r="L15" i="37"/>
  <c r="L14" i="37"/>
  <c r="L13" i="37"/>
  <c r="L12" i="37"/>
  <c r="L11" i="37"/>
  <c r="H163" i="15" l="1"/>
  <c r="H258" i="12"/>
  <c r="H145" i="6"/>
  <c r="H154" i="5"/>
  <c r="H156" i="16"/>
  <c r="I159" i="16" s="1"/>
  <c r="H159" i="5"/>
  <c r="I162" i="5" s="1"/>
  <c r="H133" i="13"/>
  <c r="H258" i="11"/>
  <c r="H231" i="8"/>
  <c r="H225" i="8"/>
  <c r="G156" i="5" l="1"/>
  <c r="B267" i="1"/>
  <c r="C267" i="1"/>
  <c r="D267" i="1"/>
  <c r="G85" i="5"/>
  <c r="D112" i="5"/>
  <c r="D18" i="5"/>
  <c r="L79" i="5"/>
  <c r="L78" i="5"/>
  <c r="L77" i="5"/>
  <c r="L76" i="5"/>
  <c r="L75" i="5"/>
  <c r="L74" i="5"/>
  <c r="L73" i="5"/>
  <c r="L72" i="5"/>
  <c r="L71" i="5"/>
  <c r="L70" i="5"/>
  <c r="L69" i="5"/>
  <c r="L68" i="5"/>
  <c r="L67" i="5"/>
  <c r="L66" i="5"/>
  <c r="L65" i="5"/>
  <c r="L64" i="5"/>
  <c r="L63" i="5"/>
  <c r="L62" i="5"/>
  <c r="L61" i="5"/>
  <c r="L60" i="5"/>
  <c r="L59" i="5"/>
  <c r="L58" i="5"/>
  <c r="L57" i="5"/>
  <c r="L56" i="5"/>
  <c r="L55" i="5"/>
  <c r="L54" i="5"/>
  <c r="L53" i="5"/>
  <c r="L52" i="5"/>
  <c r="L51" i="5"/>
  <c r="L50" i="5"/>
  <c r="L49" i="5"/>
  <c r="L48" i="5"/>
  <c r="L47" i="5"/>
  <c r="L46" i="5"/>
  <c r="L45" i="5"/>
  <c r="L44" i="5"/>
  <c r="L43" i="5"/>
  <c r="L42" i="5"/>
  <c r="L41" i="5"/>
  <c r="L40" i="5"/>
  <c r="L39" i="5"/>
  <c r="L38" i="5"/>
  <c r="L37" i="5"/>
  <c r="L36" i="5"/>
  <c r="L35" i="5"/>
  <c r="L34" i="5"/>
  <c r="L33" i="5"/>
  <c r="L32" i="5"/>
  <c r="L31" i="5"/>
  <c r="L30" i="5"/>
  <c r="L29" i="5"/>
  <c r="L28" i="5"/>
  <c r="L27" i="5"/>
  <c r="L26" i="5"/>
  <c r="L25" i="5"/>
  <c r="L24" i="5"/>
  <c r="L23" i="5"/>
  <c r="L22" i="5"/>
  <c r="L21" i="5"/>
  <c r="L20" i="5"/>
  <c r="L19" i="5"/>
  <c r="L18" i="5"/>
  <c r="L17" i="5"/>
  <c r="L16" i="5"/>
  <c r="L15" i="5"/>
  <c r="L14" i="5"/>
  <c r="L13" i="5"/>
  <c r="L12" i="5"/>
  <c r="L11" i="5"/>
  <c r="L10" i="5"/>
  <c r="E304" i="4" l="1"/>
  <c r="E158" i="5"/>
  <c r="F158" i="5"/>
  <c r="K158" i="5" s="1"/>
  <c r="F157" i="5"/>
  <c r="K157" i="5" s="1"/>
  <c r="F156" i="5"/>
  <c r="K156" i="5" s="1"/>
  <c r="E157" i="5"/>
  <c r="E156" i="5"/>
  <c r="F154" i="5"/>
  <c r="E154" i="5"/>
  <c r="G154" i="5"/>
  <c r="G157" i="5"/>
  <c r="G158" i="5"/>
  <c r="D135" i="5"/>
  <c r="D141" i="5"/>
  <c r="D128" i="5"/>
  <c r="D109" i="5"/>
  <c r="C96" i="5"/>
  <c r="D95" i="5"/>
  <c r="D94" i="5"/>
  <c r="D81" i="5"/>
  <c r="D80" i="5"/>
  <c r="D68" i="5"/>
  <c r="D67" i="5"/>
  <c r="D63" i="5"/>
  <c r="D62" i="5"/>
  <c r="D58" i="5"/>
  <c r="D57" i="5"/>
  <c r="D56" i="5"/>
  <c r="D52" i="5"/>
  <c r="D51" i="5"/>
  <c r="D30" i="5"/>
  <c r="D29" i="5"/>
  <c r="B82" i="5" s="1"/>
  <c r="D82" i="5" s="1"/>
  <c r="C26" i="5"/>
  <c r="D26" i="5" s="1"/>
  <c r="C22" i="5"/>
  <c r="D22" i="5" s="1"/>
  <c r="D20" i="5"/>
  <c r="D17" i="5"/>
  <c r="D16" i="5"/>
  <c r="D15" i="5"/>
  <c r="D14" i="5"/>
  <c r="D13" i="5"/>
  <c r="D12" i="5"/>
  <c r="D11" i="5"/>
  <c r="D7" i="5"/>
  <c r="B38" i="5" s="1"/>
  <c r="D248" i="4"/>
  <c r="D299" i="4"/>
  <c r="D289" i="4"/>
  <c r="D284" i="4"/>
  <c r="D272" i="4"/>
  <c r="D267" i="4"/>
  <c r="D259" i="4"/>
  <c r="D240" i="4"/>
  <c r="D232" i="4"/>
  <c r="D223" i="4"/>
  <c r="D210" i="4"/>
  <c r="D197" i="4"/>
  <c r="D185" i="4"/>
  <c r="D184" i="4"/>
  <c r="D183" i="4"/>
  <c r="D182" i="4"/>
  <c r="D180" i="4"/>
  <c r="D179" i="4"/>
  <c r="D178" i="4"/>
  <c r="D177" i="4"/>
  <c r="D175" i="4"/>
  <c r="D172" i="4"/>
  <c r="D164" i="4"/>
  <c r="D153" i="4"/>
  <c r="D152" i="4"/>
  <c r="D151" i="4"/>
  <c r="D150" i="4"/>
  <c r="A141" i="4"/>
  <c r="D135" i="4"/>
  <c r="D134" i="4"/>
  <c r="D133" i="4"/>
  <c r="D129" i="4"/>
  <c r="D128" i="4"/>
  <c r="D127" i="4"/>
  <c r="D126" i="4"/>
  <c r="D122" i="4"/>
  <c r="D121" i="4"/>
  <c r="D120" i="4"/>
  <c r="D119" i="4"/>
  <c r="D118" i="4"/>
  <c r="D113" i="4"/>
  <c r="D112" i="4"/>
  <c r="D111" i="4"/>
  <c r="D115" i="4" s="1"/>
  <c r="B91" i="4"/>
  <c r="D91" i="4" s="1"/>
  <c r="D80" i="4"/>
  <c r="D79" i="4"/>
  <c r="D81" i="4" s="1"/>
  <c r="B95" i="4" s="1"/>
  <c r="D95" i="4" s="1"/>
  <c r="D75" i="4"/>
  <c r="D76" i="4" s="1"/>
  <c r="B94" i="4" s="1"/>
  <c r="C64" i="4"/>
  <c r="D64" i="4" s="1"/>
  <c r="C63" i="4"/>
  <c r="D63" i="4" s="1"/>
  <c r="C62" i="4"/>
  <c r="D62" i="4" s="1"/>
  <c r="C61" i="4"/>
  <c r="D61" i="4" s="1"/>
  <c r="C60" i="4"/>
  <c r="D60" i="4" s="1"/>
  <c r="C59" i="4"/>
  <c r="D59" i="4" s="1"/>
  <c r="C58" i="4"/>
  <c r="D58" i="4" s="1"/>
  <c r="C57" i="4"/>
  <c r="D57" i="4" s="1"/>
  <c r="C56" i="4"/>
  <c r="D56" i="4" s="1"/>
  <c r="C55" i="4"/>
  <c r="D55" i="4" s="1"/>
  <c r="C54" i="4"/>
  <c r="D54" i="4" s="1"/>
  <c r="C53" i="4"/>
  <c r="D53" i="4" s="1"/>
  <c r="C52" i="4"/>
  <c r="D52" i="4" s="1"/>
  <c r="C51" i="4"/>
  <c r="D51" i="4" s="1"/>
  <c r="C50" i="4"/>
  <c r="D50" i="4" s="1"/>
  <c r="C49" i="4"/>
  <c r="D49" i="4" s="1"/>
  <c r="C48" i="4"/>
  <c r="D48" i="4" s="1"/>
  <c r="C47" i="4"/>
  <c r="D47" i="4" s="1"/>
  <c r="C46" i="4"/>
  <c r="D46" i="4" s="1"/>
  <c r="C45" i="4"/>
  <c r="D45" i="4" s="1"/>
  <c r="C44" i="4"/>
  <c r="D44" i="4" s="1"/>
  <c r="C43" i="4"/>
  <c r="D43" i="4" s="1"/>
  <c r="C42" i="4"/>
  <c r="D42" i="4" s="1"/>
  <c r="C41" i="4"/>
  <c r="D41" i="4" s="1"/>
  <c r="C40" i="4"/>
  <c r="D40" i="4" s="1"/>
  <c r="C39" i="4"/>
  <c r="D39" i="4" s="1"/>
  <c r="C38" i="4"/>
  <c r="D38" i="4" s="1"/>
  <c r="C37" i="4"/>
  <c r="D37" i="4" s="1"/>
  <c r="C36" i="4"/>
  <c r="D36" i="4" s="1"/>
  <c r="C35" i="4"/>
  <c r="D35" i="4" s="1"/>
  <c r="C34" i="4"/>
  <c r="D34" i="4" s="1"/>
  <c r="C33" i="4"/>
  <c r="D33" i="4" s="1"/>
  <c r="D32" i="4"/>
  <c r="C32" i="4"/>
  <c r="C31" i="4"/>
  <c r="D31" i="4" s="1"/>
  <c r="C30" i="4"/>
  <c r="D30" i="4" s="1"/>
  <c r="C29" i="4"/>
  <c r="D29" i="4" s="1"/>
  <c r="D24" i="4"/>
  <c r="C23" i="4"/>
  <c r="D23" i="4" s="1"/>
  <c r="C22" i="4"/>
  <c r="C21" i="4"/>
  <c r="D21" i="4" s="1"/>
  <c r="C20" i="4"/>
  <c r="D20" i="4" s="1"/>
  <c r="C19" i="4"/>
  <c r="D19" i="4" s="1"/>
  <c r="C18" i="4"/>
  <c r="D18" i="4" s="1"/>
  <c r="D16" i="4"/>
  <c r="D15" i="4"/>
  <c r="D10" i="4"/>
  <c r="D9" i="4"/>
  <c r="D8" i="4"/>
  <c r="D7" i="4"/>
  <c r="D146" i="7"/>
  <c r="D12" i="4" l="1"/>
  <c r="D186" i="4"/>
  <c r="B102" i="4"/>
  <c r="B141" i="4" s="1"/>
  <c r="D141" i="4" s="1"/>
  <c r="D23" i="5"/>
  <c r="C66" i="4"/>
  <c r="D66" i="4" s="1"/>
  <c r="D68" i="4" s="1"/>
  <c r="D123" i="4"/>
  <c r="D96" i="5"/>
  <c r="D130" i="4"/>
  <c r="C72" i="4"/>
  <c r="D72" i="4" s="1"/>
  <c r="B104" i="4" s="1"/>
  <c r="D136" i="4"/>
  <c r="D69" i="5"/>
  <c r="D53" i="5"/>
  <c r="D59" i="5"/>
  <c r="D83" i="5"/>
  <c r="D31" i="5"/>
  <c r="B75" i="5" s="1"/>
  <c r="D75" i="5" s="1"/>
  <c r="D64" i="5"/>
  <c r="D38" i="5"/>
  <c r="B72" i="5"/>
  <c r="D72" i="5" s="1"/>
  <c r="B74" i="5"/>
  <c r="D74" i="5" s="1"/>
  <c r="B40" i="5"/>
  <c r="D40" i="5" s="1"/>
  <c r="D8" i="5"/>
  <c r="C35" i="5"/>
  <c r="D35" i="5" s="1"/>
  <c r="B105" i="4"/>
  <c r="D94" i="4"/>
  <c r="B139" i="4"/>
  <c r="D139" i="4" s="1"/>
  <c r="B89" i="4"/>
  <c r="D89" i="4" s="1"/>
  <c r="B100" i="4"/>
  <c r="D100" i="4" s="1"/>
  <c r="B145" i="4"/>
  <c r="D145" i="4" s="1"/>
  <c r="B154" i="4"/>
  <c r="D154" i="4" s="1"/>
  <c r="D155" i="4" s="1"/>
  <c r="D22" i="4"/>
  <c r="D26" i="4" s="1"/>
  <c r="D179" i="11"/>
  <c r="B93" i="4" l="1"/>
  <c r="D93" i="4" s="1"/>
  <c r="C84" i="4"/>
  <c r="D84" i="4" s="1"/>
  <c r="D86" i="4" s="1"/>
  <c r="D102" i="4"/>
  <c r="B41" i="5"/>
  <c r="D41" i="5" s="1"/>
  <c r="B39" i="5"/>
  <c r="D39" i="5" s="1"/>
  <c r="B73" i="5"/>
  <c r="D73" i="5" s="1"/>
  <c r="B47" i="5"/>
  <c r="D47" i="5" s="1"/>
  <c r="B42" i="5"/>
  <c r="D42" i="5" s="1"/>
  <c r="B76" i="5"/>
  <c r="D76" i="5" s="1"/>
  <c r="B46" i="5"/>
  <c r="D46" i="5" s="1"/>
  <c r="B101" i="4"/>
  <c r="D101" i="4" s="1"/>
  <c r="B90" i="4"/>
  <c r="D90" i="4" s="1"/>
  <c r="B140" i="4"/>
  <c r="D140" i="4" s="1"/>
  <c r="B103" i="4"/>
  <c r="D103" i="4" s="1"/>
  <c r="B142" i="4"/>
  <c r="D142" i="4" s="1"/>
  <c r="B92" i="4"/>
  <c r="D92" i="4" s="1"/>
  <c r="B143" i="4"/>
  <c r="D143" i="4" s="1"/>
  <c r="D104" i="4"/>
  <c r="D105" i="4"/>
  <c r="B144" i="4"/>
  <c r="D144" i="4" s="1"/>
  <c r="D128" i="6"/>
  <c r="D120" i="6"/>
  <c r="D108" i="6"/>
  <c r="D96" i="6"/>
  <c r="D81" i="6"/>
  <c r="D70" i="6"/>
  <c r="D69" i="6"/>
  <c r="D68" i="6"/>
  <c r="D57" i="6"/>
  <c r="D54" i="6"/>
  <c r="D50" i="6"/>
  <c r="D49" i="6"/>
  <c r="D46" i="6"/>
  <c r="C28" i="6"/>
  <c r="D28" i="6" s="1"/>
  <c r="B35" i="6" s="1"/>
  <c r="D23" i="6"/>
  <c r="D22" i="6"/>
  <c r="D24" i="6" s="1"/>
  <c r="D17" i="6"/>
  <c r="D19" i="6" s="1"/>
  <c r="B33" i="6" s="1"/>
  <c r="D12" i="6"/>
  <c r="D11" i="6"/>
  <c r="D7" i="6"/>
  <c r="D8" i="6" s="1"/>
  <c r="D345" i="7"/>
  <c r="D341" i="7"/>
  <c r="D336" i="7"/>
  <c r="D329" i="7"/>
  <c r="D325" i="7"/>
  <c r="D306" i="7"/>
  <c r="D289" i="7"/>
  <c r="D284" i="7"/>
  <c r="D278" i="7"/>
  <c r="D263" i="7"/>
  <c r="D254" i="7"/>
  <c r="D234" i="7"/>
  <c r="D226" i="7"/>
  <c r="D228" i="7" s="1"/>
  <c r="D223" i="7"/>
  <c r="D214" i="7"/>
  <c r="D196" i="7"/>
  <c r="D180" i="7"/>
  <c r="D181" i="7" s="1"/>
  <c r="D173" i="7"/>
  <c r="D172" i="7"/>
  <c r="D163" i="7"/>
  <c r="D158" i="7"/>
  <c r="D138" i="7"/>
  <c r="D137" i="7"/>
  <c r="D136" i="7"/>
  <c r="D135" i="7"/>
  <c r="D134" i="7"/>
  <c r="D133" i="7"/>
  <c r="D132" i="7"/>
  <c r="D131" i="7"/>
  <c r="D128" i="7"/>
  <c r="D111" i="7"/>
  <c r="D98" i="7"/>
  <c r="D97" i="7"/>
  <c r="D93" i="7"/>
  <c r="D92" i="7"/>
  <c r="D91" i="7"/>
  <c r="D86" i="7"/>
  <c r="D82" i="7"/>
  <c r="D81" i="7"/>
  <c r="D80" i="7"/>
  <c r="D60" i="7"/>
  <c r="B76" i="7" s="1"/>
  <c r="D76" i="7" s="1"/>
  <c r="B52" i="7"/>
  <c r="D52" i="7" s="1"/>
  <c r="D51" i="7"/>
  <c r="D48" i="7"/>
  <c r="B66" i="7" s="1"/>
  <c r="D38" i="7"/>
  <c r="D37" i="7"/>
  <c r="D36" i="7"/>
  <c r="D35" i="7"/>
  <c r="D34" i="7"/>
  <c r="D31" i="7"/>
  <c r="D30" i="7"/>
  <c r="D29" i="7"/>
  <c r="D28" i="7"/>
  <c r="D27" i="7"/>
  <c r="D26" i="7"/>
  <c r="D25" i="7"/>
  <c r="D24" i="7"/>
  <c r="D23" i="7"/>
  <c r="D22" i="7"/>
  <c r="D21" i="7"/>
  <c r="D20" i="7"/>
  <c r="C15" i="7"/>
  <c r="D15" i="7" s="1"/>
  <c r="D14" i="7"/>
  <c r="D13" i="7"/>
  <c r="D12" i="7"/>
  <c r="D11" i="7"/>
  <c r="D7" i="7"/>
  <c r="B63" i="7" s="1"/>
  <c r="B72" i="7" s="1"/>
  <c r="D214" i="8"/>
  <c r="D206" i="8"/>
  <c r="D197" i="8"/>
  <c r="D191" i="8"/>
  <c r="D178" i="8"/>
  <c r="D177" i="8"/>
  <c r="D176" i="8"/>
  <c r="D164" i="8"/>
  <c r="D156" i="8"/>
  <c r="D151" i="8"/>
  <c r="D139" i="8"/>
  <c r="D138" i="8"/>
  <c r="D131" i="8"/>
  <c r="D123" i="8"/>
  <c r="D122" i="8"/>
  <c r="D121" i="8"/>
  <c r="D118" i="8"/>
  <c r="D107" i="8"/>
  <c r="D99" i="8"/>
  <c r="D98" i="8"/>
  <c r="D97" i="8"/>
  <c r="D96" i="8"/>
  <c r="D80" i="8"/>
  <c r="D79" i="8"/>
  <c r="D68" i="8"/>
  <c r="D64" i="8"/>
  <c r="D63" i="8"/>
  <c r="D58" i="8"/>
  <c r="D54" i="8"/>
  <c r="D53" i="8"/>
  <c r="D29" i="8"/>
  <c r="D28" i="8"/>
  <c r="B74" i="8" s="1"/>
  <c r="D74" i="8" s="1"/>
  <c r="C25" i="8"/>
  <c r="D25" i="8" s="1"/>
  <c r="C20" i="8"/>
  <c r="D20" i="8" s="1"/>
  <c r="D19" i="8"/>
  <c r="D18" i="8"/>
  <c r="D17" i="8"/>
  <c r="D16" i="8"/>
  <c r="D15" i="8"/>
  <c r="D14" i="8"/>
  <c r="C10" i="8"/>
  <c r="D10" i="8" s="1"/>
  <c r="C9" i="8"/>
  <c r="D9" i="8" s="1"/>
  <c r="D8" i="8"/>
  <c r="D7" i="8"/>
  <c r="D119" i="13"/>
  <c r="D114" i="13"/>
  <c r="E107" i="13"/>
  <c r="D105" i="13"/>
  <c r="D89" i="13"/>
  <c r="D88" i="13"/>
  <c r="D90" i="13" s="1"/>
  <c r="D79" i="13"/>
  <c r="D78" i="13"/>
  <c r="D77" i="13"/>
  <c r="D83" i="13" s="1"/>
  <c r="D67" i="13"/>
  <c r="D66" i="13"/>
  <c r="D56" i="13"/>
  <c r="D52" i="13"/>
  <c r="D51" i="13"/>
  <c r="D53" i="13" s="1"/>
  <c r="D46" i="13"/>
  <c r="D42" i="13"/>
  <c r="D41" i="13"/>
  <c r="C24" i="13"/>
  <c r="D24" i="13" s="1"/>
  <c r="C20" i="13"/>
  <c r="D20" i="13" s="1"/>
  <c r="B61" i="13" s="1"/>
  <c r="D61" i="13" s="1"/>
  <c r="D15" i="13"/>
  <c r="D14" i="13"/>
  <c r="D13" i="13"/>
  <c r="D12" i="13"/>
  <c r="D7" i="13"/>
  <c r="D9" i="13" s="1"/>
  <c r="E153" i="14"/>
  <c r="D140" i="14"/>
  <c r="D121" i="14"/>
  <c r="C121" i="14"/>
  <c r="D114" i="14"/>
  <c r="D87" i="14"/>
  <c r="D82" i="14"/>
  <c r="D79" i="14"/>
  <c r="D73" i="14"/>
  <c r="D68" i="14"/>
  <c r="D59" i="14"/>
  <c r="D61" i="14" s="1"/>
  <c r="D53" i="14"/>
  <c r="D52" i="14"/>
  <c r="D54" i="14" s="1"/>
  <c r="D43" i="14"/>
  <c r="D40" i="14"/>
  <c r="D36" i="14"/>
  <c r="D35" i="14"/>
  <c r="D32" i="14"/>
  <c r="C18" i="14"/>
  <c r="D18" i="14" s="1"/>
  <c r="D14" i="14"/>
  <c r="D13" i="14"/>
  <c r="D8" i="14"/>
  <c r="D7" i="14"/>
  <c r="E6" i="14"/>
  <c r="D337" i="9"/>
  <c r="C337" i="9"/>
  <c r="D329" i="9"/>
  <c r="D325" i="9"/>
  <c r="D312" i="9"/>
  <c r="C312" i="9"/>
  <c r="D306" i="9"/>
  <c r="C306" i="9"/>
  <c r="D290" i="9"/>
  <c r="D285" i="9"/>
  <c r="D267" i="9"/>
  <c r="D271" i="9" s="1"/>
  <c r="D248" i="9"/>
  <c r="D240" i="9"/>
  <c r="D236" i="9"/>
  <c r="D235" i="9"/>
  <c r="D234" i="9"/>
  <c r="D233" i="9"/>
  <c r="D221" i="9"/>
  <c r="D210" i="9"/>
  <c r="D212" i="9" s="1"/>
  <c r="D203" i="9"/>
  <c r="D202" i="9"/>
  <c r="D201" i="9"/>
  <c r="D195" i="9"/>
  <c r="D184" i="9"/>
  <c r="D183" i="9"/>
  <c r="D175" i="9"/>
  <c r="D180" i="9" s="1"/>
  <c r="D171" i="9"/>
  <c r="D145" i="9"/>
  <c r="D142" i="9"/>
  <c r="D139" i="9"/>
  <c r="D147" i="9" s="1"/>
  <c r="D135" i="9"/>
  <c r="D115" i="9"/>
  <c r="D108" i="9"/>
  <c r="D107" i="9"/>
  <c r="D106" i="9"/>
  <c r="D105" i="9"/>
  <c r="D104" i="9"/>
  <c r="D91" i="9"/>
  <c r="D90" i="9"/>
  <c r="D86" i="9"/>
  <c r="D85" i="9"/>
  <c r="D84" i="9"/>
  <c r="D79" i="9"/>
  <c r="D75" i="9"/>
  <c r="D74" i="9"/>
  <c r="D73" i="9"/>
  <c r="C53" i="9"/>
  <c r="D53" i="9" s="1"/>
  <c r="B61" i="9" s="1"/>
  <c r="D49" i="9"/>
  <c r="D48" i="9"/>
  <c r="D46" i="9"/>
  <c r="D45" i="9"/>
  <c r="C42" i="9"/>
  <c r="D42" i="9" s="1"/>
  <c r="B59" i="9" s="1"/>
  <c r="D37" i="9"/>
  <c r="D35" i="9"/>
  <c r="D34" i="9"/>
  <c r="D33" i="9"/>
  <c r="D32" i="9"/>
  <c r="D31" i="9"/>
  <c r="D30" i="9"/>
  <c r="D29" i="9"/>
  <c r="D28" i="9"/>
  <c r="D27" i="9"/>
  <c r="D26" i="9"/>
  <c r="D25" i="9"/>
  <c r="D24" i="9"/>
  <c r="D23" i="9"/>
  <c r="D18" i="9"/>
  <c r="D17" i="9"/>
  <c r="D16" i="9"/>
  <c r="D15" i="9"/>
  <c r="D14" i="9"/>
  <c r="D13" i="9"/>
  <c r="D12" i="9"/>
  <c r="D11" i="9"/>
  <c r="D7" i="9"/>
  <c r="D8" i="9" s="1"/>
  <c r="D102" i="8" l="1"/>
  <c r="D51" i="6"/>
  <c r="D15" i="14"/>
  <c r="B22" i="14" s="1"/>
  <c r="D10" i="14"/>
  <c r="B46" i="14" s="1"/>
  <c r="D46" i="14" s="1"/>
  <c r="D14" i="6"/>
  <c r="B61" i="6" s="1"/>
  <c r="D61" i="6" s="1"/>
  <c r="B146" i="4"/>
  <c r="D146" i="4" s="1"/>
  <c r="D147" i="4" s="1"/>
  <c r="B106" i="4"/>
  <c r="D106" i="4" s="1"/>
  <c r="D107" i="4" s="1"/>
  <c r="B96" i="4"/>
  <c r="D96" i="4" s="1"/>
  <c r="D97" i="4" s="1"/>
  <c r="D185" i="9"/>
  <c r="D109" i="9"/>
  <c r="D30" i="8"/>
  <c r="B81" i="8"/>
  <c r="D81" i="8" s="1"/>
  <c r="D82" i="8" s="1"/>
  <c r="D65" i="8"/>
  <c r="D140" i="8"/>
  <c r="D77" i="5"/>
  <c r="D48" i="5"/>
  <c r="D43" i="5"/>
  <c r="B42" i="6"/>
  <c r="D35" i="6"/>
  <c r="B32" i="6"/>
  <c r="D32" i="6" s="1"/>
  <c r="D76" i="9"/>
  <c r="D204" i="9"/>
  <c r="D22" i="8"/>
  <c r="B47" i="8" s="1"/>
  <c r="D179" i="8"/>
  <c r="D20" i="9"/>
  <c r="B57" i="9" s="1"/>
  <c r="D57" i="9" s="1"/>
  <c r="D43" i="13"/>
  <c r="B106" i="7"/>
  <c r="D106" i="7" s="1"/>
  <c r="D53" i="7"/>
  <c r="B67" i="7" s="1"/>
  <c r="B112" i="7" s="1"/>
  <c r="D112" i="7" s="1"/>
  <c r="D113" i="7" s="1"/>
  <c r="D87" i="9"/>
  <c r="D237" i="9"/>
  <c r="D92" i="9"/>
  <c r="D37" i="14"/>
  <c r="D50" i="9"/>
  <c r="B60" i="9" s="1"/>
  <c r="B99" i="9" s="1"/>
  <c r="D99" i="9" s="1"/>
  <c r="B45" i="8"/>
  <c r="D45" i="8" s="1"/>
  <c r="D38" i="9"/>
  <c r="B58" i="9" s="1"/>
  <c r="D58" i="9" s="1"/>
  <c r="D94" i="7"/>
  <c r="D55" i="8"/>
  <c r="B46" i="8"/>
  <c r="D46" i="8" s="1"/>
  <c r="D124" i="8"/>
  <c r="B34" i="6"/>
  <c r="B71" i="6"/>
  <c r="D71" i="6" s="1"/>
  <c r="D72" i="6" s="1"/>
  <c r="B41" i="6"/>
  <c r="D33" i="6"/>
  <c r="B31" i="6"/>
  <c r="B40" i="6"/>
  <c r="D40" i="6" s="1"/>
  <c r="D99" i="7"/>
  <c r="D41" i="7"/>
  <c r="B65" i="7" s="1"/>
  <c r="D65" i="7" s="1"/>
  <c r="D83" i="7"/>
  <c r="D174" i="7"/>
  <c r="D8" i="7"/>
  <c r="B102" i="7"/>
  <c r="D102" i="7" s="1"/>
  <c r="D72" i="7"/>
  <c r="B75" i="7"/>
  <c r="D75" i="7" s="1"/>
  <c r="D66" i="7"/>
  <c r="D17" i="7"/>
  <c r="D63" i="7"/>
  <c r="B68" i="7"/>
  <c r="D68" i="7" s="1"/>
  <c r="B105" i="7"/>
  <c r="D105" i="7" s="1"/>
  <c r="B107" i="7"/>
  <c r="D107" i="7" s="1"/>
  <c r="D87" i="7"/>
  <c r="D88" i="7" s="1"/>
  <c r="B73" i="8"/>
  <c r="D73" i="8" s="1"/>
  <c r="B39" i="8"/>
  <c r="D39" i="8" s="1"/>
  <c r="B48" i="8"/>
  <c r="D48" i="8" s="1"/>
  <c r="C34" i="8"/>
  <c r="D34" i="8" s="1"/>
  <c r="B40" i="8"/>
  <c r="D40" i="8" s="1"/>
  <c r="D12" i="8"/>
  <c r="D59" i="8"/>
  <c r="D60" i="8" s="1"/>
  <c r="D17" i="13"/>
  <c r="B28" i="13" s="1"/>
  <c r="D28" i="13" s="1"/>
  <c r="D68" i="13"/>
  <c r="B34" i="13"/>
  <c r="D34" i="13" s="1"/>
  <c r="B27" i="13"/>
  <c r="D27" i="13" s="1"/>
  <c r="B59" i="13"/>
  <c r="D59" i="13" s="1"/>
  <c r="B30" i="13"/>
  <c r="B62" i="13"/>
  <c r="D62" i="13" s="1"/>
  <c r="B29" i="13"/>
  <c r="D29" i="13" s="1"/>
  <c r="B36" i="13"/>
  <c r="D36" i="13" s="1"/>
  <c r="D47" i="13"/>
  <c r="D48" i="13" s="1"/>
  <c r="B21" i="14"/>
  <c r="D21" i="14" s="1"/>
  <c r="B27" i="14"/>
  <c r="D27" i="14" s="1"/>
  <c r="B47" i="14"/>
  <c r="D47" i="14" s="1"/>
  <c r="D22" i="14"/>
  <c r="B23" i="14"/>
  <c r="D23" i="14" s="1"/>
  <c r="B28" i="14"/>
  <c r="D28" i="14" s="1"/>
  <c r="B48" i="14"/>
  <c r="D48" i="14" s="1"/>
  <c r="B69" i="9"/>
  <c r="D69" i="9" s="1"/>
  <c r="D61" i="9"/>
  <c r="B100" i="9"/>
  <c r="D100" i="9" s="1"/>
  <c r="D59" i="9"/>
  <c r="B98" i="9"/>
  <c r="D98" i="9" s="1"/>
  <c r="B68" i="9"/>
  <c r="D68" i="9" s="1"/>
  <c r="B56" i="9"/>
  <c r="D80" i="9"/>
  <c r="D81" i="9" s="1"/>
  <c r="B96" i="9" l="1"/>
  <c r="D96" i="9" s="1"/>
  <c r="D67" i="7"/>
  <c r="B97" i="9"/>
  <c r="D97" i="9" s="1"/>
  <c r="D60" i="9"/>
  <c r="B67" i="9"/>
  <c r="D67" i="9" s="1"/>
  <c r="B38" i="8"/>
  <c r="D38" i="8" s="1"/>
  <c r="D24" i="14"/>
  <c r="B66" i="9"/>
  <c r="D66" i="9" s="1"/>
  <c r="D42" i="6"/>
  <c r="B64" i="6"/>
  <c r="D64" i="6" s="1"/>
  <c r="B60" i="13"/>
  <c r="D60" i="13" s="1"/>
  <c r="D63" i="13" s="1"/>
  <c r="B35" i="13"/>
  <c r="D35" i="13" s="1"/>
  <c r="B104" i="7"/>
  <c r="D104" i="7" s="1"/>
  <c r="B74" i="7"/>
  <c r="D74" i="7" s="1"/>
  <c r="B39" i="6"/>
  <c r="D31" i="6"/>
  <c r="B62" i="6"/>
  <c r="D62" i="6" s="1"/>
  <c r="D41" i="6"/>
  <c r="D34" i="6"/>
  <c r="B63" i="6"/>
  <c r="D63" i="6" s="1"/>
  <c r="B73" i="7"/>
  <c r="D73" i="7" s="1"/>
  <c r="B103" i="7"/>
  <c r="D103" i="7" s="1"/>
  <c r="B64" i="7"/>
  <c r="D64" i="7" s="1"/>
  <c r="B49" i="8"/>
  <c r="D49" i="8" s="1"/>
  <c r="B75" i="8"/>
  <c r="D75" i="8" s="1"/>
  <c r="B41" i="8"/>
  <c r="D41" i="8" s="1"/>
  <c r="B71" i="8"/>
  <c r="D71" i="8" s="1"/>
  <c r="B37" i="8"/>
  <c r="D37" i="8" s="1"/>
  <c r="B72" i="8"/>
  <c r="D72" i="8" s="1"/>
  <c r="D47" i="8"/>
  <c r="B37" i="13"/>
  <c r="D37" i="13" s="1"/>
  <c r="D38" i="13" s="1"/>
  <c r="D30" i="13"/>
  <c r="D31" i="13" s="1"/>
  <c r="D29" i="14"/>
  <c r="D49" i="14"/>
  <c r="B95" i="9"/>
  <c r="D95" i="9" s="1"/>
  <c r="B65" i="9"/>
  <c r="D65" i="9" s="1"/>
  <c r="D56" i="9"/>
  <c r="D62" i="9" s="1"/>
  <c r="D108" i="7" l="1"/>
  <c r="D101" i="9"/>
  <c r="D69" i="7"/>
  <c r="D70" i="9"/>
  <c r="D42" i="8"/>
  <c r="D77" i="7"/>
  <c r="D36" i="6"/>
  <c r="B60" i="6"/>
  <c r="D60" i="6" s="1"/>
  <c r="D65" i="6" s="1"/>
  <c r="D39" i="6"/>
  <c r="D43" i="6" s="1"/>
  <c r="D50" i="8"/>
  <c r="D76" i="8"/>
  <c r="D13" i="37" l="1"/>
  <c r="D18" i="37"/>
  <c r="D137" i="1" l="1"/>
  <c r="C137" i="1"/>
  <c r="B137" i="1"/>
  <c r="D231" i="1"/>
  <c r="D230" i="1"/>
  <c r="D229" i="1"/>
  <c r="D228" i="1"/>
  <c r="D209" i="1"/>
  <c r="D188" i="1"/>
  <c r="D194" i="1" s="1"/>
  <c r="D185" i="1"/>
  <c r="D160" i="1"/>
  <c r="D152" i="1"/>
  <c r="D130" i="1"/>
  <c r="D109" i="1"/>
  <c r="E74" i="17"/>
  <c r="D74" i="17"/>
  <c r="D149" i="16"/>
  <c r="C149" i="16"/>
  <c r="D131" i="16"/>
  <c r="D123" i="16"/>
  <c r="D114" i="16"/>
  <c r="D88" i="16"/>
  <c r="D77" i="16"/>
  <c r="D75" i="16"/>
  <c r="D74" i="16"/>
  <c r="D73" i="16"/>
  <c r="D62" i="16"/>
  <c r="D59" i="16"/>
  <c r="D55" i="16"/>
  <c r="D54" i="16"/>
  <c r="D51" i="16"/>
  <c r="C33" i="16"/>
  <c r="D33" i="16" s="1"/>
  <c r="B40" i="16" s="1"/>
  <c r="D29" i="16"/>
  <c r="D28" i="16"/>
  <c r="B76" i="16" s="1"/>
  <c r="D76" i="16" s="1"/>
  <c r="D27" i="16"/>
  <c r="D26" i="16"/>
  <c r="D21" i="16"/>
  <c r="D23" i="16" s="1"/>
  <c r="B38" i="16" s="1"/>
  <c r="D16" i="16"/>
  <c r="D15" i="16"/>
  <c r="D13" i="16"/>
  <c r="D12" i="16"/>
  <c r="D7" i="16"/>
  <c r="D9" i="16" s="1"/>
  <c r="D139" i="15"/>
  <c r="D123" i="15"/>
  <c r="D118" i="15"/>
  <c r="D96" i="15"/>
  <c r="D90" i="15"/>
  <c r="D84" i="15"/>
  <c r="D81" i="15"/>
  <c r="D66" i="15"/>
  <c r="D65" i="15"/>
  <c r="D64" i="15"/>
  <c r="D63" i="15"/>
  <c r="D52" i="15"/>
  <c r="D49" i="15"/>
  <c r="D45" i="15"/>
  <c r="D44" i="15"/>
  <c r="D41" i="15"/>
  <c r="D22" i="15"/>
  <c r="D23" i="15" s="1"/>
  <c r="D18" i="15"/>
  <c r="B58" i="15" s="1"/>
  <c r="D58" i="15" s="1"/>
  <c r="D13" i="15"/>
  <c r="B57" i="15" s="1"/>
  <c r="D57" i="15" s="1"/>
  <c r="D12" i="15"/>
  <c r="D7" i="15"/>
  <c r="D9" i="15" s="1"/>
  <c r="D44" i="12"/>
  <c r="D45" i="12" s="1"/>
  <c r="D63" i="12"/>
  <c r="D66" i="12"/>
  <c r="D67" i="12"/>
  <c r="D68" i="12"/>
  <c r="D71" i="12"/>
  <c r="D72" i="12"/>
  <c r="D73" i="12"/>
  <c r="D77" i="12"/>
  <c r="D86" i="12"/>
  <c r="D87" i="12"/>
  <c r="D88" i="12"/>
  <c r="D90" i="12"/>
  <c r="D97" i="12"/>
  <c r="D100" i="12" s="1"/>
  <c r="D127" i="12"/>
  <c r="D132" i="12"/>
  <c r="D135" i="12" s="1"/>
  <c r="D143" i="12"/>
  <c r="D157" i="12"/>
  <c r="D159" i="12" s="1"/>
  <c r="D164" i="12"/>
  <c r="D176" i="12"/>
  <c r="D195" i="12"/>
  <c r="D202" i="12"/>
  <c r="D231" i="12"/>
  <c r="D38" i="12"/>
  <c r="C37" i="12"/>
  <c r="D37" i="12" s="1"/>
  <c r="C36" i="12"/>
  <c r="D36" i="12" s="1"/>
  <c r="D35" i="12"/>
  <c r="D34" i="12"/>
  <c r="C33" i="12"/>
  <c r="D33" i="12" s="1"/>
  <c r="D32" i="12"/>
  <c r="C31" i="12"/>
  <c r="D31" i="12" s="1"/>
  <c r="C30" i="12"/>
  <c r="D30" i="12" s="1"/>
  <c r="C29" i="12"/>
  <c r="D29" i="12" s="1"/>
  <c r="C28" i="12"/>
  <c r="D28" i="12" s="1"/>
  <c r="C27" i="12"/>
  <c r="C26" i="12"/>
  <c r="D26" i="12" s="1"/>
  <c r="C25" i="12"/>
  <c r="D25" i="12" s="1"/>
  <c r="C24" i="12"/>
  <c r="D24" i="12" s="1"/>
  <c r="D21" i="12"/>
  <c r="D20" i="12"/>
  <c r="D19" i="12"/>
  <c r="D12" i="12"/>
  <c r="D11" i="12"/>
  <c r="D10" i="12"/>
  <c r="D9" i="12"/>
  <c r="D8" i="12"/>
  <c r="D7" i="12"/>
  <c r="D245" i="11"/>
  <c r="C245" i="11"/>
  <c r="B245" i="11"/>
  <c r="D231" i="11"/>
  <c r="D234" i="11" s="1"/>
  <c r="C231" i="11"/>
  <c r="C234" i="11" s="1"/>
  <c r="B231" i="11"/>
  <c r="B234" i="11" s="1"/>
  <c r="D203" i="11"/>
  <c r="D178" i="11"/>
  <c r="D180" i="11" s="1"/>
  <c r="D182" i="11" s="1"/>
  <c r="D185" i="11" s="1"/>
  <c r="C178" i="11"/>
  <c r="C180" i="11" s="1"/>
  <c r="C182" i="11" s="1"/>
  <c r="C185" i="11" s="1"/>
  <c r="B178" i="11"/>
  <c r="B180" i="11" s="1"/>
  <c r="B182" i="11" s="1"/>
  <c r="B185" i="11" s="1"/>
  <c r="D154" i="11"/>
  <c r="D145" i="11"/>
  <c r="D131" i="11"/>
  <c r="D125" i="11"/>
  <c r="D119" i="11"/>
  <c r="D116" i="11"/>
  <c r="D113" i="11"/>
  <c r="D104" i="11"/>
  <c r="D99" i="11"/>
  <c r="D88" i="11"/>
  <c r="D69" i="11"/>
  <c r="D67" i="11"/>
  <c r="D66" i="11"/>
  <c r="D65" i="11"/>
  <c r="D54" i="11"/>
  <c r="D51" i="11"/>
  <c r="D47" i="11"/>
  <c r="D46" i="11"/>
  <c r="D43" i="11"/>
  <c r="D28" i="11"/>
  <c r="B34" i="11" s="1"/>
  <c r="D34" i="11" s="1"/>
  <c r="D24" i="11"/>
  <c r="D23" i="11"/>
  <c r="D22" i="11"/>
  <c r="B59" i="11" s="1"/>
  <c r="D59" i="11" s="1"/>
  <c r="D21" i="11"/>
  <c r="D20" i="11"/>
  <c r="D19" i="11"/>
  <c r="D13" i="11"/>
  <c r="D15" i="11" s="1"/>
  <c r="B39" i="11" s="1"/>
  <c r="D39" i="11" s="1"/>
  <c r="D7" i="11"/>
  <c r="D9" i="11" s="1"/>
  <c r="D78" i="2"/>
  <c r="D67" i="15" l="1"/>
  <c r="D46" i="15"/>
  <c r="D74" i="12"/>
  <c r="D48" i="11"/>
  <c r="B68" i="11"/>
  <c r="D68" i="11" s="1"/>
  <c r="D70" i="11" s="1"/>
  <c r="B37" i="15"/>
  <c r="D37" i="15" s="1"/>
  <c r="D19" i="15"/>
  <c r="D15" i="15"/>
  <c r="B29" i="15" s="1"/>
  <c r="D29" i="15" s="1"/>
  <c r="D18" i="16"/>
  <c r="B37" i="16" s="1"/>
  <c r="D37" i="16" s="1"/>
  <c r="B58" i="12"/>
  <c r="D58" i="12" s="1"/>
  <c r="D15" i="12"/>
  <c r="B80" i="12" s="1"/>
  <c r="D80" i="12" s="1"/>
  <c r="B60" i="11"/>
  <c r="D60" i="11" s="1"/>
  <c r="D56" i="16"/>
  <c r="D30" i="16"/>
  <c r="B39" i="16" s="1"/>
  <c r="B68" i="16" s="1"/>
  <c r="D68" i="16" s="1"/>
  <c r="D25" i="11"/>
  <c r="B33" i="11" s="1"/>
  <c r="D33" i="11" s="1"/>
  <c r="B47" i="16"/>
  <c r="D47" i="16" s="1"/>
  <c r="D40" i="16"/>
  <c r="B69" i="16"/>
  <c r="D69" i="16" s="1"/>
  <c r="B46" i="16"/>
  <c r="D38" i="16"/>
  <c r="D78" i="16"/>
  <c r="B36" i="16"/>
  <c r="D36" i="16" s="1"/>
  <c r="B65" i="16"/>
  <c r="D65" i="16" s="1"/>
  <c r="B44" i="16"/>
  <c r="D44" i="16" s="1"/>
  <c r="B28" i="15"/>
  <c r="D28" i="15" s="1"/>
  <c r="B55" i="15"/>
  <c r="D55" i="15" s="1"/>
  <c r="B35" i="15"/>
  <c r="D35" i="15" s="1"/>
  <c r="B59" i="15"/>
  <c r="D59" i="15" s="1"/>
  <c r="B31" i="15"/>
  <c r="D31" i="15" s="1"/>
  <c r="B30" i="15"/>
  <c r="D30" i="15" s="1"/>
  <c r="B59" i="12"/>
  <c r="D59" i="12" s="1"/>
  <c r="B82" i="12"/>
  <c r="D82" i="12" s="1"/>
  <c r="B53" i="12"/>
  <c r="D53" i="12" s="1"/>
  <c r="C39" i="12"/>
  <c r="D39" i="12" s="1"/>
  <c r="D27" i="12"/>
  <c r="D41" i="12" s="1"/>
  <c r="B31" i="11"/>
  <c r="D31" i="11" s="1"/>
  <c r="B38" i="11"/>
  <c r="D38" i="11" s="1"/>
  <c r="D40" i="11" s="1"/>
  <c r="B32" i="11"/>
  <c r="B57" i="11"/>
  <c r="D57" i="11" s="1"/>
  <c r="B61" i="11"/>
  <c r="D61" i="11" s="1"/>
  <c r="B36" i="15" l="1"/>
  <c r="D36" i="15" s="1"/>
  <c r="B56" i="15"/>
  <c r="D56" i="15" s="1"/>
  <c r="B51" i="12"/>
  <c r="D38" i="15"/>
  <c r="D39" i="16"/>
  <c r="B45" i="16"/>
  <c r="D45" i="16" s="1"/>
  <c r="D41" i="16"/>
  <c r="B89" i="12"/>
  <c r="D89" i="12" s="1"/>
  <c r="D91" i="12" s="1"/>
  <c r="B81" i="12"/>
  <c r="D81" i="12" s="1"/>
  <c r="D83" i="12" s="1"/>
  <c r="B52" i="12"/>
  <c r="D52" i="12" s="1"/>
  <c r="D46" i="16"/>
  <c r="B67" i="16"/>
  <c r="D67" i="16" s="1"/>
  <c r="D60" i="15"/>
  <c r="D32" i="15"/>
  <c r="B58" i="11"/>
  <c r="D58" i="11" s="1"/>
  <c r="D62" i="11" s="1"/>
  <c r="D32" i="11"/>
  <c r="D35" i="11" s="1"/>
  <c r="A1" i="12"/>
  <c r="D51" i="12" l="1"/>
  <c r="D54" i="12" s="1"/>
  <c r="B57" i="12"/>
  <c r="D57" i="12" s="1"/>
  <c r="D60" i="12" s="1"/>
  <c r="D48" i="16"/>
  <c r="B66" i="16"/>
  <c r="D66" i="16" s="1"/>
  <c r="D70" i="16" s="1"/>
  <c r="D118" i="1" l="1"/>
  <c r="C110" i="37" l="1"/>
  <c r="B110" i="37"/>
  <c r="D49" i="17"/>
  <c r="C49" i="17"/>
  <c r="D32" i="17"/>
  <c r="C32" i="17"/>
  <c r="B74" i="17"/>
  <c r="C354" i="7"/>
  <c r="B354" i="7"/>
  <c r="C107" i="2"/>
  <c r="B107" i="2"/>
  <c r="C102" i="2"/>
  <c r="B102" i="2"/>
  <c r="C95" i="2"/>
  <c r="B95" i="2"/>
  <c r="E12" i="63"/>
  <c r="G256" i="12"/>
  <c r="F256" i="12"/>
  <c r="E256" i="12"/>
  <c r="E257" i="12"/>
  <c r="D23" i="18"/>
  <c r="C23" i="18"/>
  <c r="B23" i="18"/>
  <c r="F94" i="17"/>
  <c r="E142" i="1"/>
  <c r="E17" i="63" l="1"/>
  <c r="C260" i="1"/>
  <c r="B260" i="1"/>
  <c r="C249" i="1"/>
  <c r="B249" i="1"/>
  <c r="C231" i="1"/>
  <c r="B231" i="1"/>
  <c r="C230" i="1"/>
  <c r="B230" i="1"/>
  <c r="C229" i="1"/>
  <c r="B229" i="1"/>
  <c r="C228" i="1"/>
  <c r="B228" i="1"/>
  <c r="C220" i="1"/>
  <c r="B220" i="1"/>
  <c r="B210" i="1"/>
  <c r="B213" i="1" s="1"/>
  <c r="B215" i="1" s="1"/>
  <c r="C209" i="1"/>
  <c r="C210" i="1" s="1"/>
  <c r="C213" i="1" s="1"/>
  <c r="C215" i="1" s="1"/>
  <c r="B194" i="1"/>
  <c r="C193" i="1"/>
  <c r="C189" i="1"/>
  <c r="C188" i="1"/>
  <c r="B185" i="1"/>
  <c r="C184" i="1"/>
  <c r="C185" i="1" s="1"/>
  <c r="C176" i="1"/>
  <c r="B176" i="1"/>
  <c r="C165" i="1"/>
  <c r="B165" i="1"/>
  <c r="C160" i="1"/>
  <c r="B160" i="1"/>
  <c r="C152" i="1"/>
  <c r="B152" i="1"/>
  <c r="C145" i="1"/>
  <c r="B145" i="1"/>
  <c r="C130" i="1"/>
  <c r="B130" i="1"/>
  <c r="C121" i="1"/>
  <c r="B121" i="1"/>
  <c r="C114" i="1"/>
  <c r="B114" i="1"/>
  <c r="C109" i="1"/>
  <c r="B109" i="1"/>
  <c r="B239" i="1" l="1"/>
  <c r="C239" i="1"/>
  <c r="C194" i="1"/>
  <c r="D32" i="1" l="1"/>
  <c r="D98" i="1" l="1"/>
  <c r="D12" i="37" l="1"/>
  <c r="D14" i="37" s="1"/>
  <c r="D13" i="1" l="1"/>
  <c r="H276" i="1" l="1"/>
  <c r="G63" i="18" l="1"/>
  <c r="E63" i="18"/>
  <c r="D63" i="18"/>
  <c r="C63" i="18"/>
  <c r="B63" i="18"/>
  <c r="F345" i="9"/>
  <c r="H346" i="9"/>
  <c r="G346" i="9"/>
  <c r="J344" i="9"/>
  <c r="J347" i="9" s="1"/>
  <c r="H344" i="9"/>
  <c r="G344" i="9"/>
  <c r="G31" i="18"/>
  <c r="F31" i="18"/>
  <c r="E31" i="18"/>
  <c r="G61" i="18"/>
  <c r="G64" i="18" s="1"/>
  <c r="E64" i="18"/>
  <c r="D61" i="18"/>
  <c r="D64" i="18" s="1"/>
  <c r="C61" i="18"/>
  <c r="C64" i="18" s="1"/>
  <c r="B61" i="18"/>
  <c r="B64" i="18" s="1"/>
  <c r="H380" i="3"/>
  <c r="J379" i="3"/>
  <c r="H379" i="3"/>
  <c r="H378" i="3"/>
  <c r="B65" i="18" l="1"/>
  <c r="C65" i="18"/>
  <c r="G65" i="18"/>
  <c r="D65" i="18"/>
  <c r="E65" i="18"/>
  <c r="H381" i="3"/>
  <c r="H307" i="4"/>
  <c r="H306" i="4"/>
  <c r="H304" i="4"/>
  <c r="H309" i="4" l="1"/>
  <c r="C17" i="2" l="1"/>
  <c r="D17" i="2" s="1"/>
  <c r="B23" i="2" s="1"/>
  <c r="B29" i="2" s="1"/>
  <c r="H278" i="1"/>
  <c r="H277" i="1"/>
  <c r="C37" i="1"/>
  <c r="H279" i="1" l="1"/>
  <c r="G229" i="8" l="1"/>
  <c r="F229" i="8"/>
  <c r="F230" i="8"/>
  <c r="G380" i="3"/>
  <c r="G123" i="2"/>
  <c r="G278" i="1"/>
  <c r="G356" i="7"/>
  <c r="K360" i="7"/>
  <c r="E131" i="13"/>
  <c r="G131" i="13"/>
  <c r="F131" i="13"/>
  <c r="F127" i="13"/>
  <c r="G127" i="13"/>
  <c r="B31" i="18"/>
  <c r="C31" i="18"/>
  <c r="G132" i="13"/>
  <c r="H345" i="9" l="1"/>
  <c r="H347" i="9" s="1"/>
  <c r="G345" i="9"/>
  <c r="G347" i="9" s="1"/>
  <c r="G378" i="3"/>
  <c r="G379" i="3"/>
  <c r="J349" i="9" l="1"/>
  <c r="J351" i="9" s="1"/>
  <c r="I349" i="9"/>
  <c r="C74" i="17"/>
  <c r="E49" i="17"/>
  <c r="E32" i="17"/>
  <c r="J257" i="12" l="1"/>
  <c r="F257" i="12"/>
  <c r="J256" i="12"/>
  <c r="J255" i="12"/>
  <c r="F255" i="12"/>
  <c r="E253" i="12"/>
  <c r="J248" i="12"/>
  <c r="G257" i="12"/>
  <c r="E248" i="12"/>
  <c r="E255" i="12" l="1"/>
  <c r="E258" i="12" s="1"/>
  <c r="J258" i="12"/>
  <c r="J252" i="12"/>
  <c r="E252" i="12"/>
  <c r="F258" i="12"/>
  <c r="F248" i="12"/>
  <c r="F252" i="12" l="1"/>
  <c r="G248" i="12" l="1"/>
  <c r="G255" i="12"/>
  <c r="G258" i="12" s="1"/>
  <c r="G252" i="12" l="1"/>
  <c r="D31" i="18" l="1"/>
  <c r="D16" i="1" l="1"/>
  <c r="D29" i="2" l="1"/>
  <c r="B49" i="2"/>
  <c r="D49" i="2" s="1"/>
  <c r="D260" i="1" l="1"/>
  <c r="A1" i="2" l="1"/>
  <c r="D7" i="2"/>
  <c r="D9" i="2" s="1"/>
  <c r="B21" i="2" s="1"/>
  <c r="D12" i="2"/>
  <c r="D13" i="2"/>
  <c r="D33" i="2"/>
  <c r="D36" i="2"/>
  <c r="D37" i="2"/>
  <c r="D41" i="2"/>
  <c r="D44" i="2"/>
  <c r="D53" i="2"/>
  <c r="D54" i="2"/>
  <c r="D70" i="2"/>
  <c r="D95" i="2"/>
  <c r="D102" i="2"/>
  <c r="D107" i="2"/>
  <c r="E119" i="2"/>
  <c r="F119" i="2"/>
  <c r="G119" i="2"/>
  <c r="E121" i="2"/>
  <c r="F121" i="2"/>
  <c r="G121" i="2"/>
  <c r="J121" i="2"/>
  <c r="E122" i="2"/>
  <c r="F122" i="2"/>
  <c r="G122" i="2"/>
  <c r="J122" i="2"/>
  <c r="E123" i="2"/>
  <c r="F123" i="2"/>
  <c r="D210" i="1"/>
  <c r="D213" i="1" s="1"/>
  <c r="D215" i="1" s="1"/>
  <c r="D14" i="2" l="1"/>
  <c r="D55" i="2"/>
  <c r="E124" i="2"/>
  <c r="D38" i="2"/>
  <c r="F124" i="2"/>
  <c r="J124" i="2"/>
  <c r="D21" i="2"/>
  <c r="B47" i="2"/>
  <c r="D47" i="2" s="1"/>
  <c r="G124" i="2"/>
  <c r="J127" i="2" l="1"/>
  <c r="J129" i="2" s="1"/>
  <c r="B28" i="2"/>
  <c r="D28" i="2" s="1"/>
  <c r="B22" i="2"/>
  <c r="D22" i="2" s="1"/>
  <c r="B27" i="2"/>
  <c r="D27" i="2" s="1"/>
  <c r="B48" i="2"/>
  <c r="D48" i="2" s="1"/>
  <c r="D50" i="2" s="1"/>
  <c r="D23" i="2"/>
  <c r="D24" i="2" l="1"/>
  <c r="D30" i="2"/>
  <c r="J278" i="1" l="1"/>
  <c r="J277" i="1"/>
  <c r="J276" i="1"/>
  <c r="J274" i="1"/>
  <c r="J307" i="4"/>
  <c r="J306" i="4"/>
  <c r="J304" i="4"/>
  <c r="J154" i="53"/>
  <c r="J153" i="53"/>
  <c r="J152" i="53"/>
  <c r="J150" i="53"/>
  <c r="J144" i="6"/>
  <c r="J143" i="6"/>
  <c r="J142" i="6"/>
  <c r="J140" i="6"/>
  <c r="J356" i="7"/>
  <c r="J228" i="8"/>
  <c r="J257" i="11"/>
  <c r="J256" i="11"/>
  <c r="J255" i="11"/>
  <c r="J253" i="11"/>
  <c r="J132" i="13"/>
  <c r="J130" i="13"/>
  <c r="J127" i="13"/>
  <c r="J149" i="14"/>
  <c r="J161" i="15"/>
  <c r="J160" i="15"/>
  <c r="J154" i="16"/>
  <c r="J153" i="16"/>
  <c r="J151" i="16"/>
  <c r="K98" i="17"/>
  <c r="K97" i="17"/>
  <c r="K96" i="17"/>
  <c r="K94" i="17"/>
  <c r="K92" i="17"/>
  <c r="J342" i="9"/>
  <c r="J116" i="37"/>
  <c r="J115" i="37"/>
  <c r="J114" i="37"/>
  <c r="J112" i="37"/>
  <c r="J16" i="36"/>
  <c r="J18" i="36" s="1"/>
  <c r="J12" i="36"/>
  <c r="J20" i="50"/>
  <c r="J12" i="63"/>
  <c r="G29" i="18" l="1"/>
  <c r="G30" i="18"/>
  <c r="J159" i="5"/>
  <c r="J231" i="8"/>
  <c r="J133" i="13"/>
  <c r="J145" i="6"/>
  <c r="J163" i="15"/>
  <c r="J156" i="16"/>
  <c r="J155" i="53"/>
  <c r="J361" i="7"/>
  <c r="J117" i="37"/>
  <c r="K99" i="17"/>
  <c r="J258" i="11"/>
  <c r="J279" i="1"/>
  <c r="J309" i="4"/>
  <c r="F30" i="18" l="1"/>
  <c r="F29" i="18"/>
  <c r="F28" i="18"/>
  <c r="F26" i="18"/>
  <c r="J168" i="15"/>
  <c r="J169" i="15" s="1"/>
  <c r="F32" i="18" l="1"/>
  <c r="J161" i="5"/>
  <c r="F142" i="6" l="1"/>
  <c r="E142" i="6" l="1"/>
  <c r="E143" i="6"/>
  <c r="H16" i="63" l="1"/>
  <c r="G16" i="63"/>
  <c r="F344" i="9" l="1"/>
  <c r="E344" i="9"/>
  <c r="G306" i="4" l="1"/>
  <c r="H116" i="37"/>
  <c r="H115" i="37"/>
  <c r="H112" i="37"/>
  <c r="H342" i="9"/>
  <c r="I98" i="17"/>
  <c r="I97" i="17"/>
  <c r="I96" i="17"/>
  <c r="H149" i="14"/>
  <c r="H376" i="3"/>
  <c r="E30" i="18" l="1"/>
  <c r="E28" i="18"/>
  <c r="E26" i="18"/>
  <c r="E29" i="18"/>
  <c r="H117" i="37"/>
  <c r="I120" i="37" s="1"/>
  <c r="I99" i="17"/>
  <c r="H361" i="7"/>
  <c r="I364" i="7" s="1"/>
  <c r="E32" i="18" l="1"/>
  <c r="L32" i="18" s="1"/>
  <c r="F380" i="3" l="1"/>
  <c r="E380" i="3"/>
  <c r="F379" i="3"/>
  <c r="E379" i="3"/>
  <c r="E378" i="3"/>
  <c r="G376" i="3"/>
  <c r="E376" i="3"/>
  <c r="G381" i="3" l="1"/>
  <c r="E381" i="3"/>
  <c r="F155" i="16" l="1"/>
  <c r="E155" i="16"/>
  <c r="F154" i="16"/>
  <c r="E154" i="16"/>
  <c r="F153" i="16"/>
  <c r="E153" i="16"/>
  <c r="G151" i="16"/>
  <c r="F151" i="16"/>
  <c r="E151" i="16"/>
  <c r="E156" i="16" l="1"/>
  <c r="F156" i="16"/>
  <c r="G144" i="6" l="1"/>
  <c r="F144" i="6"/>
  <c r="E144" i="6"/>
  <c r="E145" i="6" s="1"/>
  <c r="G143" i="6"/>
  <c r="F143" i="6"/>
  <c r="G142" i="6"/>
  <c r="G140" i="6"/>
  <c r="F140" i="6"/>
  <c r="E140" i="6"/>
  <c r="F356" i="7"/>
  <c r="E356" i="7"/>
  <c r="D354" i="7"/>
  <c r="G228" i="8"/>
  <c r="F228" i="8"/>
  <c r="E228" i="8"/>
  <c r="G225" i="8"/>
  <c r="F225" i="8"/>
  <c r="E225" i="8"/>
  <c r="F132" i="13"/>
  <c r="E132" i="13"/>
  <c r="G130" i="13"/>
  <c r="E130" i="13"/>
  <c r="E127" i="13"/>
  <c r="E152" i="14"/>
  <c r="G149" i="14"/>
  <c r="F149" i="14"/>
  <c r="E151" i="14"/>
  <c r="H98" i="17"/>
  <c r="G98" i="17"/>
  <c r="F98" i="17"/>
  <c r="G97" i="17"/>
  <c r="F97" i="17"/>
  <c r="H96" i="17"/>
  <c r="G96" i="17"/>
  <c r="F96" i="17"/>
  <c r="G94" i="17"/>
  <c r="H92" i="17"/>
  <c r="G92" i="17"/>
  <c r="F92" i="17"/>
  <c r="E7" i="17"/>
  <c r="E9" i="17" s="1"/>
  <c r="F130" i="13" l="1"/>
  <c r="F133" i="13" s="1"/>
  <c r="E231" i="8"/>
  <c r="F231" i="8"/>
  <c r="F361" i="7"/>
  <c r="E133" i="13"/>
  <c r="G133" i="13"/>
  <c r="F145" i="6"/>
  <c r="F99" i="17"/>
  <c r="G99" i="17"/>
  <c r="G361" i="7"/>
  <c r="G231" i="8"/>
  <c r="E361" i="7"/>
  <c r="G145" i="6"/>
  <c r="E154" i="14"/>
  <c r="E149" i="14"/>
  <c r="H97" i="17"/>
  <c r="H99" i="17" s="1"/>
  <c r="H94" i="17"/>
  <c r="C15" i="17"/>
  <c r="E15" i="17" s="1"/>
  <c r="C12" i="17"/>
  <c r="E12" i="17" s="1"/>
  <c r="G363" i="7" l="1"/>
  <c r="F346" i="9"/>
  <c r="E346" i="9"/>
  <c r="E345" i="9"/>
  <c r="G342" i="9"/>
  <c r="F342" i="9"/>
  <c r="E342" i="9"/>
  <c r="F347" i="9" l="1"/>
  <c r="E347" i="9"/>
  <c r="D7" i="37" l="1"/>
  <c r="D9" i="37" s="1"/>
  <c r="B30" i="37" s="1"/>
  <c r="D17" i="37"/>
  <c r="D33" i="37"/>
  <c r="D36" i="37"/>
  <c r="D37" i="37"/>
  <c r="D41" i="37"/>
  <c r="D44" i="37"/>
  <c r="D53" i="37"/>
  <c r="D54" i="37"/>
  <c r="B55" i="37"/>
  <c r="D55" i="37" s="1"/>
  <c r="D56" i="37"/>
  <c r="D71" i="37"/>
  <c r="D72" i="37" s="1"/>
  <c r="D93" i="37"/>
  <c r="D110" i="37"/>
  <c r="E112" i="37"/>
  <c r="F112" i="37"/>
  <c r="G112" i="37"/>
  <c r="E114" i="37"/>
  <c r="F114" i="37"/>
  <c r="E115" i="37"/>
  <c r="F115" i="37"/>
  <c r="G115" i="37"/>
  <c r="E116" i="37"/>
  <c r="F116" i="37"/>
  <c r="G116" i="37"/>
  <c r="D19" i="37" l="1"/>
  <c r="B26" i="37" s="1"/>
  <c r="D38" i="37"/>
  <c r="E117" i="37"/>
  <c r="D57" i="37"/>
  <c r="F117" i="37"/>
  <c r="G117" i="37"/>
  <c r="B24" i="37"/>
  <c r="D24" i="37" s="1"/>
  <c r="B47" i="37"/>
  <c r="D47" i="37" s="1"/>
  <c r="B49" i="37" l="1"/>
  <c r="D49" i="37" s="1"/>
  <c r="D26" i="37"/>
  <c r="B48" i="37"/>
  <c r="D48" i="37" s="1"/>
  <c r="B25" i="37"/>
  <c r="D25" i="37" s="1"/>
  <c r="D30" i="37"/>
  <c r="D50" i="37" l="1"/>
  <c r="D27" i="37"/>
  <c r="L308" i="4"/>
  <c r="G307" i="4"/>
  <c r="F307" i="4"/>
  <c r="K307" i="4" s="1"/>
  <c r="E307" i="4"/>
  <c r="F306" i="4"/>
  <c r="E306" i="4"/>
  <c r="G304" i="4"/>
  <c r="F304" i="4"/>
  <c r="K306" i="4" l="1"/>
  <c r="L306" i="4" s="1"/>
  <c r="E309" i="4"/>
  <c r="L307" i="4"/>
  <c r="F309" i="4"/>
  <c r="G309" i="4"/>
  <c r="F159" i="5" l="1"/>
  <c r="G159" i="5"/>
  <c r="E159" i="5"/>
  <c r="G162" i="15" l="1"/>
  <c r="F162" i="15"/>
  <c r="G161" i="15"/>
  <c r="F161" i="15"/>
  <c r="G160" i="15"/>
  <c r="F160" i="15"/>
  <c r="G157" i="15"/>
  <c r="F157" i="15"/>
  <c r="E157" i="15"/>
  <c r="F163" i="15" l="1"/>
  <c r="G163" i="15"/>
  <c r="G257" i="11" l="1"/>
  <c r="D30" i="18" s="1"/>
  <c r="E257" i="11"/>
  <c r="G256" i="11"/>
  <c r="F256" i="11"/>
  <c r="E256" i="11"/>
  <c r="G255" i="11"/>
  <c r="F255" i="11"/>
  <c r="E255" i="11"/>
  <c r="G253" i="11"/>
  <c r="E253" i="11"/>
  <c r="F257" i="11"/>
  <c r="E258" i="11" l="1"/>
  <c r="F258" i="11"/>
  <c r="G258" i="11"/>
  <c r="F253" i="11"/>
  <c r="G277" i="1" l="1"/>
  <c r="D29" i="18" s="1"/>
  <c r="G276" i="1"/>
  <c r="D28" i="18" s="1"/>
  <c r="G274" i="1"/>
  <c r="D26" i="18" l="1"/>
  <c r="D32" i="18"/>
  <c r="G279" i="1"/>
  <c r="K32" i="18" l="1"/>
  <c r="E17" i="61"/>
  <c r="A1" i="3" l="1"/>
  <c r="I16" i="63" l="1"/>
  <c r="I18" i="63" s="1"/>
  <c r="E18" i="63"/>
  <c r="J17" i="63"/>
  <c r="J18" i="63" s="1"/>
  <c r="I12" i="63"/>
  <c r="H12" i="63"/>
  <c r="H17" i="63" s="1"/>
  <c r="H18" i="63" s="1"/>
  <c r="G12" i="63"/>
  <c r="G17" i="63" s="1"/>
  <c r="G18" i="63" s="1"/>
  <c r="F12" i="63"/>
  <c r="F17" i="63" s="1"/>
  <c r="A1" i="63"/>
  <c r="F18" i="63" l="1"/>
  <c r="J318" i="4"/>
  <c r="J120" i="37" l="1"/>
  <c r="J121" i="37" s="1"/>
  <c r="J157" i="14" l="1"/>
  <c r="J233" i="8"/>
  <c r="K100" i="17" l="1"/>
  <c r="H16" i="36" l="1"/>
  <c r="H12" i="36"/>
  <c r="D249" i="1" l="1"/>
  <c r="D220" i="1"/>
  <c r="D176" i="1"/>
  <c r="D145" i="1"/>
  <c r="D239" i="1" l="1"/>
  <c r="A1" i="53" l="1"/>
  <c r="A1" i="50" l="1"/>
  <c r="A1" i="61"/>
  <c r="A1" i="36"/>
  <c r="A1" i="37"/>
  <c r="A1" i="9"/>
  <c r="A1" i="17"/>
  <c r="A1" i="16"/>
  <c r="A1" i="15"/>
  <c r="A1" i="14"/>
  <c r="A1" i="13"/>
  <c r="A1" i="11"/>
  <c r="A1" i="8"/>
  <c r="A1" i="7"/>
  <c r="A1" i="6"/>
  <c r="A1" i="5"/>
  <c r="A1" i="4"/>
  <c r="A1" i="1"/>
  <c r="F278" i="1" l="1"/>
  <c r="C30" i="18" s="1"/>
  <c r="F277" i="1"/>
  <c r="C29" i="18" s="1"/>
  <c r="F276" i="1"/>
  <c r="F274" i="1"/>
  <c r="F279" i="1" l="1"/>
  <c r="G282" i="1" s="1"/>
  <c r="I16" i="61" l="1"/>
  <c r="I18" i="61" s="1"/>
  <c r="H16" i="61"/>
  <c r="H18" i="61" s="1"/>
  <c r="H19" i="50" s="1"/>
  <c r="G16" i="61"/>
  <c r="G18" i="61" s="1"/>
  <c r="F16" i="61"/>
  <c r="F18" i="61" s="1"/>
  <c r="E18" i="61"/>
  <c r="J12" i="61"/>
  <c r="J17" i="61" s="1"/>
  <c r="J18" i="61" s="1"/>
  <c r="I12" i="61"/>
  <c r="H12" i="61"/>
  <c r="G12" i="61"/>
  <c r="F12" i="61"/>
  <c r="E12" i="61"/>
  <c r="D26" i="1" l="1"/>
  <c r="D25" i="1"/>
  <c r="D24" i="1"/>
  <c r="D23" i="1"/>
  <c r="D22" i="1"/>
  <c r="D21" i="1"/>
  <c r="D10" i="50"/>
  <c r="D13" i="50"/>
  <c r="D15" i="50" s="1"/>
  <c r="G20" i="50" s="1"/>
  <c r="E20" i="50"/>
  <c r="F20" i="50"/>
  <c r="H20" i="50"/>
  <c r="I20" i="50"/>
  <c r="E12" i="36"/>
  <c r="F12" i="36"/>
  <c r="G12" i="36"/>
  <c r="I12" i="36"/>
  <c r="I19" i="50" s="1"/>
  <c r="E16" i="36"/>
  <c r="E18" i="36" s="1"/>
  <c r="F16" i="36"/>
  <c r="F18" i="36" s="1"/>
  <c r="G16" i="36"/>
  <c r="G18" i="36" s="1"/>
  <c r="H18" i="36"/>
  <c r="I16" i="36"/>
  <c r="I18" i="36" s="1"/>
  <c r="H68" i="18"/>
  <c r="H69" i="18"/>
  <c r="H70" i="18"/>
  <c r="D7" i="1"/>
  <c r="D8" i="1"/>
  <c r="D12" i="1"/>
  <c r="B42" i="1" s="1"/>
  <c r="D14" i="1"/>
  <c r="D15" i="1"/>
  <c r="D31" i="1"/>
  <c r="D33" i="1"/>
  <c r="D58" i="1"/>
  <c r="D61" i="1"/>
  <c r="D62" i="1"/>
  <c r="D66" i="1"/>
  <c r="D69" i="1"/>
  <c r="D81" i="1"/>
  <c r="D82" i="1"/>
  <c r="D83" i="1"/>
  <c r="D92" i="1"/>
  <c r="D114" i="1"/>
  <c r="D121" i="1"/>
  <c r="E277" i="1"/>
  <c r="B29" i="18" s="1"/>
  <c r="D165" i="1"/>
  <c r="E274" i="1"/>
  <c r="B26" i="18" s="1"/>
  <c r="E276" i="1"/>
  <c r="B28" i="18" s="1"/>
  <c r="E278" i="1"/>
  <c r="B30" i="18" s="1"/>
  <c r="B32" i="18" l="1"/>
  <c r="I32" i="18" s="1"/>
  <c r="E19" i="50"/>
  <c r="B43" i="1"/>
  <c r="D43" i="1" s="1"/>
  <c r="D34" i="1"/>
  <c r="D63" i="1"/>
  <c r="D28" i="1"/>
  <c r="B53" i="1" s="1"/>
  <c r="D18" i="1"/>
  <c r="D9" i="1"/>
  <c r="D41" i="1"/>
  <c r="D42" i="1"/>
  <c r="B51" i="1"/>
  <c r="D51" i="1" s="1"/>
  <c r="E279" i="1"/>
  <c r="B52" i="1" l="1"/>
  <c r="D52" i="1" s="1"/>
  <c r="B74" i="1"/>
  <c r="D74" i="1" s="1"/>
  <c r="B73" i="1"/>
  <c r="D73" i="1" s="1"/>
  <c r="B75" i="1"/>
  <c r="B84" i="1" s="1"/>
  <c r="B44" i="1"/>
  <c r="D44" i="1" s="1"/>
  <c r="B45" i="1"/>
  <c r="D45" i="1" s="1"/>
  <c r="D37" i="1"/>
  <c r="D53" i="1"/>
  <c r="B80" i="1"/>
  <c r="D80" i="1" s="1"/>
  <c r="B50" i="1"/>
  <c r="D50" i="1" s="1"/>
  <c r="B72" i="1"/>
  <c r="D72" i="1" s="1"/>
  <c r="B40" i="1"/>
  <c r="D40" i="1" s="1"/>
  <c r="D84" i="1" l="1"/>
  <c r="D85" i="1" s="1"/>
  <c r="D75" i="1"/>
  <c r="B54" i="1"/>
  <c r="D54" i="1" s="1"/>
  <c r="D55" i="1" s="1"/>
  <c r="B46" i="1"/>
  <c r="D46" i="1" s="1"/>
  <c r="D47" i="1" s="1"/>
  <c r="B76" i="1"/>
  <c r="D76" i="1" s="1"/>
  <c r="D77" i="1" l="1"/>
  <c r="G19" i="50" l="1"/>
  <c r="F19" i="50" l="1"/>
  <c r="J19" i="50" l="1"/>
  <c r="J378" i="3" l="1"/>
  <c r="G26" i="18"/>
  <c r="F378" i="3"/>
  <c r="F376" i="3"/>
  <c r="C26" i="18" s="1"/>
  <c r="J381" i="3" l="1"/>
  <c r="G28" i="18"/>
  <c r="G32" i="18" s="1"/>
  <c r="F381" i="3"/>
  <c r="C28" i="18"/>
  <c r="C32" i="18" s="1"/>
  <c r="J32" i="18" s="1"/>
  <c r="J389" i="3" l="1"/>
  <c r="J385" i="3"/>
</calcChain>
</file>

<file path=xl/comments1.xml><?xml version="1.0" encoding="utf-8"?>
<comments xmlns="http://schemas.openxmlformats.org/spreadsheetml/2006/main">
  <authors>
    <author>Thomas Boland</author>
  </authors>
  <commentList>
    <comment ref="G100" authorId="0" shapeId="0">
      <text>
        <r>
          <rPr>
            <b/>
            <sz val="9"/>
            <color indexed="81"/>
            <rFont val="Tahoma"/>
            <family val="2"/>
          </rPr>
          <t>Thomas Boland:</t>
        </r>
        <r>
          <rPr>
            <sz val="9"/>
            <color indexed="81"/>
            <rFont val="Tahoma"/>
            <family val="2"/>
          </rPr>
          <t xml:space="preserve">
increased to reflect expected price increases
</t>
        </r>
      </text>
    </comment>
    <comment ref="H100" authorId="0" shapeId="0">
      <text>
        <r>
          <rPr>
            <b/>
            <sz val="9"/>
            <color indexed="81"/>
            <rFont val="Tahoma"/>
            <family val="2"/>
          </rPr>
          <t>Thomas Boland:</t>
        </r>
        <r>
          <rPr>
            <sz val="9"/>
            <color indexed="81"/>
            <rFont val="Tahoma"/>
            <family val="2"/>
          </rPr>
          <t xml:space="preserve">
increased to reflect expected price increases
</t>
        </r>
      </text>
    </comment>
    <comment ref="I100" authorId="0" shapeId="0">
      <text>
        <r>
          <rPr>
            <b/>
            <sz val="9"/>
            <color indexed="81"/>
            <rFont val="Tahoma"/>
            <family val="2"/>
          </rPr>
          <t>Thomas Boland:</t>
        </r>
        <r>
          <rPr>
            <sz val="9"/>
            <color indexed="81"/>
            <rFont val="Tahoma"/>
            <family val="2"/>
          </rPr>
          <t xml:space="preserve">
increased to reflect expected price increases
</t>
        </r>
      </text>
    </comment>
    <comment ref="J100" authorId="0" shapeId="0">
      <text>
        <r>
          <rPr>
            <b/>
            <sz val="9"/>
            <color indexed="81"/>
            <rFont val="Tahoma"/>
            <family val="2"/>
          </rPr>
          <t>Thomas Boland:</t>
        </r>
        <r>
          <rPr>
            <sz val="9"/>
            <color indexed="81"/>
            <rFont val="Tahoma"/>
            <family val="2"/>
          </rPr>
          <t xml:space="preserve">
increased to reflect expected price increases
</t>
        </r>
      </text>
    </comment>
    <comment ref="D133" authorId="0" shapeId="0">
      <text>
        <r>
          <rPr>
            <b/>
            <sz val="9"/>
            <color indexed="81"/>
            <rFont val="Tahoma"/>
            <family val="2"/>
          </rPr>
          <t>Thomas Boland:</t>
        </r>
        <r>
          <rPr>
            <sz val="9"/>
            <color indexed="81"/>
            <rFont val="Tahoma"/>
            <family val="2"/>
          </rPr>
          <t xml:space="preserve">
Current subscription - to be maintained?</t>
        </r>
      </text>
    </comment>
    <comment ref="D143" authorId="0" shapeId="0">
      <text>
        <r>
          <rPr>
            <b/>
            <sz val="9"/>
            <color indexed="81"/>
            <rFont val="Tahoma"/>
            <family val="2"/>
          </rPr>
          <t>Thomas Boland:</t>
        </r>
        <r>
          <rPr>
            <sz val="9"/>
            <color indexed="81"/>
            <rFont val="Tahoma"/>
            <family val="2"/>
          </rPr>
          <t xml:space="preserve">
Increased to reflect historical usage</t>
        </r>
      </text>
    </comment>
    <comment ref="D158" authorId="0" shapeId="0">
      <text>
        <r>
          <rPr>
            <b/>
            <sz val="9"/>
            <color indexed="81"/>
            <rFont val="Tahoma"/>
            <family val="2"/>
          </rPr>
          <t>Thomas Boland:</t>
        </r>
        <r>
          <rPr>
            <sz val="9"/>
            <color indexed="81"/>
            <rFont val="Tahoma"/>
            <family val="2"/>
          </rPr>
          <t xml:space="preserve">
Annual maintenance not included in prior year's budget</t>
        </r>
      </text>
    </comment>
    <comment ref="D179" authorId="0" shapeId="0">
      <text>
        <r>
          <rPr>
            <b/>
            <sz val="9"/>
            <color indexed="81"/>
            <rFont val="Tahoma"/>
            <family val="2"/>
          </rPr>
          <t>Thomas Boland:</t>
        </r>
        <r>
          <rPr>
            <sz val="9"/>
            <color indexed="81"/>
            <rFont val="Tahoma"/>
            <family val="2"/>
          </rPr>
          <t xml:space="preserve">
Increased to reflect actual historical expenses</t>
        </r>
      </text>
    </comment>
  </commentList>
</comments>
</file>

<file path=xl/comments10.xml><?xml version="1.0" encoding="utf-8"?>
<comments xmlns="http://schemas.openxmlformats.org/spreadsheetml/2006/main">
  <authors>
    <author>Timothy J. Thompson</author>
  </authors>
  <commentList>
    <comment ref="G25" authorId="0" shapeId="0">
      <text>
        <r>
          <rPr>
            <b/>
            <sz val="9"/>
            <color indexed="81"/>
            <rFont val="Tahoma"/>
            <family val="2"/>
          </rPr>
          <t>Timothy J. Thompson:</t>
        </r>
        <r>
          <rPr>
            <sz val="9"/>
            <color indexed="81"/>
            <rFont val="Tahoma"/>
            <family val="2"/>
          </rPr>
          <t xml:space="preserve">
Adjusted with 2 years of experience since on-call recording secretary was eliminated</t>
        </r>
      </text>
    </comment>
    <comment ref="H25" authorId="0" shapeId="0">
      <text>
        <r>
          <rPr>
            <b/>
            <sz val="9"/>
            <color indexed="81"/>
            <rFont val="Tahoma"/>
            <family val="2"/>
          </rPr>
          <t>Timothy J. Thompson:</t>
        </r>
        <r>
          <rPr>
            <sz val="9"/>
            <color indexed="81"/>
            <rFont val="Tahoma"/>
            <family val="2"/>
          </rPr>
          <t xml:space="preserve">
Adjusted with 2 years of experience since on-call recording secretary was eliminated</t>
        </r>
      </text>
    </comment>
    <comment ref="I25" authorId="0" shapeId="0">
      <text>
        <r>
          <rPr>
            <b/>
            <sz val="9"/>
            <color indexed="81"/>
            <rFont val="Tahoma"/>
            <family val="2"/>
          </rPr>
          <t>Timothy J. Thompson:</t>
        </r>
        <r>
          <rPr>
            <sz val="9"/>
            <color indexed="81"/>
            <rFont val="Tahoma"/>
            <family val="2"/>
          </rPr>
          <t xml:space="preserve">
Adjusted with 2 years of experience since on-call recording secretary was eliminated</t>
        </r>
      </text>
    </comment>
    <comment ref="J25" authorId="0" shapeId="0">
      <text>
        <r>
          <rPr>
            <b/>
            <sz val="9"/>
            <color indexed="81"/>
            <rFont val="Tahoma"/>
            <family val="2"/>
          </rPr>
          <t>Timothy J. Thompson:</t>
        </r>
        <r>
          <rPr>
            <sz val="9"/>
            <color indexed="81"/>
            <rFont val="Tahoma"/>
            <family val="2"/>
          </rPr>
          <t xml:space="preserve">
Adjusted with 2 years of experience since on-call recording secretary was eliminated</t>
        </r>
      </text>
    </comment>
    <comment ref="G69" authorId="0" shapeId="0">
      <text>
        <r>
          <rPr>
            <b/>
            <sz val="9"/>
            <color indexed="81"/>
            <rFont val="Tahoma"/>
            <family val="2"/>
          </rPr>
          <t>Timothy J. Thompson:</t>
        </r>
        <r>
          <rPr>
            <sz val="9"/>
            <color indexed="81"/>
            <rFont val="Tahoma"/>
            <family val="2"/>
          </rPr>
          <t xml:space="preserve">
Reduced to be more in line with past years expenditures and  to ensure funds available for plan cabinets (see 8504)</t>
        </r>
      </text>
    </comment>
    <comment ref="H69" authorId="0" shapeId="0">
      <text>
        <r>
          <rPr>
            <b/>
            <sz val="9"/>
            <color indexed="81"/>
            <rFont val="Tahoma"/>
            <family val="2"/>
          </rPr>
          <t>Timothy J. Thompson:</t>
        </r>
        <r>
          <rPr>
            <sz val="9"/>
            <color indexed="81"/>
            <rFont val="Tahoma"/>
            <family val="2"/>
          </rPr>
          <t xml:space="preserve">
Reduced to be more in line with past years expenditures and  to ensure funds available for plan cabinets (see 8504)</t>
        </r>
      </text>
    </comment>
    <comment ref="I69" authorId="0" shapeId="0">
      <text>
        <r>
          <rPr>
            <b/>
            <sz val="9"/>
            <color indexed="81"/>
            <rFont val="Tahoma"/>
            <family val="2"/>
          </rPr>
          <t>Timothy J. Thompson:</t>
        </r>
        <r>
          <rPr>
            <sz val="9"/>
            <color indexed="81"/>
            <rFont val="Tahoma"/>
            <family val="2"/>
          </rPr>
          <t xml:space="preserve">
Reduced to be more in line with past years expenditures and  to ensure funds available for plan cabinets (see 8504)</t>
        </r>
      </text>
    </comment>
    <comment ref="J69" authorId="0" shapeId="0">
      <text>
        <r>
          <rPr>
            <b/>
            <sz val="9"/>
            <color indexed="81"/>
            <rFont val="Tahoma"/>
            <family val="2"/>
          </rPr>
          <t>Timothy J. Thompson:</t>
        </r>
        <r>
          <rPr>
            <sz val="9"/>
            <color indexed="81"/>
            <rFont val="Tahoma"/>
            <family val="2"/>
          </rPr>
          <t xml:space="preserve">
Reduced to be more in line with past years expenditures and  to ensure funds available for plan cabinets (see 8504)</t>
        </r>
      </text>
    </comment>
    <comment ref="G101" authorId="0" shapeId="0">
      <text>
        <r>
          <rPr>
            <b/>
            <sz val="9"/>
            <color indexed="81"/>
            <rFont val="Tahoma"/>
            <family val="2"/>
          </rPr>
          <t>Timothy J. Thompson:
Reduced since much training is free/lower cost online</t>
        </r>
      </text>
    </comment>
    <comment ref="H101" authorId="0" shapeId="0">
      <text>
        <r>
          <rPr>
            <b/>
            <sz val="9"/>
            <color indexed="81"/>
            <rFont val="Tahoma"/>
            <family val="2"/>
          </rPr>
          <t>Timothy J. Thompson:
Reduced since much training is free/lower cost online</t>
        </r>
      </text>
    </comment>
    <comment ref="I101" authorId="0" shapeId="0">
      <text>
        <r>
          <rPr>
            <b/>
            <sz val="9"/>
            <color indexed="81"/>
            <rFont val="Tahoma"/>
            <family val="2"/>
          </rPr>
          <t>Timothy J. Thompson:
Reduced since much training is free/lower cost online</t>
        </r>
      </text>
    </comment>
    <comment ref="J101" authorId="0" shapeId="0">
      <text>
        <r>
          <rPr>
            <b/>
            <sz val="9"/>
            <color indexed="81"/>
            <rFont val="Tahoma"/>
            <family val="2"/>
          </rPr>
          <t>Timothy J. Thompson:
Reduced since much training is free/lower cost online</t>
        </r>
      </text>
    </comment>
    <comment ref="D102" authorId="0" shapeId="0">
      <text>
        <r>
          <rPr>
            <b/>
            <sz val="9"/>
            <color indexed="81"/>
            <rFont val="Tahoma"/>
            <family val="2"/>
          </rPr>
          <t>Timothy J. Thompson:</t>
        </r>
        <r>
          <rPr>
            <sz val="9"/>
            <color indexed="81"/>
            <rFont val="Tahoma"/>
            <family val="2"/>
          </rPr>
          <t xml:space="preserve">
Reduced since much training is free/lower cost online</t>
        </r>
      </text>
    </comment>
    <comment ref="G110" authorId="0" shapeId="0">
      <text>
        <r>
          <rPr>
            <b/>
            <sz val="9"/>
            <color indexed="81"/>
            <rFont val="Tahoma"/>
            <family val="2"/>
          </rPr>
          <t>Timothy J. Thompson:</t>
        </r>
        <r>
          <rPr>
            <sz val="9"/>
            <color indexed="81"/>
            <rFont val="Tahoma"/>
            <family val="2"/>
          </rPr>
          <t xml:space="preserve">
reduced to ensure funds available for plan cabinets (see 8504)</t>
        </r>
      </text>
    </comment>
    <comment ref="H110" authorId="0" shapeId="0">
      <text>
        <r>
          <rPr>
            <b/>
            <sz val="9"/>
            <color indexed="81"/>
            <rFont val="Tahoma"/>
            <family val="2"/>
          </rPr>
          <t>Timothy J. Thompson:</t>
        </r>
        <r>
          <rPr>
            <sz val="9"/>
            <color indexed="81"/>
            <rFont val="Tahoma"/>
            <family val="2"/>
          </rPr>
          <t xml:space="preserve">
reduced to ensure funds available for plan cabinets (see 8504)</t>
        </r>
      </text>
    </comment>
    <comment ref="I110" authorId="0" shapeId="0">
      <text>
        <r>
          <rPr>
            <b/>
            <sz val="9"/>
            <color indexed="81"/>
            <rFont val="Tahoma"/>
            <family val="2"/>
          </rPr>
          <t>Timothy J. Thompson:</t>
        </r>
        <r>
          <rPr>
            <sz val="9"/>
            <color indexed="81"/>
            <rFont val="Tahoma"/>
            <family val="2"/>
          </rPr>
          <t xml:space="preserve">
reduced to ensure funds available for plan cabinets (see 8504)</t>
        </r>
      </text>
    </comment>
    <comment ref="J110" authorId="0" shapeId="0">
      <text>
        <r>
          <rPr>
            <b/>
            <sz val="9"/>
            <color indexed="81"/>
            <rFont val="Tahoma"/>
            <family val="2"/>
          </rPr>
          <t>Timothy J. Thompson:</t>
        </r>
        <r>
          <rPr>
            <sz val="9"/>
            <color indexed="81"/>
            <rFont val="Tahoma"/>
            <family val="2"/>
          </rPr>
          <t xml:space="preserve">
reduced to ensure funds available for plan cabinets (see 8504)</t>
        </r>
      </text>
    </comment>
    <comment ref="G113" authorId="0" shapeId="0">
      <text>
        <r>
          <rPr>
            <b/>
            <sz val="9"/>
            <color indexed="81"/>
            <rFont val="Tahoma"/>
            <family val="2"/>
          </rPr>
          <t>Timothy J. Thompson:</t>
        </r>
        <r>
          <rPr>
            <sz val="9"/>
            <color indexed="81"/>
            <rFont val="Tahoma"/>
            <family val="2"/>
          </rPr>
          <t xml:space="preserve">
Reduced since much training is free/lower cost online</t>
        </r>
      </text>
    </comment>
    <comment ref="H113" authorId="0" shapeId="0">
      <text>
        <r>
          <rPr>
            <b/>
            <sz val="9"/>
            <color indexed="81"/>
            <rFont val="Tahoma"/>
            <family val="2"/>
          </rPr>
          <t>Timothy J. Thompson:</t>
        </r>
        <r>
          <rPr>
            <sz val="9"/>
            <color indexed="81"/>
            <rFont val="Tahoma"/>
            <family val="2"/>
          </rPr>
          <t xml:space="preserve">
Reduced since much training is free/lower cost online</t>
        </r>
      </text>
    </comment>
    <comment ref="I113" authorId="0" shapeId="0">
      <text>
        <r>
          <rPr>
            <b/>
            <sz val="9"/>
            <color indexed="81"/>
            <rFont val="Tahoma"/>
            <family val="2"/>
          </rPr>
          <t>Timothy J. Thompson:</t>
        </r>
        <r>
          <rPr>
            <sz val="9"/>
            <color indexed="81"/>
            <rFont val="Tahoma"/>
            <family val="2"/>
          </rPr>
          <t xml:space="preserve">
Reduced since much training is free/lower cost online</t>
        </r>
      </text>
    </comment>
    <comment ref="J113" authorId="0" shapeId="0">
      <text>
        <r>
          <rPr>
            <b/>
            <sz val="9"/>
            <color indexed="81"/>
            <rFont val="Tahoma"/>
            <family val="2"/>
          </rPr>
          <t>Timothy J. Thompson:</t>
        </r>
        <r>
          <rPr>
            <sz val="9"/>
            <color indexed="81"/>
            <rFont val="Tahoma"/>
            <family val="2"/>
          </rPr>
          <t xml:space="preserve">
Reduced since much training is free/lower cost online</t>
        </r>
      </text>
    </comment>
    <comment ref="D116" authorId="0" shapeId="0">
      <text>
        <r>
          <rPr>
            <b/>
            <sz val="9"/>
            <color indexed="81"/>
            <rFont val="Tahoma"/>
            <family val="2"/>
          </rPr>
          <t>Timothy J. Thompson:</t>
        </r>
        <r>
          <rPr>
            <sz val="9"/>
            <color indexed="81"/>
            <rFont val="Tahoma"/>
            <family val="2"/>
          </rPr>
          <t xml:space="preserve">
Reduced since much training is free/lower cost online</t>
        </r>
      </text>
    </comment>
    <comment ref="G125" authorId="0" shapeId="0">
      <text>
        <r>
          <rPr>
            <b/>
            <sz val="9"/>
            <color indexed="81"/>
            <rFont val="Tahoma"/>
            <family val="2"/>
          </rPr>
          <t>Timothy J. Thompson:</t>
        </r>
        <r>
          <rPr>
            <sz val="9"/>
            <color indexed="81"/>
            <rFont val="Tahoma"/>
            <family val="2"/>
          </rPr>
          <t xml:space="preserve">
reduced to ensure funds available for plan cabinets (see 8504)</t>
        </r>
      </text>
    </comment>
    <comment ref="H125" authorId="0" shapeId="0">
      <text>
        <r>
          <rPr>
            <b/>
            <sz val="9"/>
            <color indexed="81"/>
            <rFont val="Tahoma"/>
            <family val="2"/>
          </rPr>
          <t>Timothy J. Thompson:</t>
        </r>
        <r>
          <rPr>
            <sz val="9"/>
            <color indexed="81"/>
            <rFont val="Tahoma"/>
            <family val="2"/>
          </rPr>
          <t xml:space="preserve">
reduced to ensure funds available for plan cabinets (see 8504)</t>
        </r>
      </text>
    </comment>
    <comment ref="I125" authorId="0" shapeId="0">
      <text>
        <r>
          <rPr>
            <b/>
            <sz val="9"/>
            <color indexed="81"/>
            <rFont val="Tahoma"/>
            <family val="2"/>
          </rPr>
          <t>Timothy J. Thompson:</t>
        </r>
        <r>
          <rPr>
            <sz val="9"/>
            <color indexed="81"/>
            <rFont val="Tahoma"/>
            <family val="2"/>
          </rPr>
          <t xml:space="preserve">
reduced to ensure funds available for plan cabinets (see 8504)</t>
        </r>
      </text>
    </comment>
    <comment ref="J125" authorId="0" shapeId="0">
      <text>
        <r>
          <rPr>
            <b/>
            <sz val="9"/>
            <color indexed="81"/>
            <rFont val="Tahoma"/>
            <family val="2"/>
          </rPr>
          <t>Timothy J. Thompson:</t>
        </r>
        <r>
          <rPr>
            <sz val="9"/>
            <color indexed="81"/>
            <rFont val="Tahoma"/>
            <family val="2"/>
          </rPr>
          <t xml:space="preserve">
reduced to ensure funds available for plan cabinets (see 8504)</t>
        </r>
      </text>
    </comment>
    <comment ref="G151" authorId="0" shapeId="0">
      <text>
        <r>
          <rPr>
            <b/>
            <sz val="9"/>
            <color indexed="81"/>
            <rFont val="Tahoma"/>
            <family val="2"/>
          </rPr>
          <t>Timothy J. Thompson:</t>
        </r>
        <r>
          <rPr>
            <sz val="9"/>
            <color indexed="81"/>
            <rFont val="Tahoma"/>
            <family val="2"/>
          </rPr>
          <t xml:space="preserve">
Running out of hanging plan file space, will need 2 new cabinets</t>
        </r>
      </text>
    </comment>
    <comment ref="H151" authorId="0" shapeId="0">
      <text>
        <r>
          <rPr>
            <b/>
            <sz val="9"/>
            <color indexed="81"/>
            <rFont val="Tahoma"/>
            <family val="2"/>
          </rPr>
          <t>Timothy J. Thompson:</t>
        </r>
        <r>
          <rPr>
            <sz val="9"/>
            <color indexed="81"/>
            <rFont val="Tahoma"/>
            <family val="2"/>
          </rPr>
          <t xml:space="preserve">
Running out of hanging plan file space, will need 2 new cabinets</t>
        </r>
      </text>
    </comment>
    <comment ref="I151" authorId="0" shapeId="0">
      <text>
        <r>
          <rPr>
            <b/>
            <sz val="9"/>
            <color indexed="81"/>
            <rFont val="Tahoma"/>
            <family val="2"/>
          </rPr>
          <t>Timothy J. Thompson:</t>
        </r>
        <r>
          <rPr>
            <sz val="9"/>
            <color indexed="81"/>
            <rFont val="Tahoma"/>
            <family val="2"/>
          </rPr>
          <t xml:space="preserve">
Running out of hanging plan file space, will need 2 new cabinets</t>
        </r>
      </text>
    </comment>
    <comment ref="J151" authorId="0" shapeId="0">
      <text>
        <r>
          <rPr>
            <b/>
            <sz val="9"/>
            <color indexed="81"/>
            <rFont val="Tahoma"/>
            <family val="2"/>
          </rPr>
          <t>Timothy J. Thompson:</t>
        </r>
        <r>
          <rPr>
            <sz val="9"/>
            <color indexed="81"/>
            <rFont val="Tahoma"/>
            <family val="2"/>
          </rPr>
          <t xml:space="preserve">
Running out of hanging plan file space, will need 2 new cabinets</t>
        </r>
      </text>
    </comment>
    <comment ref="A152" authorId="0" shapeId="0">
      <text>
        <r>
          <rPr>
            <b/>
            <sz val="9"/>
            <color indexed="81"/>
            <rFont val="Tahoma"/>
            <family val="2"/>
          </rPr>
          <t>Timothy J. Thompson:</t>
        </r>
        <r>
          <rPr>
            <sz val="9"/>
            <color indexed="81"/>
            <rFont val="Tahoma"/>
            <family val="2"/>
          </rPr>
          <t xml:space="preserve">
Running out of hanging plan file space, will need 2 new cabinets</t>
        </r>
      </text>
    </comment>
  </commentList>
</comments>
</file>

<file path=xl/comments11.xml><?xml version="1.0" encoding="utf-8"?>
<comments xmlns="http://schemas.openxmlformats.org/spreadsheetml/2006/main">
  <authors>
    <author>Diane Trippett</author>
  </authors>
  <commentList>
    <comment ref="C13" authorId="0" shapeId="0">
      <text>
        <r>
          <rPr>
            <b/>
            <sz val="9"/>
            <color indexed="81"/>
            <rFont val="Tahoma"/>
            <family val="2"/>
          </rPr>
          <t>Diane Trippett:</t>
        </r>
        <r>
          <rPr>
            <sz val="9"/>
            <color indexed="81"/>
            <rFont val="Tahoma"/>
            <family val="2"/>
          </rPr>
          <t xml:space="preserve">
requesting PT position be re-classified to FT position</t>
        </r>
      </text>
    </comment>
    <comment ref="B26" authorId="0" shapeId="0">
      <text>
        <r>
          <rPr>
            <b/>
            <sz val="9"/>
            <color indexed="81"/>
            <rFont val="Tahoma"/>
            <family val="2"/>
          </rPr>
          <t>Diane Trippett:</t>
        </r>
        <r>
          <rPr>
            <sz val="9"/>
            <color indexed="81"/>
            <rFont val="Tahoma"/>
            <family val="2"/>
          </rPr>
          <t xml:space="preserve">
request change from PT to FT position</t>
        </r>
      </text>
    </comment>
    <comment ref="B28" authorId="0" shapeId="0">
      <text>
        <r>
          <rPr>
            <b/>
            <sz val="9"/>
            <color indexed="81"/>
            <rFont val="Tahoma"/>
            <family val="2"/>
          </rPr>
          <t>Diane Trippett:</t>
        </r>
        <r>
          <rPr>
            <sz val="9"/>
            <color indexed="81"/>
            <rFont val="Tahoma"/>
            <family val="2"/>
          </rPr>
          <t xml:space="preserve">
temporary help to assist with mid-term elections</t>
        </r>
      </text>
    </comment>
    <comment ref="G93" authorId="0" shapeId="0">
      <text>
        <r>
          <rPr>
            <b/>
            <sz val="9"/>
            <color indexed="81"/>
            <rFont val="Tahoma"/>
            <family val="2"/>
          </rPr>
          <t>Diane Trippett:</t>
        </r>
        <r>
          <rPr>
            <sz val="9"/>
            <color indexed="81"/>
            <rFont val="Tahoma"/>
            <family val="2"/>
          </rPr>
          <t xml:space="preserve">
additional postage for absentee ballots for mid-term elections</t>
        </r>
      </text>
    </comment>
    <comment ref="H93" authorId="0" shapeId="0">
      <text>
        <r>
          <rPr>
            <b/>
            <sz val="9"/>
            <color indexed="81"/>
            <rFont val="Tahoma"/>
            <family val="2"/>
          </rPr>
          <t>Diane Trippett:</t>
        </r>
        <r>
          <rPr>
            <sz val="9"/>
            <color indexed="81"/>
            <rFont val="Tahoma"/>
            <family val="2"/>
          </rPr>
          <t xml:space="preserve">
additional postage for absentee ballots for mid-term elections</t>
        </r>
      </text>
    </comment>
    <comment ref="I93" authorId="0" shapeId="0">
      <text>
        <r>
          <rPr>
            <b/>
            <sz val="9"/>
            <color indexed="81"/>
            <rFont val="Tahoma"/>
            <family val="2"/>
          </rPr>
          <t>Diane Trippett:</t>
        </r>
        <r>
          <rPr>
            <sz val="9"/>
            <color indexed="81"/>
            <rFont val="Tahoma"/>
            <family val="2"/>
          </rPr>
          <t xml:space="preserve">
additional postage for absentee ballots for mid-term elections</t>
        </r>
      </text>
    </comment>
    <comment ref="J93" authorId="0" shapeId="0">
      <text>
        <r>
          <rPr>
            <b/>
            <sz val="9"/>
            <color indexed="81"/>
            <rFont val="Tahoma"/>
            <family val="2"/>
          </rPr>
          <t>Diane Trippett:</t>
        </r>
        <r>
          <rPr>
            <sz val="9"/>
            <color indexed="81"/>
            <rFont val="Tahoma"/>
            <family val="2"/>
          </rPr>
          <t xml:space="preserve">
additional postage for absentee ballots for mid-term elections</t>
        </r>
      </text>
    </comment>
    <comment ref="D117" authorId="0" shapeId="0">
      <text>
        <r>
          <rPr>
            <b/>
            <sz val="9"/>
            <color indexed="81"/>
            <rFont val="Tahoma"/>
            <family val="2"/>
          </rPr>
          <t>Diane Trippett:</t>
        </r>
        <r>
          <rPr>
            <sz val="9"/>
            <color indexed="81"/>
            <rFont val="Tahoma"/>
            <family val="2"/>
          </rPr>
          <t xml:space="preserve">
change from $6974 to $7112</t>
        </r>
      </text>
    </comment>
    <comment ref="D118" authorId="0" shapeId="0">
      <text>
        <r>
          <rPr>
            <b/>
            <sz val="9"/>
            <color indexed="81"/>
            <rFont val="Tahoma"/>
            <family val="2"/>
          </rPr>
          <t>Diane Trippett:</t>
        </r>
        <r>
          <rPr>
            <sz val="9"/>
            <color indexed="81"/>
            <rFont val="Tahoma"/>
            <family val="2"/>
          </rPr>
          <t xml:space="preserve">
Change from $6213 to $6726</t>
        </r>
      </text>
    </comment>
  </commentList>
</comments>
</file>

<file path=xl/comments12.xml><?xml version="1.0" encoding="utf-8"?>
<comments xmlns="http://schemas.openxmlformats.org/spreadsheetml/2006/main">
  <authors>
    <author>Kyle Fox</author>
  </authors>
  <commentList>
    <comment ref="G40" authorId="0" shapeId="0">
      <text>
        <r>
          <rPr>
            <b/>
            <sz val="9"/>
            <color indexed="81"/>
            <rFont val="Tahoma"/>
            <family val="2"/>
          </rPr>
          <t>Kyle Fox:</t>
        </r>
        <r>
          <rPr>
            <sz val="9"/>
            <color indexed="81"/>
            <rFont val="Tahoma"/>
            <family val="2"/>
          </rPr>
          <t xml:space="preserve">
This appears to be under-budgeted.  FY 20 actual = $12,869</t>
        </r>
      </text>
    </comment>
    <comment ref="H40" authorId="0" shapeId="0">
      <text>
        <r>
          <rPr>
            <b/>
            <sz val="9"/>
            <color indexed="81"/>
            <rFont val="Tahoma"/>
            <family val="2"/>
          </rPr>
          <t>Kyle Fox:</t>
        </r>
        <r>
          <rPr>
            <sz val="9"/>
            <color indexed="81"/>
            <rFont val="Tahoma"/>
            <family val="2"/>
          </rPr>
          <t xml:space="preserve">
This appears to be under-budgeted.  FY 20 actual = $12,869</t>
        </r>
      </text>
    </comment>
    <comment ref="I40" authorId="0" shapeId="0">
      <text>
        <r>
          <rPr>
            <b/>
            <sz val="9"/>
            <color indexed="81"/>
            <rFont val="Tahoma"/>
            <family val="2"/>
          </rPr>
          <t>Kyle Fox:</t>
        </r>
        <r>
          <rPr>
            <sz val="9"/>
            <color indexed="81"/>
            <rFont val="Tahoma"/>
            <family val="2"/>
          </rPr>
          <t xml:space="preserve">
This appears to be under-budgeted.  FY 20 actual = $12,869</t>
        </r>
      </text>
    </comment>
    <comment ref="J40" authorId="0" shapeId="0">
      <text>
        <r>
          <rPr>
            <b/>
            <sz val="9"/>
            <color indexed="81"/>
            <rFont val="Tahoma"/>
            <family val="2"/>
          </rPr>
          <t>Kyle Fox:</t>
        </r>
        <r>
          <rPr>
            <sz val="9"/>
            <color indexed="81"/>
            <rFont val="Tahoma"/>
            <family val="2"/>
          </rPr>
          <t xml:space="preserve">
This appears to be under-budgeted.  FY 20 actual = $12,869</t>
        </r>
      </text>
    </comment>
    <comment ref="G51" authorId="0" shapeId="0">
      <text>
        <r>
          <rPr>
            <b/>
            <sz val="9"/>
            <color indexed="81"/>
            <rFont val="Tahoma"/>
            <family val="2"/>
          </rPr>
          <t>Kyle Fox:</t>
        </r>
        <r>
          <rPr>
            <sz val="9"/>
            <color indexed="81"/>
            <rFont val="Tahoma"/>
            <family val="2"/>
          </rPr>
          <t xml:space="preserve">
This appears to be over-budgeted - FY 20 actual = $66,303</t>
        </r>
      </text>
    </comment>
    <comment ref="H51" authorId="0" shapeId="0">
      <text>
        <r>
          <rPr>
            <b/>
            <sz val="9"/>
            <color indexed="81"/>
            <rFont val="Tahoma"/>
            <family val="2"/>
          </rPr>
          <t>Kyle Fox:</t>
        </r>
        <r>
          <rPr>
            <sz val="9"/>
            <color indexed="81"/>
            <rFont val="Tahoma"/>
            <family val="2"/>
          </rPr>
          <t xml:space="preserve">
This appears to be over-budgeted - FY 20 actual = $66,303</t>
        </r>
      </text>
    </comment>
    <comment ref="I51" authorId="0" shapeId="0">
      <text>
        <r>
          <rPr>
            <b/>
            <sz val="9"/>
            <color indexed="81"/>
            <rFont val="Tahoma"/>
            <family val="2"/>
          </rPr>
          <t>Kyle Fox:</t>
        </r>
        <r>
          <rPr>
            <sz val="9"/>
            <color indexed="81"/>
            <rFont val="Tahoma"/>
            <family val="2"/>
          </rPr>
          <t xml:space="preserve">
This appears to be over-budgeted - FY 20 actual = $66,303</t>
        </r>
      </text>
    </comment>
    <comment ref="J51" authorId="0" shapeId="0">
      <text>
        <r>
          <rPr>
            <b/>
            <sz val="9"/>
            <color indexed="81"/>
            <rFont val="Tahoma"/>
            <family val="2"/>
          </rPr>
          <t>Kyle Fox:</t>
        </r>
        <r>
          <rPr>
            <sz val="9"/>
            <color indexed="81"/>
            <rFont val="Tahoma"/>
            <family val="2"/>
          </rPr>
          <t xml:space="preserve">
This appears to be over-budgeted - FY 20 actual = $66,303</t>
        </r>
      </text>
    </comment>
    <comment ref="D198" authorId="0" shapeId="0">
      <text>
        <r>
          <rPr>
            <b/>
            <sz val="9"/>
            <color indexed="81"/>
            <rFont val="Tahoma"/>
            <family val="2"/>
          </rPr>
          <t>Kyle Fox:</t>
        </r>
        <r>
          <rPr>
            <sz val="9"/>
            <color indexed="81"/>
            <rFont val="Tahoma"/>
            <family val="2"/>
          </rPr>
          <t xml:space="preserve">
Based on increased rate from City of Nashua
</t>
        </r>
      </text>
    </comment>
    <comment ref="D216" authorId="0" shapeId="0">
      <text>
        <r>
          <rPr>
            <b/>
            <sz val="9"/>
            <color indexed="81"/>
            <rFont val="Tahoma"/>
            <family val="2"/>
          </rPr>
          <t>Kyle Fox:</t>
        </r>
        <r>
          <rPr>
            <sz val="9"/>
            <color indexed="81"/>
            <rFont val="Tahoma"/>
            <family val="2"/>
          </rPr>
          <t xml:space="preserve">
State fees have increased</t>
        </r>
      </text>
    </comment>
    <comment ref="B232" authorId="0" shapeId="0">
      <text>
        <r>
          <rPr>
            <b/>
            <sz val="9"/>
            <color indexed="81"/>
            <rFont val="Tahoma"/>
            <family val="2"/>
          </rPr>
          <t>Kyle Fox:</t>
        </r>
        <r>
          <rPr>
            <sz val="9"/>
            <color indexed="81"/>
            <rFont val="Tahoma"/>
            <family val="2"/>
          </rPr>
          <t xml:space="preserve">
Current unit cost and usage</t>
        </r>
      </text>
    </comment>
    <comment ref="B233" authorId="0" shapeId="0">
      <text>
        <r>
          <rPr>
            <b/>
            <sz val="9"/>
            <color indexed="81"/>
            <rFont val="Tahoma"/>
            <family val="2"/>
          </rPr>
          <t>Kyle Fox:</t>
        </r>
        <r>
          <rPr>
            <sz val="9"/>
            <color indexed="81"/>
            <rFont val="Tahoma"/>
            <family val="2"/>
          </rPr>
          <t xml:space="preserve">
Current unit cost and usage</t>
        </r>
      </text>
    </comment>
    <comment ref="B234" authorId="0" shapeId="0">
      <text>
        <r>
          <rPr>
            <b/>
            <sz val="9"/>
            <color indexed="81"/>
            <rFont val="Tahoma"/>
            <family val="2"/>
          </rPr>
          <t>Kyle Fox:</t>
        </r>
        <r>
          <rPr>
            <sz val="9"/>
            <color indexed="81"/>
            <rFont val="Tahoma"/>
            <family val="2"/>
          </rPr>
          <t xml:space="preserve">
Current unit cost and usage</t>
        </r>
      </text>
    </comment>
    <comment ref="B235" authorId="0" shapeId="0">
      <text>
        <r>
          <rPr>
            <b/>
            <sz val="9"/>
            <color indexed="81"/>
            <rFont val="Tahoma"/>
            <family val="2"/>
          </rPr>
          <t>Kyle Fox:</t>
        </r>
        <r>
          <rPr>
            <sz val="9"/>
            <color indexed="81"/>
            <rFont val="Tahoma"/>
            <family val="2"/>
          </rPr>
          <t xml:space="preserve">
Current unit cost and usage</t>
        </r>
      </text>
    </comment>
    <comment ref="B240" authorId="0" shapeId="0">
      <text>
        <r>
          <rPr>
            <b/>
            <sz val="9"/>
            <color indexed="81"/>
            <rFont val="Tahoma"/>
            <family val="2"/>
          </rPr>
          <t>Kyle Fox:</t>
        </r>
        <r>
          <rPr>
            <sz val="9"/>
            <color indexed="81"/>
            <rFont val="Tahoma"/>
            <family val="2"/>
          </rPr>
          <t xml:space="preserve">
Increase due to trucking costs by supplier</t>
        </r>
      </text>
    </comment>
    <comment ref="G253" authorId="0" shapeId="0">
      <text>
        <r>
          <rPr>
            <b/>
            <sz val="9"/>
            <color indexed="81"/>
            <rFont val="Tahoma"/>
            <family val="2"/>
          </rPr>
          <t>Kyle Fox:</t>
        </r>
        <r>
          <rPr>
            <sz val="9"/>
            <color indexed="81"/>
            <rFont val="Tahoma"/>
            <family val="2"/>
          </rPr>
          <t xml:space="preserve">
Cost increases due to inflation and permitting</t>
        </r>
      </text>
    </comment>
    <comment ref="H253" authorId="0" shapeId="0">
      <text>
        <r>
          <rPr>
            <b/>
            <sz val="9"/>
            <color indexed="81"/>
            <rFont val="Tahoma"/>
            <family val="2"/>
          </rPr>
          <t>Kyle Fox:</t>
        </r>
        <r>
          <rPr>
            <sz val="9"/>
            <color indexed="81"/>
            <rFont val="Tahoma"/>
            <family val="2"/>
          </rPr>
          <t xml:space="preserve">
Cost increases due to inflation and permitting</t>
        </r>
      </text>
    </comment>
    <comment ref="I253" authorId="0" shapeId="0">
      <text>
        <r>
          <rPr>
            <b/>
            <sz val="9"/>
            <color indexed="81"/>
            <rFont val="Tahoma"/>
            <family val="2"/>
          </rPr>
          <t>Kyle Fox:</t>
        </r>
        <r>
          <rPr>
            <sz val="9"/>
            <color indexed="81"/>
            <rFont val="Tahoma"/>
            <family val="2"/>
          </rPr>
          <t xml:space="preserve">
Cost increases due to inflation and permitting</t>
        </r>
      </text>
    </comment>
    <comment ref="J253" authorId="0" shapeId="0">
      <text>
        <r>
          <rPr>
            <b/>
            <sz val="9"/>
            <color indexed="81"/>
            <rFont val="Tahoma"/>
            <family val="2"/>
          </rPr>
          <t>Kyle Fox:</t>
        </r>
        <r>
          <rPr>
            <sz val="9"/>
            <color indexed="81"/>
            <rFont val="Tahoma"/>
            <family val="2"/>
          </rPr>
          <t xml:space="preserve">
Cost increases due to inflation and permitting</t>
        </r>
      </text>
    </comment>
    <comment ref="D278" authorId="0" shapeId="0">
      <text>
        <r>
          <rPr>
            <b/>
            <sz val="9"/>
            <color indexed="81"/>
            <rFont val="Tahoma"/>
            <family val="2"/>
          </rPr>
          <t>Kyle Fox:</t>
        </r>
        <r>
          <rPr>
            <sz val="9"/>
            <color indexed="81"/>
            <rFont val="Tahoma"/>
            <family val="2"/>
          </rPr>
          <t xml:space="preserve">
License Agreement rate increase</t>
        </r>
      </text>
    </comment>
    <comment ref="D280" authorId="0" shapeId="0">
      <text>
        <r>
          <rPr>
            <b/>
            <sz val="9"/>
            <color indexed="81"/>
            <rFont val="Tahoma"/>
            <family val="2"/>
          </rPr>
          <t>Kyle Fox:</t>
        </r>
        <r>
          <rPr>
            <sz val="9"/>
            <color indexed="81"/>
            <rFont val="Tahoma"/>
            <family val="2"/>
          </rPr>
          <t xml:space="preserve">
License Agreement fee increase
</t>
        </r>
      </text>
    </comment>
    <comment ref="D284" authorId="0" shapeId="0">
      <text>
        <r>
          <rPr>
            <b/>
            <sz val="9"/>
            <color indexed="81"/>
            <rFont val="Tahoma"/>
            <family val="2"/>
          </rPr>
          <t>Kyle Fox:</t>
        </r>
        <r>
          <rPr>
            <sz val="9"/>
            <color indexed="81"/>
            <rFont val="Tahoma"/>
            <family val="2"/>
          </rPr>
          <t xml:space="preserve">
Liscense fee increasse</t>
        </r>
      </text>
    </comment>
    <comment ref="C299" authorId="0" shapeId="0">
      <text>
        <r>
          <rPr>
            <b/>
            <sz val="9"/>
            <color indexed="81"/>
            <rFont val="Tahoma"/>
            <family val="2"/>
          </rPr>
          <t>Kyle Fox:</t>
        </r>
        <r>
          <rPr>
            <sz val="9"/>
            <color indexed="81"/>
            <rFont val="Tahoma"/>
            <family val="2"/>
          </rPr>
          <t xml:space="preserve">
Estimate of expected cost</t>
        </r>
      </text>
    </comment>
    <comment ref="C300" authorId="0" shapeId="0">
      <text>
        <r>
          <rPr>
            <b/>
            <sz val="9"/>
            <color indexed="81"/>
            <rFont val="Tahoma"/>
            <family val="2"/>
          </rPr>
          <t>Kyle Fox:</t>
        </r>
        <r>
          <rPr>
            <sz val="9"/>
            <color indexed="81"/>
            <rFont val="Tahoma"/>
            <family val="2"/>
          </rPr>
          <t xml:space="preserve">
Estimate of expected cost</t>
        </r>
      </text>
    </comment>
    <comment ref="C301" authorId="0" shapeId="0">
      <text>
        <r>
          <rPr>
            <b/>
            <sz val="9"/>
            <color indexed="81"/>
            <rFont val="Tahoma"/>
            <family val="2"/>
          </rPr>
          <t>Kyle Fox:</t>
        </r>
        <r>
          <rPr>
            <sz val="9"/>
            <color indexed="81"/>
            <rFont val="Tahoma"/>
            <family val="2"/>
          </rPr>
          <t xml:space="preserve">
Increase in actual cost</t>
        </r>
      </text>
    </comment>
  </commentList>
</comments>
</file>

<file path=xl/comments13.xml><?xml version="1.0" encoding="utf-8"?>
<comments xmlns="http://schemas.openxmlformats.org/spreadsheetml/2006/main">
  <authors>
    <author>Thomas Boland</author>
  </authors>
  <commentList>
    <comment ref="C13" authorId="0" shapeId="0">
      <text>
        <r>
          <rPr>
            <b/>
            <sz val="9"/>
            <color indexed="81"/>
            <rFont val="Tahoma"/>
            <family val="2"/>
          </rPr>
          <t>Thomas Boland:</t>
        </r>
        <r>
          <rPr>
            <sz val="9"/>
            <color indexed="81"/>
            <rFont val="Tahoma"/>
            <family val="2"/>
          </rPr>
          <t xml:space="preserve">
Nick is proposing to change Media Assistant position to full-time</t>
        </r>
      </text>
    </comment>
    <comment ref="B18" authorId="0" shapeId="0">
      <text>
        <r>
          <rPr>
            <b/>
            <sz val="9"/>
            <color indexed="81"/>
            <rFont val="Tahoma"/>
            <family val="2"/>
          </rPr>
          <t>Thomas Boland:</t>
        </r>
        <r>
          <rPr>
            <sz val="9"/>
            <color indexed="81"/>
            <rFont val="Tahoma"/>
            <family val="2"/>
          </rPr>
          <t xml:space="preserve">
Hours increased to reflect need</t>
        </r>
      </text>
    </comment>
    <comment ref="C77" authorId="0" shapeId="0">
      <text>
        <r>
          <rPr>
            <b/>
            <sz val="9"/>
            <color indexed="81"/>
            <rFont val="Tahoma"/>
            <family val="2"/>
          </rPr>
          <t>Thomas Boland:</t>
        </r>
        <r>
          <rPr>
            <sz val="9"/>
            <color indexed="81"/>
            <rFont val="Tahoma"/>
            <family val="2"/>
          </rPr>
          <t xml:space="preserve">
Media is proposing to create branded apps for Merrimack TV</t>
        </r>
      </text>
    </comment>
    <comment ref="C107" authorId="0" shapeId="0">
      <text>
        <r>
          <rPr>
            <b/>
            <sz val="9"/>
            <color indexed="81"/>
            <rFont val="Tahoma"/>
            <family val="2"/>
          </rPr>
          <t>Thomas Boland:</t>
        </r>
        <r>
          <rPr>
            <sz val="9"/>
            <color indexed="81"/>
            <rFont val="Tahoma"/>
            <family val="2"/>
          </rPr>
          <t xml:space="preserve">
Costs may include upgrading to a larger monitor in the back of the room that mirrors the projector, rewiring of and adding audio capabilities, a new camera controller, monitors etc.</t>
        </r>
      </text>
    </comment>
  </commentList>
</comments>
</file>

<file path=xl/comments2.xml><?xml version="1.0" encoding="utf-8"?>
<comments xmlns="http://schemas.openxmlformats.org/spreadsheetml/2006/main">
  <authors>
    <author>Brian Levesque</author>
  </authors>
  <commentList>
    <comment ref="G83" authorId="0" shapeId="0">
      <text>
        <r>
          <rPr>
            <b/>
            <sz val="9"/>
            <color indexed="81"/>
            <rFont val="Tahoma"/>
            <family val="2"/>
          </rPr>
          <t>Brian Levesque:</t>
        </r>
        <r>
          <rPr>
            <sz val="9"/>
            <color indexed="81"/>
            <rFont val="Tahoma"/>
            <family val="2"/>
          </rPr>
          <t xml:space="preserve">
increase</t>
        </r>
      </text>
    </comment>
    <comment ref="H83" authorId="0" shapeId="0">
      <text>
        <r>
          <rPr>
            <b/>
            <sz val="9"/>
            <color indexed="81"/>
            <rFont val="Tahoma"/>
            <family val="2"/>
          </rPr>
          <t>Brian Levesque:</t>
        </r>
        <r>
          <rPr>
            <sz val="9"/>
            <color indexed="81"/>
            <rFont val="Tahoma"/>
            <family val="2"/>
          </rPr>
          <t xml:space="preserve">
increase $10K tm Decreased back to last yr
</t>
        </r>
      </text>
    </comment>
    <comment ref="I83" authorId="0" shapeId="0">
      <text>
        <r>
          <rPr>
            <b/>
            <sz val="9"/>
            <color indexed="81"/>
            <rFont val="Tahoma"/>
            <family val="2"/>
          </rPr>
          <t>Brian Levesque:</t>
        </r>
        <r>
          <rPr>
            <sz val="9"/>
            <color indexed="81"/>
            <rFont val="Tahoma"/>
            <family val="2"/>
          </rPr>
          <t xml:space="preserve">
increase $10K tm Decreased back to last yr
</t>
        </r>
      </text>
    </comment>
    <comment ref="J83" authorId="0" shapeId="0">
      <text>
        <r>
          <rPr>
            <b/>
            <sz val="9"/>
            <color indexed="81"/>
            <rFont val="Tahoma"/>
            <family val="2"/>
          </rPr>
          <t>Brian Levesque:</t>
        </r>
        <r>
          <rPr>
            <sz val="9"/>
            <color indexed="81"/>
            <rFont val="Tahoma"/>
            <family val="2"/>
          </rPr>
          <t xml:space="preserve">
increase $10K tm Decreased back to last yr
</t>
        </r>
      </text>
    </comment>
    <comment ref="D171" authorId="0" shapeId="0">
      <text>
        <r>
          <rPr>
            <b/>
            <sz val="9"/>
            <color indexed="81"/>
            <rFont val="Tahoma"/>
            <family val="2"/>
          </rPr>
          <t>Brian Levesque:</t>
        </r>
        <r>
          <rPr>
            <sz val="9"/>
            <color indexed="81"/>
            <rFont val="Tahoma"/>
            <family val="2"/>
          </rPr>
          <t xml:space="preserve">
increase to 20/21 level
add $4571 for increase ammo costs</t>
        </r>
      </text>
    </comment>
    <comment ref="D182" authorId="0" shapeId="0">
      <text>
        <r>
          <rPr>
            <b/>
            <sz val="9"/>
            <color indexed="81"/>
            <rFont val="Tahoma"/>
            <family val="2"/>
          </rPr>
          <t>Brian Levesque:</t>
        </r>
        <r>
          <rPr>
            <sz val="9"/>
            <color indexed="81"/>
            <rFont val="Tahoma"/>
            <family val="2"/>
          </rPr>
          <t xml:space="preserve">
only due for 2 vests. Excluding new hires</t>
        </r>
      </text>
    </comment>
    <comment ref="D230" authorId="0" shapeId="0">
      <text>
        <r>
          <rPr>
            <b/>
            <sz val="9"/>
            <color indexed="81"/>
            <rFont val="Tahoma"/>
            <family val="2"/>
          </rPr>
          <t>Brian Levesque:</t>
        </r>
        <r>
          <rPr>
            <sz val="9"/>
            <color indexed="81"/>
            <rFont val="Tahoma"/>
            <family val="2"/>
          </rPr>
          <t xml:space="preserve">
increase $2000 more travel required for training</t>
        </r>
      </text>
    </comment>
    <comment ref="D246" authorId="0" shapeId="0">
      <text>
        <r>
          <rPr>
            <b/>
            <sz val="9"/>
            <color indexed="81"/>
            <rFont val="Tahoma"/>
            <family val="2"/>
          </rPr>
          <t>Brian Levesque:</t>
        </r>
        <r>
          <rPr>
            <sz val="9"/>
            <color indexed="81"/>
            <rFont val="Tahoma"/>
            <family val="2"/>
          </rPr>
          <t xml:space="preserve">
increase $45 per contract</t>
        </r>
      </text>
    </comment>
    <comment ref="D254" authorId="0" shapeId="0">
      <text>
        <r>
          <rPr>
            <b/>
            <sz val="9"/>
            <color indexed="81"/>
            <rFont val="Tahoma"/>
            <family val="2"/>
          </rPr>
          <t>Brian Levesque:</t>
        </r>
        <r>
          <rPr>
            <sz val="9"/>
            <color indexed="81"/>
            <rFont val="Tahoma"/>
            <family val="2"/>
          </rPr>
          <t xml:space="preserve">
increase $5000 more training required. No longer using academy as much</t>
        </r>
      </text>
    </comment>
    <comment ref="D282" authorId="0" shapeId="0">
      <text>
        <r>
          <rPr>
            <b/>
            <sz val="9"/>
            <color indexed="81"/>
            <rFont val="Tahoma"/>
            <family val="2"/>
          </rPr>
          <t>Brian Levesque:</t>
        </r>
        <r>
          <rPr>
            <sz val="9"/>
            <color indexed="81"/>
            <rFont val="Tahoma"/>
            <family val="2"/>
          </rPr>
          <t xml:space="preserve">
new pistol and holsters. Pistols will be six years old.
Does not include trade in value. Est $15000 </t>
        </r>
      </text>
    </comment>
    <comment ref="D287" authorId="0" shapeId="0">
      <text>
        <r>
          <rPr>
            <b/>
            <sz val="9"/>
            <color indexed="81"/>
            <rFont val="Tahoma"/>
            <family val="2"/>
          </rPr>
          <t>Brian Levesque:</t>
        </r>
        <r>
          <rPr>
            <sz val="9"/>
            <color indexed="81"/>
            <rFont val="Tahoma"/>
            <family val="2"/>
          </rPr>
          <t xml:space="preserve">
increase $21000 for upfitting costs Ave $7000 per car</t>
        </r>
      </text>
    </comment>
    <comment ref="D288" authorId="0" shapeId="0">
      <text>
        <r>
          <rPr>
            <b/>
            <sz val="9"/>
            <color indexed="81"/>
            <rFont val="Tahoma"/>
            <family val="2"/>
          </rPr>
          <t>Brian Levesque:</t>
        </r>
        <r>
          <rPr>
            <sz val="9"/>
            <color indexed="81"/>
            <rFont val="Tahoma"/>
            <family val="2"/>
          </rPr>
          <t xml:space="preserve">
add new vehicle for admin use. Last time the we did this the car lasted 14 years</t>
        </r>
      </text>
    </comment>
  </commentList>
</comments>
</file>

<file path=xl/comments3.xml><?xml version="1.0" encoding="utf-8"?>
<comments xmlns="http://schemas.openxmlformats.org/spreadsheetml/2006/main">
  <authors>
    <author>Brian Levesque</author>
  </authors>
  <commentList>
    <comment ref="D18" authorId="0" shapeId="0">
      <text>
        <r>
          <rPr>
            <b/>
            <sz val="9"/>
            <color indexed="81"/>
            <rFont val="Tahoma"/>
            <family val="2"/>
          </rPr>
          <t>Brian Levesque:
New Disaptcher posistion to add a second dispatcher on midnight shift.</t>
        </r>
      </text>
    </comment>
    <comment ref="D94" authorId="0" shapeId="0">
      <text>
        <r>
          <rPr>
            <b/>
            <sz val="9"/>
            <color indexed="81"/>
            <rFont val="Tahoma"/>
            <family val="2"/>
          </rPr>
          <t>Brian Levesque:</t>
        </r>
        <r>
          <rPr>
            <sz val="9"/>
            <color indexed="81"/>
            <rFont val="Tahoma"/>
            <family val="2"/>
          </rPr>
          <t xml:space="preserve">
increase by one for new dispatcher</t>
        </r>
      </text>
    </comment>
    <comment ref="D112" authorId="0" shapeId="0">
      <text>
        <r>
          <rPr>
            <b/>
            <sz val="9"/>
            <color indexed="81"/>
            <rFont val="Tahoma"/>
            <family val="2"/>
          </rPr>
          <t>Brian Levesque:</t>
        </r>
        <r>
          <rPr>
            <sz val="9"/>
            <color indexed="81"/>
            <rFont val="Tahoma"/>
            <family val="2"/>
          </rPr>
          <t xml:space="preserve">
yearly dues for dispatchers</t>
        </r>
      </text>
    </comment>
    <comment ref="D125" authorId="0" shapeId="0">
      <text>
        <r>
          <rPr>
            <b/>
            <sz val="9"/>
            <color indexed="81"/>
            <rFont val="Tahoma"/>
            <family val="2"/>
          </rPr>
          <t>Brian Levesque:</t>
        </r>
        <r>
          <rPr>
            <sz val="9"/>
            <color indexed="81"/>
            <rFont val="Tahoma"/>
            <family val="2"/>
          </rPr>
          <t xml:space="preserve">
We might not have to pay this. Depends on when we go live with new RMS. Only pay after first year</t>
        </r>
      </text>
    </comment>
    <comment ref="D132" authorId="0" shapeId="0">
      <text>
        <r>
          <rPr>
            <b/>
            <sz val="9"/>
            <color indexed="81"/>
            <rFont val="Tahoma"/>
            <family val="2"/>
          </rPr>
          <t>Brian Levesque:</t>
        </r>
        <r>
          <rPr>
            <sz val="9"/>
            <color indexed="81"/>
            <rFont val="Tahoma"/>
            <family val="2"/>
          </rPr>
          <t xml:space="preserve">
payment to Nashua for radio system</t>
        </r>
      </text>
    </comment>
    <comment ref="D133" authorId="0" shapeId="0">
      <text>
        <r>
          <rPr>
            <b/>
            <sz val="9"/>
            <color indexed="81"/>
            <rFont val="Tahoma"/>
            <family val="2"/>
          </rPr>
          <t>Brian Levesque:</t>
        </r>
        <r>
          <rPr>
            <sz val="9"/>
            <color indexed="81"/>
            <rFont val="Tahoma"/>
            <family val="2"/>
          </rPr>
          <t xml:space="preserve">
Payment to Nashua radio system</t>
        </r>
      </text>
    </comment>
    <comment ref="D134" authorId="0" shapeId="0">
      <text>
        <r>
          <rPr>
            <b/>
            <sz val="9"/>
            <color indexed="81"/>
            <rFont val="Tahoma"/>
            <family val="2"/>
          </rPr>
          <t>Brian Levesque:</t>
        </r>
        <r>
          <rPr>
            <sz val="9"/>
            <color indexed="81"/>
            <rFont val="Tahoma"/>
            <family val="2"/>
          </rPr>
          <t xml:space="preserve">
radio fee $20 per month per radio to City of Nashua</t>
        </r>
      </text>
    </comment>
    <comment ref="D138" authorId="0" shapeId="0">
      <text>
        <r>
          <rPr>
            <b/>
            <sz val="9"/>
            <color indexed="81"/>
            <rFont val="Tahoma"/>
            <family val="2"/>
          </rPr>
          <t>Brian Levesque:</t>
        </r>
        <r>
          <rPr>
            <sz val="9"/>
            <color indexed="81"/>
            <rFont val="Tahoma"/>
            <family val="2"/>
          </rPr>
          <t xml:space="preserve">
increase $3000
APCO required training 24 hrs per dispatcher</t>
        </r>
      </text>
    </comment>
  </commentList>
</comments>
</file>

<file path=xl/comments4.xml><?xml version="1.0" encoding="utf-8"?>
<comments xmlns="http://schemas.openxmlformats.org/spreadsheetml/2006/main">
  <authors>
    <author>Lori Barrett</author>
    <author>Kyle Fox</author>
  </authors>
  <commentList>
    <comment ref="G50" authorId="0" shapeId="0">
      <text>
        <r>
          <rPr>
            <b/>
            <sz val="9"/>
            <color indexed="81"/>
            <rFont val="Tahoma"/>
            <family val="2"/>
          </rPr>
          <t>Lori Barrett:</t>
        </r>
        <r>
          <rPr>
            <sz val="9"/>
            <color indexed="81"/>
            <rFont val="Tahoma"/>
            <family val="2"/>
          </rPr>
          <t xml:space="preserve">
Added PT Custodian at Highway, will be removed from B&amp;G budget</t>
        </r>
      </text>
    </comment>
    <comment ref="H50" authorId="0" shapeId="0">
      <text>
        <r>
          <rPr>
            <b/>
            <sz val="9"/>
            <color indexed="81"/>
            <rFont val="Tahoma"/>
            <family val="2"/>
          </rPr>
          <t>Lori Barrett:</t>
        </r>
        <r>
          <rPr>
            <sz val="9"/>
            <color indexed="81"/>
            <rFont val="Tahoma"/>
            <family val="2"/>
          </rPr>
          <t xml:space="preserve">
Added PT Custodian at Highway, will be removed from B&amp;G budget</t>
        </r>
      </text>
    </comment>
    <comment ref="I50" authorId="0" shapeId="0">
      <text>
        <r>
          <rPr>
            <b/>
            <sz val="9"/>
            <color indexed="81"/>
            <rFont val="Tahoma"/>
            <family val="2"/>
          </rPr>
          <t>Lori Barrett:</t>
        </r>
        <r>
          <rPr>
            <sz val="9"/>
            <color indexed="81"/>
            <rFont val="Tahoma"/>
            <family val="2"/>
          </rPr>
          <t xml:space="preserve">
Added PT Custodian at Highway, will be removed from B&amp;G budget</t>
        </r>
      </text>
    </comment>
    <comment ref="J50" authorId="0" shapeId="0">
      <text>
        <r>
          <rPr>
            <b/>
            <sz val="9"/>
            <color indexed="81"/>
            <rFont val="Tahoma"/>
            <family val="2"/>
          </rPr>
          <t>Lori Barrett:</t>
        </r>
        <r>
          <rPr>
            <sz val="9"/>
            <color indexed="81"/>
            <rFont val="Tahoma"/>
            <family val="2"/>
          </rPr>
          <t xml:space="preserve">
Added PT Custodian at Highway, will be removed from B&amp;G budget</t>
        </r>
      </text>
    </comment>
    <comment ref="G115" authorId="0" shapeId="0">
      <text>
        <r>
          <rPr>
            <b/>
            <sz val="9"/>
            <color indexed="81"/>
            <rFont val="Tahoma"/>
            <family val="2"/>
          </rPr>
          <t>Lori Barrett:</t>
        </r>
        <r>
          <rPr>
            <sz val="9"/>
            <color indexed="81"/>
            <rFont val="Tahoma"/>
            <family val="2"/>
          </rPr>
          <t xml:space="preserve">
Add New EOI Position, fully loaded cost per TB</t>
        </r>
      </text>
    </comment>
    <comment ref="H115" authorId="0" shapeId="0">
      <text>
        <r>
          <rPr>
            <b/>
            <sz val="9"/>
            <color indexed="81"/>
            <rFont val="Tahoma"/>
            <family val="2"/>
          </rPr>
          <t>Lori Barrett:</t>
        </r>
        <r>
          <rPr>
            <sz val="9"/>
            <color indexed="81"/>
            <rFont val="Tahoma"/>
            <family val="2"/>
          </rPr>
          <t xml:space="preserve">
Add New EOI Position, fully loaded cost per TB</t>
        </r>
      </text>
    </comment>
    <comment ref="I115" authorId="0" shapeId="0">
      <text>
        <r>
          <rPr>
            <b/>
            <sz val="9"/>
            <color indexed="81"/>
            <rFont val="Tahoma"/>
            <family val="2"/>
          </rPr>
          <t>Lori Barrett:</t>
        </r>
        <r>
          <rPr>
            <sz val="9"/>
            <color indexed="81"/>
            <rFont val="Tahoma"/>
            <family val="2"/>
          </rPr>
          <t xml:space="preserve">
Add New EOI Position, fully loaded cost per TB</t>
        </r>
      </text>
    </comment>
    <comment ref="J115" authorId="0" shapeId="0">
      <text>
        <r>
          <rPr>
            <b/>
            <sz val="9"/>
            <color indexed="81"/>
            <rFont val="Tahoma"/>
            <family val="2"/>
          </rPr>
          <t>Lori Barrett:</t>
        </r>
        <r>
          <rPr>
            <sz val="9"/>
            <color indexed="81"/>
            <rFont val="Tahoma"/>
            <family val="2"/>
          </rPr>
          <t xml:space="preserve">
Add New EOI Position, fully loaded cost per TB</t>
        </r>
      </text>
    </comment>
    <comment ref="G142" authorId="0" shapeId="0">
      <text>
        <r>
          <rPr>
            <b/>
            <sz val="9"/>
            <color indexed="81"/>
            <rFont val="Tahoma"/>
            <family val="2"/>
          </rPr>
          <t>Lori Barrett:</t>
        </r>
        <r>
          <rPr>
            <sz val="9"/>
            <color indexed="81"/>
            <rFont val="Tahoma"/>
            <family val="2"/>
          </rPr>
          <t xml:space="preserve">
Added program rentals</t>
        </r>
      </text>
    </comment>
    <comment ref="H142" authorId="0" shapeId="0">
      <text>
        <r>
          <rPr>
            <b/>
            <sz val="9"/>
            <color indexed="81"/>
            <rFont val="Tahoma"/>
            <family val="2"/>
          </rPr>
          <t>Lori Barrett:</t>
        </r>
        <r>
          <rPr>
            <sz val="9"/>
            <color indexed="81"/>
            <rFont val="Tahoma"/>
            <family val="2"/>
          </rPr>
          <t xml:space="preserve">
Added program rentals</t>
        </r>
      </text>
    </comment>
    <comment ref="I142" authorId="0" shapeId="0">
      <text>
        <r>
          <rPr>
            <b/>
            <sz val="9"/>
            <color indexed="81"/>
            <rFont val="Tahoma"/>
            <family val="2"/>
          </rPr>
          <t>Lori Barrett:</t>
        </r>
        <r>
          <rPr>
            <sz val="9"/>
            <color indexed="81"/>
            <rFont val="Tahoma"/>
            <family val="2"/>
          </rPr>
          <t xml:space="preserve">
Added program rentals</t>
        </r>
      </text>
    </comment>
    <comment ref="J142" authorId="0" shapeId="0">
      <text>
        <r>
          <rPr>
            <b/>
            <sz val="9"/>
            <color indexed="81"/>
            <rFont val="Tahoma"/>
            <family val="2"/>
          </rPr>
          <t>Lori Barrett:</t>
        </r>
        <r>
          <rPr>
            <sz val="9"/>
            <color indexed="81"/>
            <rFont val="Tahoma"/>
            <family val="2"/>
          </rPr>
          <t xml:space="preserve">
Added program rentals</t>
        </r>
      </text>
    </comment>
    <comment ref="D184" authorId="0" shapeId="0">
      <text>
        <r>
          <rPr>
            <b/>
            <sz val="9"/>
            <color indexed="81"/>
            <rFont val="Tahoma"/>
            <family val="2"/>
          </rPr>
          <t>Lori Barrett:</t>
        </r>
        <r>
          <rPr>
            <sz val="9"/>
            <color indexed="81"/>
            <rFont val="Tahoma"/>
            <family val="2"/>
          </rPr>
          <t xml:space="preserve">
Added new foreman</t>
        </r>
      </text>
    </comment>
    <comment ref="D210" authorId="0" shapeId="0">
      <text>
        <r>
          <rPr>
            <b/>
            <sz val="9"/>
            <color indexed="81"/>
            <rFont val="Tahoma"/>
            <family val="2"/>
          </rPr>
          <t>Lori Barrett:</t>
        </r>
        <r>
          <rPr>
            <sz val="9"/>
            <color indexed="81"/>
            <rFont val="Tahoma"/>
            <family val="2"/>
          </rPr>
          <t xml:space="preserve">
Remove line item.  We are able to do this with the bucket truck.</t>
        </r>
      </text>
    </comment>
    <comment ref="D231" authorId="0" shapeId="0">
      <text>
        <r>
          <rPr>
            <b/>
            <sz val="9"/>
            <color indexed="81"/>
            <rFont val="Tahoma"/>
            <family val="2"/>
          </rPr>
          <t>Lori Barrett:</t>
        </r>
        <r>
          <rPr>
            <sz val="9"/>
            <color indexed="81"/>
            <rFont val="Tahoma"/>
            <family val="2"/>
          </rPr>
          <t xml:space="preserve">
Huge price jump in salt from $50/ton to $72.60</t>
        </r>
      </text>
    </comment>
    <comment ref="D232" authorId="0" shapeId="0">
      <text>
        <r>
          <rPr>
            <b/>
            <sz val="9"/>
            <color indexed="81"/>
            <rFont val="Tahoma"/>
            <family val="2"/>
          </rPr>
          <t>Lori Barrett:</t>
        </r>
        <r>
          <rPr>
            <sz val="9"/>
            <color indexed="81"/>
            <rFont val="Tahoma"/>
            <family val="2"/>
          </rPr>
          <t xml:space="preserve">
Price increase in sand from $9/ton to $15
</t>
        </r>
      </text>
    </comment>
    <comment ref="D240" authorId="0" shapeId="0">
      <text>
        <r>
          <rPr>
            <b/>
            <sz val="9"/>
            <color indexed="81"/>
            <rFont val="Tahoma"/>
            <family val="2"/>
          </rPr>
          <t>Lori Barrett:</t>
        </r>
        <r>
          <rPr>
            <sz val="9"/>
            <color indexed="81"/>
            <rFont val="Tahoma"/>
            <family val="2"/>
          </rPr>
          <t xml:space="preserve">
Lowered budget from 18k to 14k.  
</t>
        </r>
      </text>
    </comment>
    <comment ref="D267" authorId="0" shapeId="0">
      <text>
        <r>
          <rPr>
            <b/>
            <sz val="9"/>
            <color indexed="81"/>
            <rFont val="Tahoma"/>
            <family val="2"/>
          </rPr>
          <t>Lori Barrett:</t>
        </r>
        <r>
          <rPr>
            <sz val="9"/>
            <color indexed="81"/>
            <rFont val="Tahoma"/>
            <family val="2"/>
          </rPr>
          <t xml:space="preserve">
Adjust from 1k to 1650 due to actual cost</t>
        </r>
      </text>
    </comment>
    <comment ref="D268" authorId="0" shapeId="0">
      <text>
        <r>
          <rPr>
            <b/>
            <sz val="9"/>
            <color indexed="81"/>
            <rFont val="Tahoma"/>
            <family val="2"/>
          </rPr>
          <t>Lori Barrett:</t>
        </r>
        <r>
          <rPr>
            <sz val="9"/>
            <color indexed="81"/>
            <rFont val="Tahoma"/>
            <family val="2"/>
          </rPr>
          <t xml:space="preserve">
Contract expired, bidding this winter, expecting higher cost due to fuel</t>
        </r>
      </text>
    </comment>
    <comment ref="D270" authorId="0" shapeId="0">
      <text>
        <r>
          <rPr>
            <b/>
            <sz val="9"/>
            <color indexed="81"/>
            <rFont val="Tahoma"/>
            <family val="2"/>
          </rPr>
          <t>Lori Barrett:</t>
        </r>
        <r>
          <rPr>
            <sz val="9"/>
            <color indexed="81"/>
            <rFont val="Tahoma"/>
            <family val="2"/>
          </rPr>
          <t xml:space="preserve">
raise from 1750 to 1800, actual cost
</t>
        </r>
      </text>
    </comment>
    <comment ref="D274" authorId="0" shapeId="0">
      <text>
        <r>
          <rPr>
            <b/>
            <sz val="9"/>
            <color indexed="81"/>
            <rFont val="Tahoma"/>
            <family val="2"/>
          </rPr>
          <t>Lori Barrett:</t>
        </r>
        <r>
          <rPr>
            <sz val="9"/>
            <color indexed="81"/>
            <rFont val="Tahoma"/>
            <family val="2"/>
          </rPr>
          <t xml:space="preserve">
Fix to actual costs from $4220 to $7245, per state contract</t>
        </r>
      </text>
    </comment>
    <comment ref="D283" authorId="0" shapeId="0">
      <text>
        <r>
          <rPr>
            <b/>
            <sz val="9"/>
            <color indexed="81"/>
            <rFont val="Tahoma"/>
            <family val="2"/>
          </rPr>
          <t>Lori Barrett:</t>
        </r>
        <r>
          <rPr>
            <sz val="9"/>
            <color indexed="81"/>
            <rFont val="Tahoma"/>
            <family val="2"/>
          </rPr>
          <t xml:space="preserve">
Service warranty for LED lights expired</t>
        </r>
      </text>
    </comment>
    <comment ref="F291" authorId="0" shapeId="0">
      <text>
        <r>
          <rPr>
            <b/>
            <sz val="9"/>
            <color indexed="81"/>
            <rFont val="Tahoma"/>
            <family val="2"/>
          </rPr>
          <t>Lori Barrett:</t>
        </r>
        <r>
          <rPr>
            <sz val="9"/>
            <color indexed="81"/>
            <rFont val="Tahoma"/>
            <family val="2"/>
          </rPr>
          <t xml:space="preserve">
This should have been 39,000 last year</t>
        </r>
      </text>
    </comment>
    <comment ref="D293" authorId="0" shapeId="0">
      <text>
        <r>
          <rPr>
            <b/>
            <sz val="9"/>
            <color indexed="81"/>
            <rFont val="Tahoma"/>
            <family val="2"/>
          </rPr>
          <t>Lori Barrett:</t>
        </r>
        <r>
          <rPr>
            <sz val="9"/>
            <color indexed="81"/>
            <rFont val="Tahoma"/>
            <family val="2"/>
          </rPr>
          <t xml:space="preserve">
Adjust to actual cost</t>
        </r>
      </text>
    </comment>
    <comment ref="D294" authorId="0" shapeId="0">
      <text>
        <r>
          <rPr>
            <b/>
            <sz val="9"/>
            <color indexed="81"/>
            <rFont val="Tahoma"/>
            <family val="2"/>
          </rPr>
          <t>Lori Barrett:</t>
        </r>
        <r>
          <rPr>
            <sz val="9"/>
            <color indexed="81"/>
            <rFont val="Tahoma"/>
            <family val="2"/>
          </rPr>
          <t xml:space="preserve">
Add line item for dumpster we provide at MYA/Vets field</t>
        </r>
      </text>
    </comment>
    <comment ref="D297" authorId="0" shapeId="0">
      <text>
        <r>
          <rPr>
            <b/>
            <sz val="9"/>
            <color indexed="81"/>
            <rFont val="Tahoma"/>
            <family val="2"/>
          </rPr>
          <t>Lori Barrett:</t>
        </r>
        <r>
          <rPr>
            <sz val="9"/>
            <color indexed="81"/>
            <rFont val="Tahoma"/>
            <family val="2"/>
          </rPr>
          <t xml:space="preserve">
Add Elbit fields to seeding and Fertilizer plan per agreement.</t>
        </r>
      </text>
    </comment>
    <comment ref="D298" authorId="1" shapeId="0">
      <text>
        <r>
          <rPr>
            <b/>
            <sz val="9"/>
            <color indexed="81"/>
            <rFont val="Tahoma"/>
            <family val="2"/>
          </rPr>
          <t>Kyle Fox:</t>
        </r>
        <r>
          <rPr>
            <sz val="9"/>
            <color indexed="81"/>
            <rFont val="Tahoma"/>
            <family val="2"/>
          </rPr>
          <t xml:space="preserve">
Add Elbit fields to seeding and Fertilizer plan per agreement.</t>
        </r>
      </text>
    </comment>
    <comment ref="D323" authorId="0" shapeId="0">
      <text>
        <r>
          <rPr>
            <b/>
            <sz val="9"/>
            <color indexed="81"/>
            <rFont val="Tahoma"/>
            <family val="2"/>
          </rPr>
          <t>Lori Barrett:</t>
        </r>
        <r>
          <rPr>
            <sz val="9"/>
            <color indexed="81"/>
            <rFont val="Tahoma"/>
            <family val="2"/>
          </rPr>
          <t xml:space="preserve">
Granite State's estimate for roof repairs total cost is $58,000.  $22K from CRF
</t>
        </r>
      </text>
    </comment>
    <comment ref="D324" authorId="0" shapeId="0">
      <text>
        <r>
          <rPr>
            <b/>
            <sz val="9"/>
            <color indexed="81"/>
            <rFont val="Tahoma"/>
            <family val="2"/>
          </rPr>
          <t>Lori Barrett:</t>
        </r>
        <r>
          <rPr>
            <sz val="9"/>
            <color indexed="81"/>
            <rFont val="Tahoma"/>
            <family val="2"/>
          </rPr>
          <t xml:space="preserve">
Estimate for new system install 28000
</t>
        </r>
      </text>
    </comment>
    <comment ref="D333" authorId="0" shapeId="0">
      <text>
        <r>
          <rPr>
            <b/>
            <sz val="9"/>
            <color indexed="81"/>
            <rFont val="Tahoma"/>
            <family val="2"/>
          </rPr>
          <t>Lori Barrett:</t>
        </r>
        <r>
          <rPr>
            <sz val="9"/>
            <color indexed="81"/>
            <rFont val="Tahoma"/>
            <family val="2"/>
          </rPr>
          <t xml:space="preserve">
Per propsed CIP</t>
        </r>
      </text>
    </comment>
    <comment ref="D335" authorId="1" shapeId="0">
      <text>
        <r>
          <rPr>
            <b/>
            <sz val="9"/>
            <color indexed="81"/>
            <rFont val="Tahoma"/>
            <family val="2"/>
          </rPr>
          <t>Kyle Fox:</t>
        </r>
        <r>
          <rPr>
            <sz val="9"/>
            <color indexed="81"/>
            <rFont val="Tahoma"/>
            <family val="2"/>
          </rPr>
          <t xml:space="preserve">
Per proposed CIP $200K
</t>
        </r>
      </text>
    </comment>
    <comment ref="D340" authorId="0" shapeId="0">
      <text>
        <r>
          <rPr>
            <b/>
            <sz val="9"/>
            <color indexed="81"/>
            <rFont val="Tahoma"/>
            <family val="2"/>
          </rPr>
          <t>Lori Barrett:</t>
        </r>
        <r>
          <rPr>
            <sz val="9"/>
            <color indexed="81"/>
            <rFont val="Tahoma"/>
            <family val="2"/>
          </rPr>
          <t xml:space="preserve">
Communication system failing, cannot get new parts for old equipment</t>
        </r>
      </text>
    </comment>
  </commentList>
</comments>
</file>

<file path=xl/comments5.xml><?xml version="1.0" encoding="utf-8"?>
<comments xmlns="http://schemas.openxmlformats.org/spreadsheetml/2006/main">
  <authors>
    <author>Kyle Fox</author>
    <author>Thomas Boland</author>
  </authors>
  <commentList>
    <comment ref="D106" authorId="0" shapeId="0">
      <text>
        <r>
          <rPr>
            <b/>
            <sz val="9"/>
            <color indexed="81"/>
            <rFont val="Tahoma"/>
            <family val="2"/>
          </rPr>
          <t>Kyle Fox:</t>
        </r>
        <r>
          <rPr>
            <sz val="9"/>
            <color indexed="81"/>
            <rFont val="Tahoma"/>
            <family val="2"/>
          </rPr>
          <t xml:space="preserve">
Reduce from $1,400 due to purchase of new skid steer and forklift</t>
        </r>
      </text>
    </comment>
    <comment ref="D134" authorId="0" shapeId="0">
      <text>
        <r>
          <rPr>
            <b/>
            <sz val="9"/>
            <color indexed="81"/>
            <rFont val="Tahoma"/>
            <family val="2"/>
          </rPr>
          <t>Kyle Fox:</t>
        </r>
        <r>
          <rPr>
            <sz val="9"/>
            <color indexed="81"/>
            <rFont val="Tahoma"/>
            <family val="2"/>
          </rPr>
          <t xml:space="preserve">
Increased dues to Regional Solid Waste District to support HHW program</t>
        </r>
      </text>
    </comment>
    <comment ref="A169" authorId="0" shapeId="0">
      <text>
        <r>
          <rPr>
            <b/>
            <sz val="9"/>
            <color indexed="81"/>
            <rFont val="Tahoma"/>
            <family val="2"/>
          </rPr>
          <t>Kyle Fox:</t>
        </r>
        <r>
          <rPr>
            <sz val="9"/>
            <color indexed="81"/>
            <rFont val="Tahoma"/>
            <family val="2"/>
          </rPr>
          <t xml:space="preserve">
Can this item be deleted?</t>
        </r>
      </text>
    </comment>
    <comment ref="C176" authorId="0" shapeId="0">
      <text>
        <r>
          <rPr>
            <b/>
            <sz val="9"/>
            <color indexed="81"/>
            <rFont val="Tahoma"/>
            <family val="2"/>
          </rPr>
          <t>Kyle Fox:</t>
        </r>
        <r>
          <rPr>
            <sz val="9"/>
            <color indexed="81"/>
            <rFont val="Tahoma"/>
            <family val="2"/>
          </rPr>
          <t xml:space="preserve">
Increased from $75.25/T</t>
        </r>
      </text>
    </comment>
    <comment ref="C177" authorId="0" shapeId="0">
      <text>
        <r>
          <rPr>
            <b/>
            <sz val="9"/>
            <color indexed="81"/>
            <rFont val="Tahoma"/>
            <family val="2"/>
          </rPr>
          <t>Kyle Fox:</t>
        </r>
        <r>
          <rPr>
            <sz val="9"/>
            <color indexed="81"/>
            <rFont val="Tahoma"/>
            <family val="2"/>
          </rPr>
          <t xml:space="preserve">
Increased from $75.25/T</t>
        </r>
      </text>
    </comment>
    <comment ref="C178" authorId="0" shapeId="0">
      <text>
        <r>
          <rPr>
            <b/>
            <sz val="9"/>
            <color indexed="81"/>
            <rFont val="Tahoma"/>
            <family val="2"/>
          </rPr>
          <t>Kyle Fox:</t>
        </r>
        <r>
          <rPr>
            <sz val="9"/>
            <color indexed="81"/>
            <rFont val="Tahoma"/>
            <family val="2"/>
          </rPr>
          <t xml:space="preserve">
Reduced from $128/T</t>
        </r>
      </text>
    </comment>
    <comment ref="D201" authorId="0" shapeId="0">
      <text>
        <r>
          <rPr>
            <b/>
            <sz val="9"/>
            <color indexed="81"/>
            <rFont val="Tahoma"/>
            <family val="2"/>
          </rPr>
          <t>Kyle Fox:</t>
        </r>
        <r>
          <rPr>
            <sz val="9"/>
            <color indexed="81"/>
            <rFont val="Tahoma"/>
            <family val="2"/>
          </rPr>
          <t xml:space="preserve">
Increase to reflect actual costs.  Increased revenue as well
</t>
        </r>
      </text>
    </comment>
    <comment ref="D203" authorId="0" shapeId="0">
      <text>
        <r>
          <rPr>
            <b/>
            <sz val="9"/>
            <color indexed="81"/>
            <rFont val="Tahoma"/>
            <family val="2"/>
          </rPr>
          <t>Kyle Fox:</t>
        </r>
        <r>
          <rPr>
            <sz val="9"/>
            <color indexed="81"/>
            <rFont val="Tahoma"/>
            <family val="2"/>
          </rPr>
          <t xml:space="preserve">
Increase to reflect actual costs</t>
        </r>
      </text>
    </comment>
    <comment ref="D212" authorId="0" shapeId="0">
      <text>
        <r>
          <rPr>
            <b/>
            <sz val="9"/>
            <color indexed="81"/>
            <rFont val="Tahoma"/>
            <family val="2"/>
          </rPr>
          <t>Kyle Fox:</t>
        </r>
        <r>
          <rPr>
            <sz val="9"/>
            <color indexed="81"/>
            <rFont val="Tahoma"/>
            <family val="2"/>
          </rPr>
          <t xml:space="preserve">
Replace existing EOL trailer $95,000
</t>
        </r>
      </text>
    </comment>
    <comment ref="D213" authorId="0" shapeId="0">
      <text>
        <r>
          <rPr>
            <b/>
            <sz val="9"/>
            <color indexed="81"/>
            <rFont val="Tahoma"/>
            <family val="2"/>
          </rPr>
          <t>Kyle Fox:</t>
        </r>
        <r>
          <rPr>
            <sz val="9"/>
            <color indexed="81"/>
            <rFont val="Tahoma"/>
            <family val="2"/>
          </rPr>
          <t xml:space="preserve">
Record traffc counts at the facility; could also be used by Highway/Admin for road traffic counts</t>
        </r>
      </text>
    </comment>
    <comment ref="D220" authorId="1" shapeId="0">
      <text>
        <r>
          <rPr>
            <b/>
            <sz val="9"/>
            <color indexed="81"/>
            <rFont val="Tahoma"/>
            <family val="2"/>
          </rPr>
          <t>Thomas Boland:</t>
        </r>
        <r>
          <rPr>
            <sz val="9"/>
            <color indexed="81"/>
            <rFont val="Tahoma"/>
            <family val="2"/>
          </rPr>
          <t xml:space="preserve">
Per Kyle: We have had a number of vendors demonstrate their equipment over the years and we finally found one that is economical, safe, will perform the job required, and will reduce plus rate as any operator can run this piece of equipment.  The purchase will allow more flexibility in the maintenance of the landfills, and will allow Lori to keep the trackless machine performing roadside mowing/tree clearing, sweeping, etc that the highway crew needs their equipment for.</t>
        </r>
      </text>
    </comment>
  </commentList>
</comments>
</file>

<file path=xl/comments6.xml><?xml version="1.0" encoding="utf-8"?>
<comments xmlns="http://schemas.openxmlformats.org/spreadsheetml/2006/main">
  <authors>
    <author>Matthew Casparius</author>
    <author>Paul Micali</author>
  </authors>
  <commentList>
    <comment ref="D19" authorId="0" shapeId="0">
      <text>
        <r>
          <rPr>
            <b/>
            <sz val="9"/>
            <color indexed="81"/>
            <rFont val="Tahoma"/>
            <family val="2"/>
          </rPr>
          <t>Matthew Casparius:</t>
        </r>
        <r>
          <rPr>
            <sz val="9"/>
            <color indexed="81"/>
            <rFont val="Tahoma"/>
            <family val="2"/>
          </rPr>
          <t xml:space="preserve">
This past year, the Park Attendant was covering 7 days a week but we've found that the issues in 2020 didn't occur in 2021 and that on Mondays - Thursdays; there just wasn't enough foot traffic to warrant having someone to sit there in the evenings.  For this coming year we are proposing to cover the Town Beach on Friday Nights from 4 to 8 pm and then Saturdays &amp; Sundays from 11:00 am - 6:00 pm.  Last year we had budgeted $10/hr but had to up the pay rate to $12/hr in order to get anyone to take the position. We have budgeted for the highest amount if we have a returning park attendant
In addition; as rentals of the Function Hall Facility are picking up again; I am building in additional hours for the Park Attendant to provide coverage of those weekend rentals rather than personnally having to come in and staff the events myself. I do not like handing out keys to a Town building when no staff are present because of the potential issues that can occur. 
From Sept to June, we are currently averaging 2 weekend rentals per month and the average time is 4 hours per rental. (8 Hrs per month x 10 months = 80 hrs) </t>
        </r>
      </text>
    </comment>
    <comment ref="D20" authorId="0" shapeId="0">
      <text>
        <r>
          <rPr>
            <b/>
            <sz val="9"/>
            <color indexed="81"/>
            <rFont val="Tahoma"/>
            <family val="2"/>
          </rPr>
          <t>Matthew Casparius:</t>
        </r>
        <r>
          <rPr>
            <sz val="9"/>
            <color indexed="81"/>
            <rFont val="Tahoma"/>
            <family val="2"/>
          </rPr>
          <t xml:space="preserve">
Last year, due to severe lifeguard shortages, we increased the pay for lifeguards to $15.00 per hour from the $11.41 that was initially budgeted. We are concerned about the potential for continued lifeguard shortages this year and so we are keeping the rate where it is.  
Assuming that we can hire enough lifeguards, we will be providing lifeguard covereage 7 days per week in Summer 2022.</t>
        </r>
      </text>
    </comment>
    <comment ref="D21" authorId="0" shapeId="0">
      <text>
        <r>
          <rPr>
            <b/>
            <sz val="9"/>
            <color indexed="81"/>
            <rFont val="Tahoma"/>
            <family val="2"/>
          </rPr>
          <t>Matthew Casparius:</t>
        </r>
        <r>
          <rPr>
            <sz val="9"/>
            <color indexed="81"/>
            <rFont val="Tahoma"/>
            <family val="2"/>
          </rPr>
          <t xml:space="preserve">
Since we had raised the pay rates for Lifeguards last year, it necessitated raising the pay rate for the Waterfront Director which we have to adjust for this year as well. 
Half of this position is paid for by the Town and the other half is paid for by the Summer Camp Program. The Waterfront Director oversees management of the Town beach 7 days per week for 9 and we have an additional week preparing to open for the summer.</t>
        </r>
      </text>
    </comment>
    <comment ref="D22" authorId="0" shapeId="0">
      <text>
        <r>
          <rPr>
            <b/>
            <sz val="9"/>
            <color indexed="81"/>
            <rFont val="Tahoma"/>
            <family val="2"/>
          </rPr>
          <t>Matthew Casparius:</t>
        </r>
        <r>
          <rPr>
            <sz val="9"/>
            <color indexed="81"/>
            <rFont val="Tahoma"/>
            <family val="2"/>
          </rPr>
          <t xml:space="preserve">
3 years ago, we created the Part Time Year Round Maintainer position to take care of the building and grounds at Wasserman Park. We have 16 buildings here and 46 acres of parks to maintain here and while we get some help from Public Works with tasks such as mowing, water line repairs and plowing the park road in winter; the bulk of the work to maintain the buildings and grounds here falls on 1 Part Time employee. 
This position has been set at 1020 hours per year since it was created giving that employee an average of 19 1/2 hours per week and when things need to get done above and beyond his available hours; the work ends up falling to the Program Coordinator and myself to take care of things he doesn't have time to do. Oftentimes its things like cleaning the Function Hall or shoveling sidewalks that fall to the Program Coordinator and I to do. 
I will also add that with us tentatively taking over the community garden this year from the Agricultural Committee; it is going to put even more work on this employee and we are stretched too thin as it is. 
We struggle to keep up with the maintainance of the park. In an ideal world, we need a full time year round employee here as the buildings are getting older and showing their age. 
Recognizing that a Full Time employee is not going to happen anytime soon; I am requesting to increase the hours of this part time employee to 1300 hours per year (25 hours per week). While not "perfect" it will certainly help us to do a better job maintaining the park and all of the buildings here. 
</t>
        </r>
      </text>
    </comment>
    <comment ref="D23" authorId="0" shapeId="0">
      <text>
        <r>
          <rPr>
            <b/>
            <sz val="9"/>
            <color indexed="81"/>
            <rFont val="Tahoma"/>
            <family val="2"/>
          </rPr>
          <t>Matthew Casparius:</t>
        </r>
        <r>
          <rPr>
            <sz val="9"/>
            <color indexed="81"/>
            <rFont val="Tahoma"/>
            <family val="2"/>
          </rPr>
          <t xml:space="preserve">
This is a new Part Time Seasonal position that I am proposing. As was mentioned in the maintainer I position above; we have been skimping by with a bare minimum of mainenance staff that we need to properly take care of Wasserman Park. The Summer months are the busiest and we are constantly the heavy usage that the park gets during the summer while trying to maintain it in a clean and safe manner. 
Right now, during the summer months I personally am spending half my day dealing with maintenance issues because we don't have enough staff. 
While, I would prefer a full time year maintenance employee, I am proposing this new Part Time Summer Seasonal position which when combined with our Part Time Year Round Maintainer gives us effectively 1 full time position for the summer months. </t>
        </r>
      </text>
    </comment>
    <comment ref="D24" authorId="0" shapeId="0">
      <text>
        <r>
          <rPr>
            <b/>
            <sz val="9"/>
            <color indexed="81"/>
            <rFont val="Tahoma"/>
            <family val="2"/>
          </rPr>
          <t>Matthew Casparius:</t>
        </r>
        <r>
          <rPr>
            <sz val="9"/>
            <color indexed="81"/>
            <rFont val="Tahoma"/>
            <family val="2"/>
          </rPr>
          <t xml:space="preserve">
In anticipation of taking over the Farmers Market; we need to provide staff for the market. Similar to a park attendant, this individual would come in each week to setup, answer questions and resolve any problems and provide a prescence during the event before breaking down at the end of the night. 
The now disbanded agricultural committee used to run their market for 25 weeks but would fairly quickly lose most of their vendors as the season progressed. I am going to be proposing a short season market to run for the months of June, July &amp; August only for a total of 12 weeks.
</t>
        </r>
      </text>
    </comment>
    <comment ref="G139" authorId="0" shapeId="0">
      <text>
        <r>
          <rPr>
            <b/>
            <sz val="9"/>
            <color indexed="81"/>
            <rFont val="Tahoma"/>
            <family val="2"/>
          </rPr>
          <t>Matthew Casparius:</t>
        </r>
        <r>
          <rPr>
            <sz val="9"/>
            <color indexed="81"/>
            <rFont val="Tahoma"/>
            <family val="2"/>
          </rPr>
          <t xml:space="preserve">
The botton line of this account number is increasing by $6010 to cover the increased maintenance and operating costs.
</t>
        </r>
      </text>
    </comment>
    <comment ref="H139" authorId="0" shapeId="0">
      <text>
        <r>
          <rPr>
            <b/>
            <sz val="9"/>
            <color indexed="81"/>
            <rFont val="Tahoma"/>
            <family val="2"/>
          </rPr>
          <t>Matthew Casparius:</t>
        </r>
        <r>
          <rPr>
            <sz val="9"/>
            <color indexed="81"/>
            <rFont val="Tahoma"/>
            <family val="2"/>
          </rPr>
          <t xml:space="preserve">
The botton line of this account number is increasing by $6010 to cover the increased maintenance and operating costs.
</t>
        </r>
      </text>
    </comment>
    <comment ref="I139" authorId="0" shapeId="0">
      <text>
        <r>
          <rPr>
            <b/>
            <sz val="9"/>
            <color indexed="81"/>
            <rFont val="Tahoma"/>
            <family val="2"/>
          </rPr>
          <t>Matthew Casparius:</t>
        </r>
        <r>
          <rPr>
            <sz val="9"/>
            <color indexed="81"/>
            <rFont val="Tahoma"/>
            <family val="2"/>
          </rPr>
          <t xml:space="preserve">
The botton line of this account number is increasing by $6010 to cover the increased maintenance and operating costs.
</t>
        </r>
      </text>
    </comment>
    <comment ref="J139" authorId="0" shapeId="0">
      <text>
        <r>
          <rPr>
            <b/>
            <sz val="9"/>
            <color indexed="81"/>
            <rFont val="Tahoma"/>
            <family val="2"/>
          </rPr>
          <t>Matthew Casparius:</t>
        </r>
        <r>
          <rPr>
            <sz val="9"/>
            <color indexed="81"/>
            <rFont val="Tahoma"/>
            <family val="2"/>
          </rPr>
          <t xml:space="preserve">
The botton line of this account number is increasing by $6010 to cover the increased maintenance and operating costs.
</t>
        </r>
      </text>
    </comment>
    <comment ref="D140" authorId="0" shapeId="0">
      <text>
        <r>
          <rPr>
            <b/>
            <sz val="9"/>
            <color indexed="81"/>
            <rFont val="Tahoma"/>
            <family val="2"/>
          </rPr>
          <t>Matthew Casparius:</t>
        </r>
        <r>
          <rPr>
            <sz val="9"/>
            <color indexed="81"/>
            <rFont val="Tahoma"/>
            <family val="2"/>
          </rPr>
          <t xml:space="preserve">
We have had an increase in maintainance costs trying to maintain the 16 buildings here at Wasserman Park. 
This year our entire maintainance line item budget for the year was spent by October. We have 50-year old buildings that are showing their age. This year summer we had a number of repairs including roofs, septic line repairs and vandalism that ate up our entire budget for this year. We are also looking at taking over management of the Community Garden which will have expenses (TBD at this point) to setup and maintain the garden.
In addition, over the last year; we have started getting charged for the Porta Potty at Watson Park ($1875/ year) out of this line item which we weren't expecting that we now need to account for. 
We are requesting an increase in this line item from $10,490 to $16,000 to cover the added costs and to be able to better maintain our aging infastructure.</t>
        </r>
      </text>
    </comment>
    <comment ref="D142" authorId="0" shapeId="0">
      <text>
        <r>
          <rPr>
            <b/>
            <sz val="9"/>
            <color indexed="81"/>
            <rFont val="Tahoma"/>
            <family val="2"/>
          </rPr>
          <t>Matthew Casparius:</t>
        </r>
        <r>
          <rPr>
            <sz val="9"/>
            <color indexed="81"/>
            <rFont val="Tahoma"/>
            <family val="2"/>
          </rPr>
          <t xml:space="preserve">
Aside from the 2 Dumpsters at Wasserman Park (Function Hall and Dog Park); over the last year we've started getting billed for the Dumpster at Veterans Park and so the $1500 increase is to account for that new charges being assessed to us.
</t>
        </r>
      </text>
    </comment>
    <comment ref="G159" authorId="0" shapeId="0">
      <text>
        <r>
          <rPr>
            <b/>
            <sz val="9"/>
            <color indexed="81"/>
            <rFont val="Tahoma"/>
            <family val="2"/>
          </rPr>
          <t>Matthew Casparius:</t>
        </r>
        <r>
          <rPr>
            <sz val="9"/>
            <color indexed="81"/>
            <rFont val="Tahoma"/>
            <family val="2"/>
          </rPr>
          <t xml:space="preserve">
We are requesting an increase in this line item since there are now 2 Department Employees (Program Coordinator &amp; Recreation Director) who have certifications to maintain and need to attend conferences and workshops in order to maintain our certifications. </t>
        </r>
      </text>
    </comment>
    <comment ref="H159" authorId="0" shapeId="0">
      <text>
        <r>
          <rPr>
            <b/>
            <sz val="9"/>
            <color indexed="81"/>
            <rFont val="Tahoma"/>
            <family val="2"/>
          </rPr>
          <t>Matthew Casparius:</t>
        </r>
        <r>
          <rPr>
            <sz val="9"/>
            <color indexed="81"/>
            <rFont val="Tahoma"/>
            <family val="2"/>
          </rPr>
          <t xml:space="preserve">
We are requesting an increase in this line item since there are now 2 Department Employees (Program Coordinator &amp; Recreation Director) who have certifications to maintain and need to attend conferences and workshops in order to maintain our certifications. </t>
        </r>
      </text>
    </comment>
    <comment ref="I159" authorId="0" shapeId="0">
      <text>
        <r>
          <rPr>
            <b/>
            <sz val="9"/>
            <color indexed="81"/>
            <rFont val="Tahoma"/>
            <family val="2"/>
          </rPr>
          <t>Matthew Casparius:</t>
        </r>
        <r>
          <rPr>
            <sz val="9"/>
            <color indexed="81"/>
            <rFont val="Tahoma"/>
            <family val="2"/>
          </rPr>
          <t xml:space="preserve">
We are requesting an increase in this line item since there are now 2 Department Employees (Program Coordinator &amp; Recreation Director) who have certifications to maintain and need to attend conferences and workshops in order to maintain our certifications. </t>
        </r>
      </text>
    </comment>
    <comment ref="J159" authorId="0" shapeId="0">
      <text>
        <r>
          <rPr>
            <b/>
            <sz val="9"/>
            <color indexed="81"/>
            <rFont val="Tahoma"/>
            <family val="2"/>
          </rPr>
          <t>Matthew Casparius:</t>
        </r>
        <r>
          <rPr>
            <sz val="9"/>
            <color indexed="81"/>
            <rFont val="Tahoma"/>
            <family val="2"/>
          </rPr>
          <t xml:space="preserve">
We are requesting an increase in this line item since there are now 2 Department Employees (Program Coordinator &amp; Recreation Director) who have certifications to maintain and need to attend conferences and workshops in order to maintain our certifications. </t>
        </r>
      </text>
    </comment>
    <comment ref="D200" authorId="0" shapeId="0">
      <text>
        <r>
          <rPr>
            <b/>
            <sz val="9"/>
            <color indexed="81"/>
            <rFont val="Tahoma"/>
            <family val="2"/>
          </rPr>
          <t>Matthew Casparius:</t>
        </r>
        <r>
          <rPr>
            <sz val="9"/>
            <color indexed="81"/>
            <rFont val="Tahoma"/>
            <family val="2"/>
          </rPr>
          <t xml:space="preserve">
There is going to be a lot of start up costs associated with taking over the previously volunteer run Farmers Market. Expenses such as signage, administrative supplies, and the cost of renting rain space in the school has to be factored in. 
We are hoping to combine our Summer Concerts with the Farmers Market and normally we go into the O'Leary Center for the Concerts when it rains, but I would not be able to put both the concert and the markets inside the O'Leary Center and so I would need to rent space from the School District which would cost $112 per week and we are going to budget for 5 weeks (half the season) as backup rain space.</t>
        </r>
      </text>
    </comment>
    <comment ref="D241" authorId="1" shapeId="0">
      <text>
        <r>
          <rPr>
            <b/>
            <sz val="9"/>
            <color indexed="81"/>
            <rFont val="Tahoma"/>
            <family val="2"/>
          </rPr>
          <t>Paul Micali:</t>
        </r>
        <r>
          <rPr>
            <sz val="9"/>
            <color indexed="81"/>
            <rFont val="Tahoma"/>
            <family val="2"/>
          </rPr>
          <t xml:space="preserve">
Matt C added Irrigation $62,000
</t>
        </r>
      </text>
    </comment>
  </commentList>
</comments>
</file>

<file path=xl/comments7.xml><?xml version="1.0" encoding="utf-8"?>
<comments xmlns="http://schemas.openxmlformats.org/spreadsheetml/2006/main">
  <authors>
    <author>Microsoft Office User</author>
  </authors>
  <commentList>
    <comment ref="D13" authorId="0" shapeId="0">
      <text>
        <r>
          <rPr>
            <b/>
            <sz val="10"/>
            <color rgb="FF000000"/>
            <rFont val="Tahoma"/>
            <family val="2"/>
          </rPr>
          <t>Microsoft Office User:</t>
        </r>
        <r>
          <rPr>
            <sz val="10"/>
            <color rgb="FF000000"/>
            <rFont val="Tahoma"/>
            <family val="2"/>
          </rPr>
          <t xml:space="preserve">
</t>
        </r>
        <r>
          <rPr>
            <sz val="10"/>
            <color rgb="FF000000"/>
            <rFont val="Tahoma"/>
            <family val="2"/>
          </rPr>
          <t xml:space="preserve">Max amount added for new exe head
</t>
        </r>
      </text>
    </comment>
    <comment ref="B27" authorId="0" shapeId="0">
      <text>
        <r>
          <rPr>
            <b/>
            <sz val="10"/>
            <color rgb="FF000000"/>
            <rFont val="Tahoma"/>
            <family val="2"/>
          </rPr>
          <t>Microsoft Office User:</t>
        </r>
        <r>
          <rPr>
            <sz val="10"/>
            <color rgb="FF000000"/>
            <rFont val="Tahoma"/>
            <family val="2"/>
          </rPr>
          <t xml:space="preserve">
</t>
        </r>
        <r>
          <rPr>
            <sz val="10"/>
            <color rgb="FF000000"/>
            <rFont val="Tahoma"/>
            <family val="2"/>
          </rPr>
          <t>moved up to 1040</t>
        </r>
      </text>
    </comment>
    <comment ref="B35" authorId="0" shapeId="0">
      <text>
        <r>
          <rPr>
            <b/>
            <sz val="10"/>
            <color rgb="FF000000"/>
            <rFont val="Tahoma"/>
            <family val="2"/>
          </rPr>
          <t>Microsoft Office User:</t>
        </r>
        <r>
          <rPr>
            <sz val="10"/>
            <color rgb="FF000000"/>
            <rFont val="Tahoma"/>
            <family val="2"/>
          </rPr>
          <t xml:space="preserve">
</t>
        </r>
        <r>
          <rPr>
            <sz val="10"/>
            <color rgb="FF000000"/>
            <rFont val="Tahoma"/>
            <family val="2"/>
          </rPr>
          <t xml:space="preserve">Confirm hours
</t>
        </r>
      </text>
    </comment>
  </commentList>
</comments>
</file>

<file path=xl/comments8.xml><?xml version="1.0" encoding="utf-8"?>
<comments xmlns="http://schemas.openxmlformats.org/spreadsheetml/2006/main">
  <authors>
    <author>Kyle Fox</author>
    <author>Lori Barrett</author>
  </authors>
  <commentList>
    <comment ref="D104" authorId="0" shapeId="0">
      <text>
        <r>
          <rPr>
            <b/>
            <sz val="9"/>
            <color indexed="81"/>
            <rFont val="Tahoma"/>
            <family val="2"/>
          </rPr>
          <t>Kyle Fox:</t>
        </r>
        <r>
          <rPr>
            <sz val="9"/>
            <color indexed="81"/>
            <rFont val="Tahoma"/>
            <family val="2"/>
          </rPr>
          <t xml:space="preserve">
Replaces existing wooden bench from od garage that is falling apart
</t>
        </r>
      </text>
    </comment>
    <comment ref="D111" authorId="1" shapeId="0">
      <text>
        <r>
          <rPr>
            <b/>
            <sz val="9"/>
            <color indexed="81"/>
            <rFont val="Tahoma"/>
            <family val="2"/>
          </rPr>
          <t>Lori Barrett:</t>
        </r>
        <r>
          <rPr>
            <sz val="9"/>
            <color indexed="81"/>
            <rFont val="Tahoma"/>
            <family val="2"/>
          </rPr>
          <t xml:space="preserve">
Updated cost for Dossier system - 1 user</t>
        </r>
      </text>
    </comment>
    <comment ref="D112" authorId="1" shapeId="0">
      <text>
        <r>
          <rPr>
            <b/>
            <sz val="9"/>
            <color indexed="81"/>
            <rFont val="Tahoma"/>
            <family val="2"/>
          </rPr>
          <t>Lori Barrett:</t>
        </r>
        <r>
          <rPr>
            <sz val="9"/>
            <color indexed="81"/>
            <rFont val="Tahoma"/>
            <family val="2"/>
          </rPr>
          <t xml:space="preserve">
Adjust to actual cost for software updates - Large vehicles</t>
        </r>
      </text>
    </comment>
    <comment ref="D113" authorId="1" shapeId="0">
      <text>
        <r>
          <rPr>
            <b/>
            <sz val="9"/>
            <color indexed="81"/>
            <rFont val="Tahoma"/>
            <family val="2"/>
          </rPr>
          <t>Lori Barrett:</t>
        </r>
        <r>
          <rPr>
            <sz val="9"/>
            <color indexed="81"/>
            <rFont val="Tahoma"/>
            <family val="2"/>
          </rPr>
          <t xml:space="preserve">
Add updates to the scanners for cars</t>
        </r>
      </text>
    </comment>
  </commentList>
</comments>
</file>

<file path=xl/comments9.xml><?xml version="1.0" encoding="utf-8"?>
<comments xmlns="http://schemas.openxmlformats.org/spreadsheetml/2006/main">
  <authors>
    <author>Kyle Fox</author>
    <author>Paul Micali</author>
  </authors>
  <commentList>
    <comment ref="G93" authorId="0" shapeId="0">
      <text>
        <r>
          <rPr>
            <b/>
            <sz val="9"/>
            <color indexed="81"/>
            <rFont val="Tahoma"/>
            <family val="2"/>
          </rPr>
          <t>Kyle Fox:</t>
        </r>
        <r>
          <rPr>
            <sz val="9"/>
            <color indexed="81"/>
            <rFont val="Tahoma"/>
            <family val="2"/>
          </rPr>
          <t xml:space="preserve">
Increases due to inflation and age of facility</t>
        </r>
      </text>
    </comment>
    <comment ref="H93" authorId="0" shapeId="0">
      <text>
        <r>
          <rPr>
            <b/>
            <sz val="9"/>
            <color indexed="81"/>
            <rFont val="Tahoma"/>
            <family val="2"/>
          </rPr>
          <t>Kyle Fox:</t>
        </r>
        <r>
          <rPr>
            <sz val="9"/>
            <color indexed="81"/>
            <rFont val="Tahoma"/>
            <family val="2"/>
          </rPr>
          <t xml:space="preserve">
Increases due to inflation and age of facility</t>
        </r>
      </text>
    </comment>
    <comment ref="I93" authorId="0" shapeId="0">
      <text>
        <r>
          <rPr>
            <b/>
            <sz val="9"/>
            <color indexed="81"/>
            <rFont val="Tahoma"/>
            <family val="2"/>
          </rPr>
          <t>Kyle Fox:</t>
        </r>
        <r>
          <rPr>
            <sz val="9"/>
            <color indexed="81"/>
            <rFont val="Tahoma"/>
            <family val="2"/>
          </rPr>
          <t xml:space="preserve">
Increases due to inflation and age of facility</t>
        </r>
      </text>
    </comment>
    <comment ref="J93" authorId="0" shapeId="0">
      <text>
        <r>
          <rPr>
            <b/>
            <sz val="9"/>
            <color indexed="81"/>
            <rFont val="Tahoma"/>
            <family val="2"/>
          </rPr>
          <t>Kyle Fox:</t>
        </r>
        <r>
          <rPr>
            <sz val="9"/>
            <color indexed="81"/>
            <rFont val="Tahoma"/>
            <family val="2"/>
          </rPr>
          <t xml:space="preserve">
Increases due to inflation and age of facility</t>
        </r>
      </text>
    </comment>
    <comment ref="D138" authorId="1" shapeId="0">
      <text>
        <r>
          <rPr>
            <b/>
            <sz val="9"/>
            <color indexed="81"/>
            <rFont val="Tahoma"/>
            <family val="2"/>
          </rPr>
          <t>Paul Micali:</t>
        </r>
        <r>
          <rPr>
            <sz val="9"/>
            <color indexed="81"/>
            <rFont val="Tahoma"/>
            <family val="2"/>
          </rPr>
          <t xml:space="preserve">
KF $25K to pave lowere lot
</t>
        </r>
      </text>
    </comment>
    <comment ref="D139" authorId="1" shapeId="0">
      <text>
        <r>
          <rPr>
            <b/>
            <sz val="9"/>
            <color indexed="81"/>
            <rFont val="Tahoma"/>
            <family val="2"/>
          </rPr>
          <t>Paul Micali:</t>
        </r>
        <r>
          <rPr>
            <sz val="9"/>
            <color indexed="81"/>
            <rFont val="Tahoma"/>
            <family val="2"/>
          </rPr>
          <t xml:space="preserve">
kf $135K to pave church lot
</t>
        </r>
      </text>
    </comment>
  </commentList>
</comments>
</file>

<file path=xl/sharedStrings.xml><?xml version="1.0" encoding="utf-8"?>
<sst xmlns="http://schemas.openxmlformats.org/spreadsheetml/2006/main" count="3768" uniqueCount="2120">
  <si>
    <t>Hoses for washing tanks and floors and 3 &amp; 4 " pump hoses</t>
  </si>
  <si>
    <t>Flashlights, batteries, UPS and PLC batteries</t>
  </si>
  <si>
    <t>01-07-8102-0 Wages - Clerical</t>
  </si>
  <si>
    <t>01-03-8510-0 Capital Reserve Funds</t>
  </si>
  <si>
    <t>01-13-8111-0 Overtime-Other</t>
  </si>
  <si>
    <t>01-13-8125-0 Social Security</t>
  </si>
  <si>
    <t>01-05-8334-0 Maintenance-Office Equipment</t>
  </si>
  <si>
    <t>SPOTS terminal</t>
  </si>
  <si>
    <t>Security system</t>
  </si>
  <si>
    <t>01-05-8335-0 Maintenance-Communications Equip</t>
  </si>
  <si>
    <t>01-02-8136-0 Unemployment Compensation</t>
  </si>
  <si>
    <t>01-02-8203-0 Operating Supplies</t>
  </si>
  <si>
    <t>01-02-8220-0 Printing</t>
  </si>
  <si>
    <t>01-13-8245-0 Sewer</t>
  </si>
  <si>
    <t>01-13-8250-0 Vehicle Fuel</t>
  </si>
  <si>
    <t>01-21-8359-0 Other Outside Services</t>
  </si>
  <si>
    <t>Microfilming of plans</t>
  </si>
  <si>
    <t>Vote tabulating equipment maintenance</t>
  </si>
  <si>
    <t>Voter cards and other expenses</t>
  </si>
  <si>
    <t>01-01-8420-0 Advertising</t>
  </si>
  <si>
    <t xml:space="preserve">  striping and landscaping</t>
  </si>
  <si>
    <t>01-04-8460-0 Other Operating Expenses</t>
  </si>
  <si>
    <t>01-15-8202-0 Maintenance Supplies</t>
  </si>
  <si>
    <t>01-17-8204-0 Uniforms</t>
  </si>
  <si>
    <t>01-25-8220-0 Printing</t>
  </si>
  <si>
    <t>Town-wide non-union college tuition reimbursement program</t>
  </si>
  <si>
    <t>Postage to 12 members, 12 mailings agenda &amp; minutes@$ 1.00    </t>
  </si>
  <si>
    <t>Transfer to Ambulance Capital Reserve Fund</t>
  </si>
  <si>
    <t>Full-time employees - AFSCME</t>
  </si>
  <si>
    <t>Child Advocacy Center</t>
  </si>
  <si>
    <t>Pipe stock to maintain, repair, modify, or reconstruct drainage</t>
  </si>
  <si>
    <t>Refrigerators and air conditioners (Freon)</t>
  </si>
  <si>
    <t xml:space="preserve">    Society of the Protection of NH Forests</t>
  </si>
  <si>
    <t>2007 Drainage Improvements</t>
  </si>
  <si>
    <t>Federal Communications Commission Radio licenses</t>
  </si>
  <si>
    <t>NH Camp Directors Association</t>
  </si>
  <si>
    <t>01-13-8128-0 Retirement</t>
  </si>
  <si>
    <t>01-13-8131-0 Health Insurance</t>
  </si>
  <si>
    <t>Computer source materials</t>
  </si>
  <si>
    <t>01-21-8250-0 Vehicle Fuel</t>
  </si>
  <si>
    <t>Clothing allowance - Teamsters</t>
  </si>
  <si>
    <t>01-01-8351-0 Consultants</t>
  </si>
  <si>
    <t>01-01-8352-0 Education &amp; Training</t>
  </si>
  <si>
    <t>01-05-8280-0 General Insurance</t>
  </si>
  <si>
    <t>Transfer to Library Building Maintenance Fund</t>
  </si>
  <si>
    <t>Twardosky Field</t>
  </si>
  <si>
    <t>Copier service maintenance agreement</t>
  </si>
  <si>
    <t>Signs, reflectors delineators, barricades, flashing lights, materials for</t>
  </si>
  <si>
    <t>Weather forecasting service</t>
  </si>
  <si>
    <t>Random CDL D &amp; A testing</t>
  </si>
  <si>
    <t>Pest control services</t>
  </si>
  <si>
    <t>Computer equipment/software license agreements</t>
  </si>
  <si>
    <t>RSA 261:153 funds (offset by registration revenue)</t>
  </si>
  <si>
    <t>1- Seasonal Maintainer</t>
  </si>
  <si>
    <t>Unit $</t>
  </si>
  <si>
    <t>Total Cost</t>
  </si>
  <si>
    <t>Sodium hypochlorite (permit compliance)</t>
  </si>
  <si>
    <t>Sodium bisulfite (dechlorinating chemical-permit compliance)</t>
  </si>
  <si>
    <t>Variable speed drive repairs/replacement</t>
  </si>
  <si>
    <t>Mower blades, saw blades, trimmer string, hand tools, paint, etc.</t>
  </si>
  <si>
    <t>01-04-8433-0 P.A.C.T. (Offset by Revenue)</t>
  </si>
  <si>
    <t xml:space="preserve">Department </t>
  </si>
  <si>
    <t xml:space="preserve">   Fertilizer (3 Applications)</t>
  </si>
  <si>
    <t>Salary &amp; benefits (offset by Revenues Collected)</t>
  </si>
  <si>
    <t>Gator</t>
  </si>
  <si>
    <r>
      <t xml:space="preserve">Bus trips - </t>
    </r>
    <r>
      <rPr>
        <b/>
        <sz val="10"/>
        <rFont val="Times New Roman"/>
        <family val="1"/>
      </rPr>
      <t>offset by revenues</t>
    </r>
  </si>
  <si>
    <t xml:space="preserve">Merrimack Community Concert Band </t>
  </si>
  <si>
    <t>Halloween Event (DJ, Halloween Eggs, decorations, candy)</t>
  </si>
  <si>
    <t>Holiday parade &amp; Tree Lighting Ceremony (Santa's treats, tree, decorations)</t>
  </si>
  <si>
    <t>Computer software annual support - clerk</t>
  </si>
  <si>
    <t>Computer software annual support - tax</t>
  </si>
  <si>
    <t>Antivirus Software</t>
  </si>
  <si>
    <t>Material for temporary pavement patches (roads and bridges)</t>
  </si>
  <si>
    <t>01-06-8230-0 Postage</t>
  </si>
  <si>
    <t>Telephone allocation</t>
  </si>
  <si>
    <t>31-10-8142-0 Compensated Absences</t>
  </si>
  <si>
    <t>Community Services Officer</t>
  </si>
  <si>
    <t>Master Patrolmen</t>
  </si>
  <si>
    <t>School Resource Officer</t>
  </si>
  <si>
    <t xml:space="preserve">Greater Nashua Mental Health Center </t>
  </si>
  <si>
    <t>Lamprey Area Health Center-health care for indigents and uninsured</t>
  </si>
  <si>
    <t>Opportunity Networks.(For Handicapped  training and jobs)</t>
  </si>
  <si>
    <t xml:space="preserve">  for the repair of Fire Vehicles, tires, brakes, oil, electrical, lights, seals etc.</t>
  </si>
  <si>
    <t>Repair Skate Park ramps - 6 sheets Skatelite, hardware &amp; shipping</t>
  </si>
  <si>
    <t>01-06-8111-0 Overtime - Other</t>
  </si>
  <si>
    <t>8107 - Other &gt;$14,000</t>
  </si>
  <si>
    <t>Cellular Phone</t>
  </si>
  <si>
    <t>Brush grinding</t>
  </si>
  <si>
    <t>South Station</t>
  </si>
  <si>
    <t>Central Station</t>
  </si>
  <si>
    <t>State of NH dam registration - Stump Pond , Naticook Lake &amp; Meadowood Pond</t>
  </si>
  <si>
    <t>Irrigation maintenance - Matthew Thornton Monument, Vets &amp; Gibson Memorial</t>
  </si>
  <si>
    <t>Dumpster - Dumpster Town Hall (1) and Senior Center (1)</t>
  </si>
  <si>
    <t>Revaluation</t>
  </si>
  <si>
    <t>Shift overtime and coverage for training, court, sick, vacation, and holidays</t>
  </si>
  <si>
    <t>total</t>
  </si>
  <si>
    <t>Computer equipment- miscellaneous repair parts</t>
  </si>
  <si>
    <t>31-10-8510-0 Transfer To Other Funds</t>
  </si>
  <si>
    <t>Secretary - Community Development</t>
  </si>
  <si>
    <t xml:space="preserve">2012 Dewatering upgrade </t>
  </si>
  <si>
    <t>2012 Dewatering upgrade</t>
  </si>
  <si>
    <t>01-05-8506 Communications Equipment</t>
  </si>
  <si>
    <t>01-07-8359-0 Other Outside Services</t>
  </si>
  <si>
    <t>01-09-8230 Postage</t>
  </si>
  <si>
    <t>01-15-8334-0 Maintenance-Office Equipment</t>
  </si>
  <si>
    <t>01-21-8458-0 Milfoil Treatment Program</t>
  </si>
  <si>
    <t>Building Improvements or Major Repairs</t>
  </si>
  <si>
    <t>01-07-8270-0 Dues &amp; Fees</t>
  </si>
  <si>
    <t>American Public Works Association</t>
  </si>
  <si>
    <t>AFSCME - uniform service</t>
  </si>
  <si>
    <t>Professional and safety training sessions</t>
  </si>
  <si>
    <t>01-02-8125-0 Social Security</t>
  </si>
  <si>
    <t>Electrical Service &amp; Repairs (Bise Field and Reeds Ferry Field)</t>
  </si>
  <si>
    <t xml:space="preserve">   Seeding (30% Coverage Rate)</t>
  </si>
  <si>
    <t>Secretary (Building)</t>
  </si>
  <si>
    <t>Secretary (Planning &amp; Zoning)</t>
  </si>
  <si>
    <t>01-04-8136-0 Unemployment Compensation</t>
  </si>
  <si>
    <t>Portable toilets at parks</t>
  </si>
  <si>
    <t xml:space="preserve">   Sod</t>
  </si>
  <si>
    <t>01-16-8230-0 Postage</t>
  </si>
  <si>
    <t>01-03-8136-0 Unemployment Compensation</t>
  </si>
  <si>
    <t>Nashua Regional Planning Commission</t>
  </si>
  <si>
    <t>01-13-8133-0 Life Insurance</t>
  </si>
  <si>
    <t>01-13-8134-0 Disability Insurance</t>
  </si>
  <si>
    <t>01-13-8135-0 Workers Compensation</t>
  </si>
  <si>
    <t>01-13-8300-0 Travel &amp; Meetings</t>
  </si>
  <si>
    <t>Assistant Communications Supervisor</t>
  </si>
  <si>
    <t>Employee recognition programs</t>
  </si>
  <si>
    <t>Technology Resource Coordinator - conferences</t>
  </si>
  <si>
    <t>01-05-8107-0 Wages - Part-Time</t>
  </si>
  <si>
    <t>32-32-8135-0 Workers Compensation</t>
  </si>
  <si>
    <t>32-32-8136-0 Unemployment Compensation</t>
  </si>
  <si>
    <t>32-32-8203-0 Operating Supplies</t>
  </si>
  <si>
    <t>32-32-8359-0 Other Outside Services</t>
  </si>
  <si>
    <t>32-32-8420-0 Advertising</t>
  </si>
  <si>
    <t>32-32-8504-0 Office Equipment</t>
  </si>
  <si>
    <t>01-15-8359-0 Other Outside Services</t>
  </si>
  <si>
    <t>Background check reimbursement</t>
  </si>
  <si>
    <t>01-08-8348-0 Drainage Maintenance</t>
  </si>
  <si>
    <t>Highway garage, including Equipment Maintenance area</t>
  </si>
  <si>
    <t>01-08-8245-0 Sewer</t>
  </si>
  <si>
    <t>Pagers - 2</t>
  </si>
  <si>
    <t>Certification renewals and exams</t>
  </si>
  <si>
    <t>ESRI Software Support (GIS)</t>
  </si>
  <si>
    <t>DMV records checks for new hires</t>
  </si>
  <si>
    <t>Septic pumping as needed</t>
  </si>
  <si>
    <t>01-21-8332-0 Maintenance-Vehicles</t>
  </si>
  <si>
    <t>Vehicle maintenance and repair including tires</t>
  </si>
  <si>
    <t>01-01-8271-0 Subscriptions</t>
  </si>
  <si>
    <t>State Health Officers Association dues</t>
  </si>
  <si>
    <t>Incentives</t>
  </si>
  <si>
    <t>Purchasing Agent/Accountant</t>
  </si>
  <si>
    <t>01-01-8125-0 Social Security</t>
  </si>
  <si>
    <t>8101</t>
  </si>
  <si>
    <t>8103 - Town Manager</t>
  </si>
  <si>
    <t>8107</t>
  </si>
  <si>
    <t>8111</t>
  </si>
  <si>
    <t>Ammunition, firearm repairs, range supplies, and taser cartridges</t>
  </si>
  <si>
    <t>Media Assistant Per diem</t>
  </si>
  <si>
    <t>Media Assistant</t>
  </si>
  <si>
    <t>NH Chief of Police conference</t>
  </si>
  <si>
    <t>Schools and seminars</t>
  </si>
  <si>
    <t>01-15-8135-0 Workers Compensation</t>
  </si>
  <si>
    <t>01-15-8136-0 Unemployment Compensation</t>
  </si>
  <si>
    <t>01-05-8132-0 Dental Insurance</t>
  </si>
  <si>
    <t>01-05-8133-0 Life Insurance</t>
  </si>
  <si>
    <t>01-05-8134-0 Disability Insurance</t>
  </si>
  <si>
    <t>01-05-8135-0 Workers Compensation</t>
  </si>
  <si>
    <t xml:space="preserve">   Chain link fence repairs</t>
  </si>
  <si>
    <t xml:space="preserve">   Herbicides and pesticides contractor</t>
  </si>
  <si>
    <t xml:space="preserve">   Field marking</t>
  </si>
  <si>
    <t xml:space="preserve">   Clay</t>
  </si>
  <si>
    <t>01-07-8125-0 Social Security</t>
  </si>
  <si>
    <t>01-07-8128-0 Retirement</t>
  </si>
  <si>
    <t>01-21-8125-0 Social Security</t>
  </si>
  <si>
    <t>01-21-8128-0 Retirement</t>
  </si>
  <si>
    <t>01-09-8212-0 Equipment Rental</t>
  </si>
  <si>
    <t>01-09-8220-0 Printing</t>
  </si>
  <si>
    <t>01-09-8241-0 Electricity</t>
  </si>
  <si>
    <t>01-09-8250-0 Vehicle Fuel</t>
  </si>
  <si>
    <t>Emergencies, and coverage for sick, vacation,</t>
  </si>
  <si>
    <t>Road paving and minor reconstruction</t>
  </si>
  <si>
    <t>01-03-8134-0 Disability Insurance</t>
  </si>
  <si>
    <t>Uniform allowance - Dispatchers</t>
  </si>
  <si>
    <t>01-21-8260-0 Telephone</t>
  </si>
  <si>
    <t>Cellular telephones</t>
  </si>
  <si>
    <t>31-10-8244-0 Water</t>
  </si>
  <si>
    <t>Security monitoring</t>
  </si>
  <si>
    <t>01-03-8203-0 Operating Supplies</t>
  </si>
  <si>
    <t>Public notices</t>
  </si>
  <si>
    <t>01-16-8204-0 Uniforms</t>
  </si>
  <si>
    <t>Uniform allowance - Assistant Comm Supervisor</t>
  </si>
  <si>
    <t>01-05-8220-0 Printing</t>
  </si>
  <si>
    <t>Laboratory services</t>
  </si>
  <si>
    <t>Non-union</t>
  </si>
  <si>
    <t>Union - others</t>
  </si>
  <si>
    <t>Full-time</t>
  </si>
  <si>
    <t>01-21-8351-0 Consultants</t>
  </si>
  <si>
    <t>Employee cost sharing Non Union 10%</t>
  </si>
  <si>
    <t>Deputy Town Clerk/Tax Collector</t>
  </si>
  <si>
    <t>Human Resources Coordinator - seminars and criminal records check</t>
  </si>
  <si>
    <t>Executive Secretary - seminars and conferences</t>
  </si>
  <si>
    <t>Program and craft supplies</t>
  </si>
  <si>
    <t>01-15-8230-0 Postage</t>
  </si>
  <si>
    <t>Actual</t>
  </si>
  <si>
    <t>Budget</t>
  </si>
  <si>
    <t>Operations Manager</t>
  </si>
  <si>
    <t>Highway Foreman/Inspector</t>
  </si>
  <si>
    <t>01-16-8201-0 Office Supplies</t>
  </si>
  <si>
    <t>01-16-8203-0 Operating Supplies</t>
  </si>
  <si>
    <t>01-07-8103-0 Wages - Supervisory</t>
  </si>
  <si>
    <t>Public Works Director</t>
  </si>
  <si>
    <t>Maintenance Manager</t>
  </si>
  <si>
    <t>31-10-8504-0 Office Equipment</t>
  </si>
  <si>
    <t xml:space="preserve">No. of </t>
  </si>
  <si>
    <t>Call personnel</t>
  </si>
  <si>
    <t>Request</t>
  </si>
  <si>
    <t>Computer equipment</t>
  </si>
  <si>
    <t>Sewer Fund</t>
  </si>
  <si>
    <t>01-01-8142-0 Compensated Absences</t>
  </si>
  <si>
    <t>Proposed</t>
  </si>
  <si>
    <t xml:space="preserve">  Total</t>
  </si>
  <si>
    <t>01-01-8201-0 Office Supplies</t>
  </si>
  <si>
    <t>Large print books</t>
  </si>
  <si>
    <t>01-08-8460-0 Other Operating Expenses</t>
  </si>
  <si>
    <t>01-15-8502-0 Buildings</t>
  </si>
  <si>
    <t>01-05-8103-0 Wages - Supervisory</t>
  </si>
  <si>
    <t>Back-up media for imaging system</t>
  </si>
  <si>
    <t>01-15-8201-0 Office Supplies</t>
  </si>
  <si>
    <t>MYA Building</t>
  </si>
  <si>
    <t>01-13-8244-0 Water</t>
  </si>
  <si>
    <t>Nominal amount to provide an appropriation should the issuance of</t>
  </si>
  <si>
    <t>tax anticipation notes become necessary</t>
  </si>
  <si>
    <t>01-21-8504-0 Office Equipment</t>
  </si>
  <si>
    <t>01-25-8493-0 Insurance</t>
  </si>
  <si>
    <t>01-25-8494-0 Burials</t>
  </si>
  <si>
    <t>01-27-8601-0 Interest-TAN</t>
  </si>
  <si>
    <t>01-03-8332-0 Maintenance-Vehicles</t>
  </si>
  <si>
    <t>01-03-8334-0 Maintenance-Office Equipment</t>
  </si>
  <si>
    <t>01-03-8336-0 Maintenance-Other</t>
  </si>
  <si>
    <t>01-03-8352-0 Education &amp; Training</t>
  </si>
  <si>
    <t>Carpet cleaning</t>
  </si>
  <si>
    <t>Finance Director - seminars and conferences</t>
  </si>
  <si>
    <t>Purchasing Agent- conferences and seminars</t>
  </si>
  <si>
    <t>01-25-8399-0 Social &amp; Health Services</t>
  </si>
  <si>
    <t>Human Resource Coordinator</t>
  </si>
  <si>
    <t>Painting</t>
  </si>
  <si>
    <t>Plumbing repairs</t>
  </si>
  <si>
    <t>Miscellaneous repairs</t>
  </si>
  <si>
    <t>8104 - full-time</t>
  </si>
  <si>
    <t>8107 - full-time</t>
  </si>
  <si>
    <t>31-10-8135-0 Workers Compensation</t>
  </si>
  <si>
    <t>01-03-8135-0 Workers Compensation</t>
  </si>
  <si>
    <t>01-09-8321-0 Maintenance-Buildings</t>
  </si>
  <si>
    <t>01-08-8321-0 Maintenance-Buildings</t>
  </si>
  <si>
    <t>Highway - fire alarm system, furnace, plumbing, electrical,</t>
  </si>
  <si>
    <t>8104 - part-time &gt;$14,000</t>
  </si>
  <si>
    <t>8104 - Others</t>
  </si>
  <si>
    <t>Severance pay re: terminating employees of all departments:</t>
  </si>
  <si>
    <t>Copier paper, computer paper, software, and other office supplies</t>
  </si>
  <si>
    <t>Martel Field</t>
  </si>
  <si>
    <t>Veterans Park</t>
  </si>
  <si>
    <t>Cellular telephone</t>
  </si>
  <si>
    <t>Telephone system maintenance</t>
  </si>
  <si>
    <t>Full-time employees - Union</t>
  </si>
  <si>
    <t>Full-time employees - Non Union</t>
  </si>
  <si>
    <t>Recording Elderly/Disabled Liens</t>
  </si>
  <si>
    <t>Mileage to NH Local Welfare Administrators Association meetings</t>
  </si>
  <si>
    <t>Assistant Planner</t>
  </si>
  <si>
    <t>01-02-8104-0 Wages - Other Full-Time</t>
  </si>
  <si>
    <t>Council</t>
  </si>
  <si>
    <t xml:space="preserve">  Nursery stock</t>
  </si>
  <si>
    <t xml:space="preserve">  Loam and mulch</t>
  </si>
  <si>
    <t>Stationery and presentation folders</t>
  </si>
  <si>
    <t>Other</t>
  </si>
  <si>
    <t>01-01-8230-0 Postage</t>
  </si>
  <si>
    <t>Postage</t>
  </si>
  <si>
    <t>Postage meter rental</t>
  </si>
  <si>
    <t>01-01-8260-0 Telephone</t>
  </si>
  <si>
    <t>Postage and shipping charges</t>
  </si>
  <si>
    <t>Mailing of public notices and general correspondence</t>
  </si>
  <si>
    <t>Administrative Assessor</t>
  </si>
  <si>
    <t>Computer Equipment Capital Reserve Fund</t>
  </si>
  <si>
    <t>Property Insurance Deductible Trust Fund</t>
  </si>
  <si>
    <t>Merrimack Village District (water, Hydrant Charges)</t>
  </si>
  <si>
    <t>Gasoline</t>
  </si>
  <si>
    <t>8102 (Clerical)</t>
  </si>
  <si>
    <t>8103 (Supervisory)</t>
  </si>
  <si>
    <t>8104 Firefighter/EMT)</t>
  </si>
  <si>
    <t>8107 - (Per-diem EMT)</t>
  </si>
  <si>
    <t>01-02-8132-0 Dental Insurance</t>
  </si>
  <si>
    <t>01-01-8104-0 Wages - Other Full-Time</t>
  </si>
  <si>
    <t>01-01-8136-0 Unemployment Compensation</t>
  </si>
  <si>
    <t>01-13-8136-0 Unemployment Compensation</t>
  </si>
  <si>
    <t>01-13-8201-0 Office Supplies</t>
  </si>
  <si>
    <t>Landscaping</t>
  </si>
  <si>
    <t>31-10-8202-0 Maintenance Supplies</t>
  </si>
  <si>
    <t>Hardware and plumbing supplies</t>
  </si>
  <si>
    <t>31-10-8203-0 Operating Supplies</t>
  </si>
  <si>
    <t>Water Environmental Federation</t>
  </si>
  <si>
    <t>NEBRA</t>
  </si>
  <si>
    <t>Voted</t>
  </si>
  <si>
    <t>Teamsters</t>
  </si>
  <si>
    <t>Full-time employees - Teamster</t>
  </si>
  <si>
    <t>Teamster</t>
  </si>
  <si>
    <t>Police Chief</t>
  </si>
  <si>
    <t>01-07-8136-0 Unemployment Compensation</t>
  </si>
  <si>
    <t>01-07-8201-0 Office Supplies</t>
  </si>
  <si>
    <t>Miscellaneous supplies</t>
  </si>
  <si>
    <t>31-10-8241-0 Electricity</t>
  </si>
  <si>
    <t>Main plant</t>
  </si>
  <si>
    <t>01-02-8359-0 Other Outside Services</t>
  </si>
  <si>
    <t>Mapping maintenance</t>
  </si>
  <si>
    <t>Contractual Assessor services</t>
  </si>
  <si>
    <t>31-10-8245-0 Sewer</t>
  </si>
  <si>
    <t>01-07-8220-0 Printing</t>
  </si>
  <si>
    <t>01-04-8131-0 Health Insurance</t>
  </si>
  <si>
    <t>Polling place rental</t>
  </si>
  <si>
    <t>Reed's Ferry Station</t>
  </si>
  <si>
    <t>31-10-8205-0 Laboratory Supplies</t>
  </si>
  <si>
    <t>31-10-8212-0 Equipment Rental</t>
  </si>
  <si>
    <t>01-24-8201-0 Office Supplies</t>
  </si>
  <si>
    <t>Calculators</t>
  </si>
  <si>
    <t>Valuation books</t>
  </si>
  <si>
    <t>01-24-8220-0 Printing</t>
  </si>
  <si>
    <t>Stationery and billing forms</t>
  </si>
  <si>
    <t>01-24-8230-0 Postage</t>
  </si>
  <si>
    <t>International Association of Arson Investigators</t>
  </si>
  <si>
    <t>CLIA waiver State of New Hampshire Medical</t>
  </si>
  <si>
    <t>01-01-8408-0 Agricultural Committee</t>
  </si>
  <si>
    <t>Farm Bureau membership                                                          </t>
  </si>
  <si>
    <t>Hats and shirts for identification and safety</t>
  </si>
  <si>
    <t>01-04-8242-0 Natural Gas</t>
  </si>
  <si>
    <t>01-13-8242-0 Natural Gas</t>
  </si>
  <si>
    <t>01-17-8242-0 Natural Gas</t>
  </si>
  <si>
    <t>31-10-8242-0 Natural Gas</t>
  </si>
  <si>
    <t>01-21-8103-0 Wages - Supervisory</t>
  </si>
  <si>
    <t>Community Development Director</t>
  </si>
  <si>
    <t>Planning/Zoning Administrator</t>
  </si>
  <si>
    <t>Building/Health Official</t>
  </si>
  <si>
    <t>Special mailings</t>
  </si>
  <si>
    <t>01-15-8242-0 Natural Gas</t>
  </si>
  <si>
    <t>01-04-8430-0 Dog Pound</t>
  </si>
  <si>
    <t>Keystone - shelter and chemical dependency counseling</t>
  </si>
  <si>
    <t>31-10-8420-0 Advertising</t>
  </si>
  <si>
    <t xml:space="preserve"> </t>
  </si>
  <si>
    <t>01-01-8107-0 Wages - Part-Time</t>
  </si>
  <si>
    <t>Secretary</t>
  </si>
  <si>
    <t>Young adult programs</t>
  </si>
  <si>
    <t xml:space="preserve">  Souhegan River water quality monitoring</t>
  </si>
  <si>
    <t xml:space="preserve">  Lay lake monitoring</t>
  </si>
  <si>
    <t xml:space="preserve">  Total Conservation Commission</t>
  </si>
  <si>
    <t>Electrical repairs</t>
  </si>
  <si>
    <t>01-13-8373-0 Memorial Day</t>
  </si>
  <si>
    <t>Memorial Day parade and wreaths for graves</t>
  </si>
  <si>
    <t>01-21-8460-0 Misc.</t>
  </si>
  <si>
    <t>01-13-8504-0 Office Equipment</t>
  </si>
  <si>
    <t>01-01-8103-0 Wages - Supervisory</t>
  </si>
  <si>
    <t>Town Manager</t>
  </si>
  <si>
    <t>Transfer to Athletic Field Capital Reserve Fund</t>
  </si>
  <si>
    <t>01-15-8103-0 Wages - Supervisory</t>
  </si>
  <si>
    <t>Director</t>
  </si>
  <si>
    <t>01-15-8352-0 Education &amp; Training</t>
  </si>
  <si>
    <t>Copier paper and toner, computer paper and supplies, and miscellaneous</t>
  </si>
  <si>
    <t>Bus transportation to Nashua for elderly and disabled</t>
  </si>
  <si>
    <t>Full-time employees</t>
  </si>
  <si>
    <t>01-24-8125-0 Social Security</t>
  </si>
  <si>
    <t>01-09-8260-0 Telephone</t>
  </si>
  <si>
    <t>01-09-8270-0 Dues &amp; Fees</t>
  </si>
  <si>
    <t>01-09-8280-0 General Insurance</t>
  </si>
  <si>
    <t>01-09-8300-0 Travel &amp; Meetings</t>
  </si>
  <si>
    <t>01-09-8334-0 Maintenance-Office Equipment</t>
  </si>
  <si>
    <t>01-15-8321-0 Maintenance-Buildings</t>
  </si>
  <si>
    <t>Elevator maintenance</t>
  </si>
  <si>
    <t>Heating system maintenance</t>
  </si>
  <si>
    <t>Brochures, flyers, stationery, and forms</t>
  </si>
  <si>
    <t>General litigation and valuation appeals</t>
  </si>
  <si>
    <t>NH Local Welfare Administrators Association</t>
  </si>
  <si>
    <t>01-08-8333-0 Maintenance-Vehicles</t>
  </si>
  <si>
    <t>01-16-8508-0 Operating Equipment</t>
  </si>
  <si>
    <t>31-10-8359-0 Other Outside Services</t>
  </si>
  <si>
    <t>Wastewater testing required by federal and state agencies</t>
  </si>
  <si>
    <t>31-10-8381-0 Sewer Maintenance</t>
  </si>
  <si>
    <t>Replacement frames and covers</t>
  </si>
  <si>
    <t>01-08-8386-0 Bridge Repairs</t>
  </si>
  <si>
    <t>Secretary I</t>
  </si>
  <si>
    <t>Legal fees</t>
  </si>
  <si>
    <t>Parks &amp; Recreation Director</t>
  </si>
  <si>
    <t>01-01-8143-0 EMPLOYEE INCENTIVES/Raises</t>
  </si>
  <si>
    <t>Book binding of permanent records, mortgage search, and recording and</t>
  </si>
  <si>
    <t>01-15-8504-0 Office Equipment</t>
  </si>
  <si>
    <t>Executive Secretary</t>
  </si>
  <si>
    <t>01-03-8103-0 Wages - Supervisory</t>
  </si>
  <si>
    <t>Assistant Chief</t>
  </si>
  <si>
    <t>Captain</t>
  </si>
  <si>
    <t>Lieutenant</t>
  </si>
  <si>
    <t>Diesel fuel for repairs, pressure washer, and other equipment</t>
  </si>
  <si>
    <t>Electronics</t>
  </si>
  <si>
    <t xml:space="preserve">  Town contribution</t>
  </si>
  <si>
    <t>01-01-8410-0 Elections/Voter Registration</t>
  </si>
  <si>
    <t>Wages:</t>
  </si>
  <si>
    <t xml:space="preserve">  Total wages</t>
  </si>
  <si>
    <t>Social security - 7.65%</t>
  </si>
  <si>
    <t>31-10-8107-0 Wages - Part-Time</t>
  </si>
  <si>
    <t>Pavement markings</t>
  </si>
  <si>
    <t>31-10-8351-0 Consultants</t>
  </si>
  <si>
    <t>01-15-8134-0 Disability Insurance</t>
  </si>
  <si>
    <t>01-25-8260-0 Telephone</t>
  </si>
  <si>
    <t>01-24-8334-0 Maintenance-Office Equipment</t>
  </si>
  <si>
    <t>01-21-8203-0 Operating Supplies</t>
  </si>
  <si>
    <t>Film, minor testing equipment, and miscellaneous supplies</t>
  </si>
  <si>
    <t>01-13-8376-0 Senior Citizens</t>
  </si>
  <si>
    <t>Senior excursions</t>
  </si>
  <si>
    <t>01-13-8377-0 Adult Community Center</t>
  </si>
  <si>
    <t>01-21-8133-0 Life Insurance</t>
  </si>
  <si>
    <t>01-21-8134-0 Disability Insurance</t>
  </si>
  <si>
    <t>01-21-8135-0 Workers Compensation</t>
  </si>
  <si>
    <t>8104 - Building Inspector</t>
  </si>
  <si>
    <t>01-21-8136-0 Unemployment Compensation</t>
  </si>
  <si>
    <t>01-21-8201-0 Office Supplies</t>
  </si>
  <si>
    <t>01-16-8136-0 Unemployment Compensation</t>
  </si>
  <si>
    <t xml:space="preserve">  training, sick, vacation, court, and holidays</t>
  </si>
  <si>
    <t>Justice of the Peace</t>
  </si>
  <si>
    <t>Ballots and memory pack programming</t>
  </si>
  <si>
    <t>Grand total</t>
  </si>
  <si>
    <t>NHMA Annual Conference</t>
  </si>
  <si>
    <t>01-21-8420-0 Advertising</t>
  </si>
  <si>
    <t>Patrolman</t>
  </si>
  <si>
    <t>MYA Building and outdoor lighting</t>
  </si>
  <si>
    <t>Regional Solid Waste District</t>
  </si>
  <si>
    <t>Council (7)</t>
  </si>
  <si>
    <t>Seminars, meetings, and conferences</t>
  </si>
  <si>
    <t>Dispatchers Part-time</t>
  </si>
  <si>
    <t>01-03-8107-0 Wages - Part-Time</t>
  </si>
  <si>
    <t>Dumpsters</t>
  </si>
  <si>
    <t>01-04-8204-0 Uniforms</t>
  </si>
  <si>
    <t>Police officers - non-union</t>
  </si>
  <si>
    <t>Police officers - AFSCME 93</t>
  </si>
  <si>
    <t>01-15-8280-0 General Insurance</t>
  </si>
  <si>
    <t>8103 - Secretary/Scale Operator</t>
  </si>
  <si>
    <t>01-08-8270-0 Dues &amp; Fees</t>
  </si>
  <si>
    <t>Pickup truck and sedan - unleaded gasoline</t>
  </si>
  <si>
    <t>01-21-8104-0 Wages - Other Full-Time</t>
  </si>
  <si>
    <t>Janitorial supplies, tools, hardware, and other supplies</t>
  </si>
  <si>
    <t>St. John Neumann Food Pantry &amp; Outreach</t>
  </si>
  <si>
    <t>Scheduled overtime for construction projects, pavement markings,</t>
  </si>
  <si>
    <t>Unscheduled overtime during winter for snow plowing, sanding,</t>
  </si>
  <si>
    <t xml:space="preserve">  salting, drainage problems, and fallen tree limb removal</t>
  </si>
  <si>
    <t xml:space="preserve">  drainage projects, elections, and other activities</t>
  </si>
  <si>
    <t>01-25-8352-0 Education &amp; Training</t>
  </si>
  <si>
    <t>01-25-8359-0 Other Outside Services</t>
  </si>
  <si>
    <t>8111 - NHRS</t>
  </si>
  <si>
    <t>Copier - Finance</t>
  </si>
  <si>
    <t>Fax</t>
  </si>
  <si>
    <t>01-21-8131-0 Health Insurance</t>
  </si>
  <si>
    <t>01-21-8132-0 Dental Insurance</t>
  </si>
  <si>
    <t>Seminars and meetings</t>
  </si>
  <si>
    <t>Employee recruitment ads</t>
  </si>
  <si>
    <t>01-09-8103-0 Wages - Supervisory</t>
  </si>
  <si>
    <t>01-09-8104-0 Wages - Other Full-Time</t>
  </si>
  <si>
    <t>01-09-8105-0 Overtime-Supervisory</t>
  </si>
  <si>
    <t>01-03-8260-0 Telephone</t>
  </si>
  <si>
    <t>General office supplies</t>
  </si>
  <si>
    <t>Library supplies</t>
  </si>
  <si>
    <t>01-03-8420-0 Advertising</t>
  </si>
  <si>
    <t>01-03-8459-0 Physical Exams</t>
  </si>
  <si>
    <t>01-03-8502-0 Buildings</t>
  </si>
  <si>
    <t>01-01-8334-0 Maintenance-Office Equipment</t>
  </si>
  <si>
    <t>Town Manager - conferences</t>
  </si>
  <si>
    <t>01-17-8502-0 Buildings</t>
  </si>
  <si>
    <t>01-05-8104-0 Wages - Other Full-Time</t>
  </si>
  <si>
    <t xml:space="preserve">    Merrimack River Watershed Council</t>
  </si>
  <si>
    <t>Replacement parts, contractual services, and supplies</t>
  </si>
  <si>
    <t>01-09-8335-0 Maintenance-Communications Equip</t>
  </si>
  <si>
    <t xml:space="preserve">  Chain link fence repairs</t>
  </si>
  <si>
    <t xml:space="preserve">  Field marking</t>
  </si>
  <si>
    <t xml:space="preserve">  Bases</t>
  </si>
  <si>
    <t>01-08-8105-0 Overtime - Supervisory</t>
  </si>
  <si>
    <t>Tolls - unmarked vehicles</t>
  </si>
  <si>
    <t>01-04-8332-0 Maintenance-Vehicles</t>
  </si>
  <si>
    <t>Scheduled and unscheduled maintenance and tires</t>
  </si>
  <si>
    <t>01-08-8133-0 Life Insurance</t>
  </si>
  <si>
    <t>01-24-8103-0 Wages - Supervisory</t>
  </si>
  <si>
    <t>Transfer to Communication Equipment Capital Reserve Fund</t>
  </si>
  <si>
    <t>Transfer to Fire Equipment Capital Reserve Fund</t>
  </si>
  <si>
    <t>8107 - Maintenance I</t>
  </si>
  <si>
    <t>01-24-8135-0 Workers Compensation</t>
  </si>
  <si>
    <t>Computer equipment (repairs)</t>
  </si>
  <si>
    <t>01-09-8111-0 Overtime - Other</t>
  </si>
  <si>
    <t>01-09-8125-0 Social Security</t>
  </si>
  <si>
    <t>01-09-8128-0 Retirement</t>
  </si>
  <si>
    <t>01-09-8131-0 Health Insurance</t>
  </si>
  <si>
    <t>01-09-8132-0 Dental Insurance</t>
  </si>
  <si>
    <t>01-09-8133-0 Life Insurance</t>
  </si>
  <si>
    <t>01-09-8134-0 Disability Insurance</t>
  </si>
  <si>
    <t>01-09-8135-0 Workers Compensation</t>
  </si>
  <si>
    <t>01-09-8136-0 Unemployment Compensation</t>
  </si>
  <si>
    <t>Heritage Fund:</t>
  </si>
  <si>
    <t>Herbicide contractor</t>
  </si>
  <si>
    <t>Street sweeping</t>
  </si>
  <si>
    <t>01-08-8361-0 Street Lights</t>
  </si>
  <si>
    <t>Current street lights:</t>
  </si>
  <si>
    <t>01-13-8204-0 Uniforms</t>
  </si>
  <si>
    <t>01-15-8450-0 Library Materials</t>
  </si>
  <si>
    <t>01-06-8334-0 Maintenance-Office Equipment</t>
  </si>
  <si>
    <t>01-06-8504-0 Office Equipment</t>
  </si>
  <si>
    <t xml:space="preserve">  Substitute coverage</t>
  </si>
  <si>
    <t>01-15-8107-0 Wages - Custodial</t>
  </si>
  <si>
    <t>01-04-8107-0 Wages - Part-Time</t>
  </si>
  <si>
    <t>01-04-8103-0 Wages - Supervisory</t>
  </si>
  <si>
    <t>20-03-8432-0 Outside Details/EMS Coverage</t>
  </si>
  <si>
    <t>20-04-8432-0 Outside Details</t>
  </si>
  <si>
    <t>01-02-8300-0 Travel &amp; Meetings</t>
  </si>
  <si>
    <t>supplies</t>
  </si>
  <si>
    <t>Education &amp; training</t>
  </si>
  <si>
    <t>Finance Dept system maintenance and support</t>
  </si>
  <si>
    <t>01-01-8359-0 Other Outside Services</t>
  </si>
  <si>
    <t>Annual audit</t>
  </si>
  <si>
    <t>8104 - part-time &lt;$14,000</t>
  </si>
  <si>
    <t>Personnel services</t>
  </si>
  <si>
    <t>01-25-8334-0 Maintenance-Office Equipment</t>
  </si>
  <si>
    <t>Totals</t>
  </si>
  <si>
    <t>Hours</t>
  </si>
  <si>
    <t>Pay Rate</t>
  </si>
  <si>
    <t>Gallons</t>
  </si>
  <si>
    <t>$ Per Gal</t>
  </si>
  <si>
    <t>01-01-8407-0 Historic Preservation</t>
  </si>
  <si>
    <t>State of NH scale license</t>
  </si>
  <si>
    <t>Voters Guide and budget information booklets</t>
  </si>
  <si>
    <t xml:space="preserve">  Special projects</t>
  </si>
  <si>
    <t xml:space="preserve">Full-time employees </t>
  </si>
  <si>
    <t>Employee cost sharing 10%</t>
  </si>
  <si>
    <t>Officer Pay Call Division</t>
  </si>
  <si>
    <t>Seminars, meetings, conferences and CDL testing travel</t>
  </si>
  <si>
    <t>01-08-8242-0  Natural Gas</t>
  </si>
  <si>
    <t>Health Inspector</t>
  </si>
  <si>
    <t>All facilities, continuing scheduled maintenance: painting, roofs, woodrot etc</t>
  </si>
  <si>
    <t xml:space="preserve">Lake water quality tests </t>
  </si>
  <si>
    <t xml:space="preserve">Pickup truck </t>
  </si>
  <si>
    <t>Full time employees</t>
  </si>
  <si>
    <t>Postage machine and scale</t>
  </si>
  <si>
    <t>Northern New England Recreation Conference</t>
  </si>
  <si>
    <t>Local Emergency Planning Committee (LEPC) (federal State Regulations)</t>
  </si>
  <si>
    <t>Janitorial supplies, lightbulbs</t>
  </si>
  <si>
    <t>Cable internet/VPN</t>
  </si>
  <si>
    <t>Building Inspector</t>
  </si>
  <si>
    <t>01-21-8107-0 Wages - Part-Time</t>
  </si>
  <si>
    <t>31-10-8250-0 Vehicle Fuel</t>
  </si>
  <si>
    <t>Meals</t>
  </si>
  <si>
    <t>01-09-8204-0 Uniforms</t>
  </si>
  <si>
    <t>Martel Field and Bise Field</t>
  </si>
  <si>
    <t>01-13-8241-0 Electricity</t>
  </si>
  <si>
    <t>01-03-8230-0 Postage</t>
  </si>
  <si>
    <t>Air conditioning maintenance</t>
  </si>
  <si>
    <t>File server and personal computer maintenance</t>
  </si>
  <si>
    <t xml:space="preserve">  Current service</t>
  </si>
  <si>
    <t>01-01-8405-0 Nashua Transit System</t>
  </si>
  <si>
    <t>01-03-8406-0 Emergency Management</t>
  </si>
  <si>
    <t>Internet services</t>
  </si>
  <si>
    <t>01-03-8280-0 General Insurance</t>
  </si>
  <si>
    <t>01-24-8504-0 Office Equipment</t>
  </si>
  <si>
    <t>01-25-8107-0 Wages - Part-Time</t>
  </si>
  <si>
    <t>01-04-8321-0 Maintenance-Building</t>
  </si>
  <si>
    <t>Consulting services</t>
  </si>
  <si>
    <t>01-07-8131-0 Health Insurance</t>
  </si>
  <si>
    <t>01-21-8270-0 Dues &amp; Fees</t>
  </si>
  <si>
    <t>01-21-8393-0 Conservation</t>
  </si>
  <si>
    <t>Conservation Commission:</t>
  </si>
  <si>
    <t>01-08-8502-0 Buildings</t>
  </si>
  <si>
    <t>31-10-8311-0 Chemicals</t>
  </si>
  <si>
    <t>01-03-8331-0 Maintenance-Machinery</t>
  </si>
  <si>
    <t>01-13-8374-0 Recreation Programs</t>
  </si>
  <si>
    <t>Easter egg hunt</t>
  </si>
  <si>
    <t>Boot allowance - AFSCME</t>
  </si>
  <si>
    <t>Contingency for purchase of land</t>
  </si>
  <si>
    <t>Clothing allowance and boots</t>
  </si>
  <si>
    <t>31-10-8125-0 Social Security</t>
  </si>
  <si>
    <t>NH Town Clerk Seminar - all staff training</t>
  </si>
  <si>
    <t>01-25-8270-0 Dues &amp; Fees</t>
  </si>
  <si>
    <t>Wasserman Park trails, fencing, and rec areas</t>
  </si>
  <si>
    <t>31-10-8131-0 Health Insurance</t>
  </si>
  <si>
    <t>31-10-8132-0 Dental Insurance</t>
  </si>
  <si>
    <t>31-10-8133-0 Life Insurance</t>
  </si>
  <si>
    <t>01-16-8359-0 Other Outside Services</t>
  </si>
  <si>
    <t>01-25-8893-0 Crisis Funds</t>
  </si>
  <si>
    <t>31-10-8331-0 Maintenance-Machinery</t>
  </si>
  <si>
    <t>Legal notices and notices of vacancies, bids, and meetings</t>
  </si>
  <si>
    <t>Fax/modem line</t>
  </si>
  <si>
    <t xml:space="preserve">  releasing tax liens and deeds</t>
  </si>
  <si>
    <t>01-24-8420-0 Advertising</t>
  </si>
  <si>
    <t>Dog tags</t>
  </si>
  <si>
    <t>31-10-8134-0 Disability Insurance</t>
  </si>
  <si>
    <t>01-04-8132-0 Dental Insurance</t>
  </si>
  <si>
    <t>01-04-8133-0 Life Insurance</t>
  </si>
  <si>
    <t>01-04-8134-0 Disability Insurance</t>
  </si>
  <si>
    <t>01-25-8125-0 Social Security</t>
  </si>
  <si>
    <t>Welfare Administrator</t>
  </si>
  <si>
    <t>01-25-8135-0 Workers Compensation</t>
  </si>
  <si>
    <t>01-25-8136-0 Unemployment Compensation</t>
  </si>
  <si>
    <t>01-25-8201-0 Office Supplies</t>
  </si>
  <si>
    <t>Saturday shift premium - 8 hr X 52 wk X 4 employees</t>
  </si>
  <si>
    <t>Holiday pay - 7 days X 8 hr X 4 employees</t>
  </si>
  <si>
    <t>Town Council Adjustment</t>
  </si>
  <si>
    <t>Revenue, excluding Town grant</t>
  </si>
  <si>
    <t>32-32-8351-0 Consultants</t>
  </si>
  <si>
    <t>Office furniture</t>
  </si>
  <si>
    <t>Movie Licensing USA</t>
  </si>
  <si>
    <t>01-09-8370-0 Landfill Monitoring</t>
  </si>
  <si>
    <t>01-07-8300-0 Travel &amp; Meetings</t>
  </si>
  <si>
    <t>NH Tax Collector Seminar</t>
  </si>
  <si>
    <t>01-03-8335-0 Maintenance-Communications Equipment</t>
  </si>
  <si>
    <t>01-04-8230-0 Postage</t>
  </si>
  <si>
    <t>01-08-8104-0 Wages - Other Full-Time</t>
  </si>
  <si>
    <t xml:space="preserve">  vacation/sick time coverage by Highway</t>
  </si>
  <si>
    <t>8103 - Foreman/Supervisor</t>
  </si>
  <si>
    <t xml:space="preserve"> Chief Operator and Maintenance Manager</t>
  </si>
  <si>
    <t>Contractual ambulance billing service</t>
  </si>
  <si>
    <t xml:space="preserve">  Water and sewer</t>
  </si>
  <si>
    <t>Dispatcher</t>
  </si>
  <si>
    <t>01-05-8105-0 Overtime-Supervisory</t>
  </si>
  <si>
    <t>01-15-8374-0 Programs</t>
  </si>
  <si>
    <t>On call Pay (winter 16 weeks X 7 days X1 hr)</t>
  </si>
  <si>
    <t>01-25-8483-0 Natural Gas Heat</t>
  </si>
  <si>
    <t>01-25-8484-0 Heating Oil and Kerosene</t>
  </si>
  <si>
    <t>Office Manager</t>
  </si>
  <si>
    <t>Account Clerk III</t>
  </si>
  <si>
    <t>01-02-8250-0 Vehicle Fuel</t>
  </si>
  <si>
    <t>Unleaded fuel</t>
  </si>
  <si>
    <t>01-02-8260-0 Telephone</t>
  </si>
  <si>
    <t>Auto and liability insurance cost allocation</t>
  </si>
  <si>
    <t>01-25-8492-0 Santa Fund</t>
  </si>
  <si>
    <t>31-10-8103-0 Wages - Supervisory</t>
  </si>
  <si>
    <t>Chief Operator</t>
  </si>
  <si>
    <t>Laboratory Manager</t>
  </si>
  <si>
    <t>Portable toilets</t>
  </si>
  <si>
    <t>Pennichuck Square Pumping Station</t>
  </si>
  <si>
    <t>Burt Street Pumping Station</t>
  </si>
  <si>
    <t>Compost facility</t>
  </si>
  <si>
    <t>Net expenditures/Town grant</t>
  </si>
  <si>
    <t>Sedan repair and maintenance</t>
  </si>
  <si>
    <t>Media Coordinator</t>
  </si>
  <si>
    <t>Assistant Media Coordinator</t>
  </si>
  <si>
    <t>32-32-8103-0 Wages - Supervisory</t>
  </si>
  <si>
    <t>32-32-8107-0 Wages - Part-Time</t>
  </si>
  <si>
    <t>32-32-8125-0 Social Security</t>
  </si>
  <si>
    <t>01-21-8352-0 Education &amp; Training</t>
  </si>
  <si>
    <t>Children's programs</t>
  </si>
  <si>
    <t>Children's materials</t>
  </si>
  <si>
    <t>01-13-8371-0 Merrimack Youth Association</t>
  </si>
  <si>
    <t>Soccer</t>
  </si>
  <si>
    <t>01-08-8107-0 Wages - Part-Time</t>
  </si>
  <si>
    <t>01-15-8353-0 Computer Services</t>
  </si>
  <si>
    <t>Football/Cheerleading</t>
  </si>
  <si>
    <t>Basketball</t>
  </si>
  <si>
    <t>Lacrosse</t>
  </si>
  <si>
    <t>Total expenditures</t>
  </si>
  <si>
    <t>Revenues, excluding Town grant</t>
  </si>
  <si>
    <t>Net expenditures</t>
  </si>
  <si>
    <t>01-08-8111-0 Overtime - Other</t>
  </si>
  <si>
    <t>Hydrant fees - fully offset by special assessments:</t>
  </si>
  <si>
    <t>01-07-8460-0 Other Operating Expenses</t>
  </si>
  <si>
    <t>01-07-8504-0 Office Equipment</t>
  </si>
  <si>
    <t>01-08-8102-0 Wages - Clerical</t>
  </si>
  <si>
    <t>Recording of plans</t>
  </si>
  <si>
    <t>01-08-8508-0 Operating Equipment</t>
  </si>
  <si>
    <t>01-08-8510-0 Capital Reserve Fund</t>
  </si>
  <si>
    <t>Maintenance of sprinklers and smoke detectors</t>
  </si>
  <si>
    <t>01-24-8102-0 Wages - Clerical</t>
  </si>
  <si>
    <t>Mailing of brochures, flyers, and general correspondence; and third-class</t>
  </si>
  <si>
    <t>Computer paper and supplies and miscellaneous office supplies</t>
  </si>
  <si>
    <t>01-05-8203-0 Operating Supplies</t>
  </si>
  <si>
    <t>Public notices and bid advertisements</t>
  </si>
  <si>
    <t>31-10-8460-0 Other Operating Expenses</t>
  </si>
  <si>
    <t>01-07-8133-0 Life Insurance</t>
  </si>
  <si>
    <t>01-07-8134-0 Disability Insurance</t>
  </si>
  <si>
    <t>01-07-8135-0 Workers Compensation</t>
  </si>
  <si>
    <t>31-10-8102-0 Wages-Clerical</t>
  </si>
  <si>
    <t>Infrastructure Upgrades / Installations</t>
  </si>
  <si>
    <t>01-04-8335-0 Maintenance-Communications Equipment</t>
  </si>
  <si>
    <t>Radar units and radios</t>
  </si>
  <si>
    <t>01-13-8372-0 Fourth of July</t>
  </si>
  <si>
    <t>NESPIN</t>
  </si>
  <si>
    <t>01-07-8107-0 Wages - Part-Time</t>
  </si>
  <si>
    <t>Net</t>
  </si>
  <si>
    <t>DW Highway Capital Reserve Fund</t>
  </si>
  <si>
    <t>01-08-8382-0 Tree Service</t>
  </si>
  <si>
    <t>01-01-8504-0 Office Equipment</t>
  </si>
  <si>
    <t>01-01-8111-0 Overtime - Other</t>
  </si>
  <si>
    <t>8104</t>
  </si>
  <si>
    <t>01-04-8334-0 Maintenance-Office Equipment</t>
  </si>
  <si>
    <t>Copiers</t>
  </si>
  <si>
    <t>32-32-8104-0 Wages - Other Full-Time</t>
  </si>
  <si>
    <t xml:space="preserve">  Building improvements</t>
  </si>
  <si>
    <t>Uniform cleaning</t>
  </si>
  <si>
    <t>01-04-8220-0 Printing</t>
  </si>
  <si>
    <t>Forms and stationery</t>
  </si>
  <si>
    <t>01-16-8103-0 Wages - Supervisory</t>
  </si>
  <si>
    <t>Foreman</t>
  </si>
  <si>
    <t>01-16-8104-0 Wages - Other Full-Time</t>
  </si>
  <si>
    <t>Merrimack Historical Society:</t>
  </si>
  <si>
    <t xml:space="preserve">  Electricity</t>
  </si>
  <si>
    <t xml:space="preserve">  Telephone</t>
  </si>
  <si>
    <t xml:space="preserve">  Heat</t>
  </si>
  <si>
    <t xml:space="preserve">  Insurance</t>
  </si>
  <si>
    <t xml:space="preserve">  Postage</t>
  </si>
  <si>
    <t>Short-term disability insurance</t>
  </si>
  <si>
    <t>01-05-8260-0 Telephone</t>
  </si>
  <si>
    <t>American Red Cross-disaster, blood, health &amp; safety education</t>
  </si>
  <si>
    <t>Forms, Pamphlets, Stationery</t>
  </si>
  <si>
    <t>01-04-8104-0 Wages - Other Full-Time</t>
  </si>
  <si>
    <t>Patrol Sergeant</t>
  </si>
  <si>
    <t>Detective First</t>
  </si>
  <si>
    <t>Janitorial &amp; Cleaning supplies</t>
  </si>
  <si>
    <t>8107- (Fire Inspector)</t>
  </si>
  <si>
    <t>01-03-8204-0 Uniforms, Personal Protective Clothing</t>
  </si>
  <si>
    <t>01-04-8280-0 General Insurance</t>
  </si>
  <si>
    <t>01-04-8300-0 Travel &amp; Meetings</t>
  </si>
  <si>
    <t>Meetings</t>
  </si>
  <si>
    <t>NH Town Clerks Conference</t>
  </si>
  <si>
    <t>NH Tax Collectors Conference</t>
  </si>
  <si>
    <t>Tax collectors workshops</t>
  </si>
  <si>
    <t>Regional meetings</t>
  </si>
  <si>
    <t>Mileage for Town Clerk/Tax Collector</t>
  </si>
  <si>
    <t>01-09-8510-0 Capital Reserve Fund</t>
  </si>
  <si>
    <t>.</t>
  </si>
  <si>
    <t>ARL Fee</t>
  </si>
  <si>
    <t>Office Equipment</t>
  </si>
  <si>
    <t>01-16-8280-0 General Insurance</t>
  </si>
  <si>
    <t>01-16-8300-0 Travel &amp; Meetings</t>
  </si>
  <si>
    <t>01-02-8334-0 Maintenance-Office Equipment</t>
  </si>
  <si>
    <t>Copier</t>
  </si>
  <si>
    <t>Printers</t>
  </si>
  <si>
    <t>01-02-8352-0 Education &amp; Training</t>
  </si>
  <si>
    <t>31-10-8230-0 Postage</t>
  </si>
  <si>
    <t>8102 - Full-time</t>
  </si>
  <si>
    <t>8106 - Full-time</t>
  </si>
  <si>
    <t>01-04-8201-0 Office Supplies</t>
  </si>
  <si>
    <t>Copier paper and toner</t>
  </si>
  <si>
    <t>Liability insurance cost allocation</t>
  </si>
  <si>
    <t>Subscriptions</t>
  </si>
  <si>
    <t>01-21-8280-0 General Insurance</t>
  </si>
  <si>
    <t>Liability and auto insurance</t>
  </si>
  <si>
    <t>01-21-8300-0 Travel &amp; Meetings</t>
  </si>
  <si>
    <t>Police station</t>
  </si>
  <si>
    <t>01-17-8244-0 Water</t>
  </si>
  <si>
    <t>01-17-8245-0 Sewer</t>
  </si>
  <si>
    <t>01-17-8250-0 Vehicle Fuel</t>
  </si>
  <si>
    <t>01-17-8260-0 Telephone</t>
  </si>
  <si>
    <t>01-17-8280-0 General Insurance</t>
  </si>
  <si>
    <t>01-17-8321-0 Maintenance-Buildings</t>
  </si>
  <si>
    <t>01-07-8230-0 Postage</t>
  </si>
  <si>
    <t>31-10-8280-0 General Insurance</t>
  </si>
  <si>
    <t xml:space="preserve"> Cell Phone Building Official</t>
  </si>
  <si>
    <t xml:space="preserve"> Cell Phone Building Inspector</t>
  </si>
  <si>
    <t xml:space="preserve"> Cell Phone Health Officer</t>
  </si>
  <si>
    <t>NHWPCA and APWA memberships</t>
  </si>
  <si>
    <t>01-21-8220-0 Printing</t>
  </si>
  <si>
    <t>01-21-8230-0 Postage</t>
  </si>
  <si>
    <t>Hats and other identification apparel</t>
  </si>
  <si>
    <t>01-16-8250-0 Vehicle Fuel</t>
  </si>
  <si>
    <t>31-10-8352-0 Education &amp; Training</t>
  </si>
  <si>
    <t>01-03-8125-0 Social Security</t>
  </si>
  <si>
    <t>8102</t>
  </si>
  <si>
    <t>8105</t>
  </si>
  <si>
    <t>01-03-8128-0 Retirement</t>
  </si>
  <si>
    <t>8103 - NHRS</t>
  </si>
  <si>
    <t>8104 - NHRS</t>
  </si>
  <si>
    <t>8105 - NHRS</t>
  </si>
  <si>
    <t>01-16-8131-0 Health Insurance</t>
  </si>
  <si>
    <t>01-16-8132-0 Dental Insurance</t>
  </si>
  <si>
    <t>01-16-8133-0 Life Insurance</t>
  </si>
  <si>
    <t>AFSCME- boot allowance</t>
  </si>
  <si>
    <t>Collection agency - delinquent ambulance bills</t>
  </si>
  <si>
    <t>Wrestling</t>
  </si>
  <si>
    <t>Crime scene supplies</t>
  </si>
  <si>
    <t>Narcotic unit supplies</t>
  </si>
  <si>
    <t xml:space="preserve">  8104 - IAFF Contract</t>
  </si>
  <si>
    <t xml:space="preserve">  8103 - AFSCME 93 Contract</t>
  </si>
  <si>
    <t>01-13-8505-0  Infrastructure</t>
  </si>
  <si>
    <t>Nashua Soup Kitchen &amp; Shelter - basic needs and shelters</t>
  </si>
  <si>
    <t>01-05-8111-0 Overtime - Other</t>
  </si>
  <si>
    <t>Shift overtime and coverage for vacations, sick leave,</t>
  </si>
  <si>
    <t>holidays, and training</t>
  </si>
  <si>
    <t>01-05-8125-0 Social Security</t>
  </si>
  <si>
    <t>01-17-8107-0 Wages - Part-Time</t>
  </si>
  <si>
    <t>01-17-8111-0 Overtime - Other</t>
  </si>
  <si>
    <t>HIV/AIDS Task Force</t>
  </si>
  <si>
    <t>01-13-8322-0 Maintenance-Grounds</t>
  </si>
  <si>
    <t>01-17-8125-0 Social Security</t>
  </si>
  <si>
    <t>01-17-8128-0 Retirement</t>
  </si>
  <si>
    <t>01-17-8131-0 Health Insurance</t>
  </si>
  <si>
    <t>01-04-8102-0 Wages - Clerical</t>
  </si>
  <si>
    <t>Uniform service - AFSCME</t>
  </si>
  <si>
    <t>8103 - Planning/zoning</t>
  </si>
  <si>
    <t>Ambulance Garage</t>
  </si>
  <si>
    <t>College courses and seminars - NEPBA</t>
  </si>
  <si>
    <t>01-01-8131-0 Health Insurance</t>
  </si>
  <si>
    <t>01-01-8132-0 Dental Insurance</t>
  </si>
  <si>
    <t>01-01-8133-0 Life Insurance</t>
  </si>
  <si>
    <t>01-01-8134-0 Disability Insurance</t>
  </si>
  <si>
    <t>01-13-8260-0 Telephone</t>
  </si>
  <si>
    <t>Lieutenants - shift overtime and coverage for</t>
  </si>
  <si>
    <t>01-03-8408-0 Rescue</t>
  </si>
  <si>
    <t>Highway garage</t>
  </si>
  <si>
    <t>Coordinator - subcontract</t>
  </si>
  <si>
    <t>Parts and contractual services</t>
  </si>
  <si>
    <t>Uniform allowance:</t>
  </si>
  <si>
    <t>01-03-8220-0 Printing</t>
  </si>
  <si>
    <t>01-04-8105-0 Overtime - Supervisory</t>
  </si>
  <si>
    <t>Other operating expenses</t>
  </si>
  <si>
    <t>Capital outlay</t>
  </si>
  <si>
    <t>Telephone cost allocation</t>
  </si>
  <si>
    <t>Holiday pay - Foreman: 8 hr X 7 days</t>
  </si>
  <si>
    <t>Holiday pay - Scale Operator: 8 hr X 7 days</t>
  </si>
  <si>
    <t>01-25-8481-0 Housing (rent and mortgage payments)</t>
  </si>
  <si>
    <t>01-25-8482-0 Electricity</t>
  </si>
  <si>
    <t>01-25-8485-0 Vehicle fuel</t>
  </si>
  <si>
    <t>01-25-8486-0 Telephone</t>
  </si>
  <si>
    <t>01-25-8488-0 Food</t>
  </si>
  <si>
    <t>01-25-8489-0 Medical</t>
  </si>
  <si>
    <t>Safety supplies, tools, gloves, paint, chains, lumber,</t>
  </si>
  <si>
    <t>01-03-8241-0 Electricity</t>
  </si>
  <si>
    <t>Sludge grinder and channel grinder repairs</t>
  </si>
  <si>
    <t>01-03-8105-0 Overtime - Supervisory</t>
  </si>
  <si>
    <t>Excess sick leave purchase</t>
  </si>
  <si>
    <t>Chemical toilet service</t>
  </si>
  <si>
    <t>Tire removal</t>
  </si>
  <si>
    <t>01-25-8230-0 Postage</t>
  </si>
  <si>
    <t>Mailing of reports, notices, and general correspondence</t>
  </si>
  <si>
    <t>Personal services</t>
  </si>
  <si>
    <t>01-02-8270-0 Dues &amp; Fees</t>
  </si>
  <si>
    <t>01-02-8280-0 General Insurance</t>
  </si>
  <si>
    <t>01-03-8131-0 Health Insurance</t>
  </si>
  <si>
    <t>01-03-8132-0 Dental Insurance</t>
  </si>
  <si>
    <t>01-03-8133-0 Life Insurance</t>
  </si>
  <si>
    <t>31-10-8332-0 Maintenance-Vehicles</t>
  </si>
  <si>
    <t>31-10-8334-0 Maintenance-Office Equipment</t>
  </si>
  <si>
    <t>Fire alarm</t>
  </si>
  <si>
    <t>Admin Charge</t>
  </si>
  <si>
    <t>01-04-8250-0 Vehicle Fuel</t>
  </si>
  <si>
    <t>01-04-8270-0 Dues &amp; Fees</t>
  </si>
  <si>
    <t>01-24-8260-0 Telephone</t>
  </si>
  <si>
    <t>01-24-8270-0 Dues &amp; Fees</t>
  </si>
  <si>
    <t>31-10-8111-0 Overtime - Other</t>
  </si>
  <si>
    <t>01-17-8322-0 Maintenance-Grounds</t>
  </si>
  <si>
    <t>Bark mulch</t>
  </si>
  <si>
    <t>Winter coats - Teamsters</t>
  </si>
  <si>
    <t>AFSCME - winter coats</t>
  </si>
  <si>
    <t>01-07-8132-0 Dental Insurance</t>
  </si>
  <si>
    <t>01-08-8134-0 Disability Insurance</t>
  </si>
  <si>
    <t>01-08-8135-0 Workers Compensation</t>
  </si>
  <si>
    <t>01-08-8136-0 Unemployment Compensation</t>
  </si>
  <si>
    <t>01-08-8201-0 Office Supplies</t>
  </si>
  <si>
    <t>01-08-8125-0 Social Security</t>
  </si>
  <si>
    <t>Cellular telephone for emergency calls</t>
  </si>
  <si>
    <t>Society For Human Resource Management</t>
  </si>
  <si>
    <t>Flowers and shrubs</t>
  </si>
  <si>
    <t>31-10-8508-0 Operating Equipment</t>
  </si>
  <si>
    <t>Hillstown</t>
  </si>
  <si>
    <t>01-24-8107-0 Wages - Part-Time</t>
  </si>
  <si>
    <t>01-24-8111-0 Overtime - Other</t>
  </si>
  <si>
    <t>Custodial services</t>
  </si>
  <si>
    <t>Furnishings</t>
  </si>
  <si>
    <t>Repair and maintenance</t>
  </si>
  <si>
    <t>Snow removal</t>
  </si>
  <si>
    <t>01-08-8202-0 Maintenance Supplies</t>
  </si>
  <si>
    <t>01-08-8203-0 Operating Supplies</t>
  </si>
  <si>
    <t>Fire extinguishers, gloves, safety vests, hard hats, flags, first aid</t>
  </si>
  <si>
    <t>01-08-8204-0 Uniforms</t>
  </si>
  <si>
    <t>Foreman/Supervisor</t>
  </si>
  <si>
    <t>Secretary/Scale Operator</t>
  </si>
  <si>
    <t>Janitorial supplies</t>
  </si>
  <si>
    <t>01-03-8504-0 Office Equipment</t>
  </si>
  <si>
    <t>01-03-8506-0 Communications Equipment</t>
  </si>
  <si>
    <t>01-25-8495-0 Propane fuel heat</t>
  </si>
  <si>
    <t xml:space="preserve">  Supplies, seminars, and other administrative costs</t>
  </si>
  <si>
    <t>01-17-8241-0 Electricity</t>
  </si>
  <si>
    <t>Laminator</t>
  </si>
  <si>
    <t>Thornton Ferry Pumping Station</t>
  </si>
  <si>
    <t>Souhegan Pumping Station</t>
  </si>
  <si>
    <t>01-15-8104-0 Wages - Hourly</t>
  </si>
  <si>
    <t>Full-time:</t>
  </si>
  <si>
    <t>Console, base stations, repeater, and radio voting system</t>
  </si>
  <si>
    <t>01-03-8242-0 Natural Gas</t>
  </si>
  <si>
    <t>Caregivers - coordinated volunteer transportation assistance</t>
  </si>
  <si>
    <t>Human Resources Coordinator - conferences and seminars</t>
  </si>
  <si>
    <t>01-07-8352-0 Education &amp; Training</t>
  </si>
  <si>
    <t>01-07-8420-0 Advertising</t>
  </si>
  <si>
    <t>01-04-8106-0 Animal Control</t>
  </si>
  <si>
    <t>01-08-8346-0 Road Materials</t>
  </si>
  <si>
    <t>01-24-8101-0 Wages - Elected Officials</t>
  </si>
  <si>
    <t>Town Clerk/Tax Collector</t>
  </si>
  <si>
    <t>Baseball - Cal Ripken</t>
  </si>
  <si>
    <t>01-04-8352-0 Education &amp; Training</t>
  </si>
  <si>
    <t>Polymer for rotary drum thickeners</t>
  </si>
  <si>
    <t>Generator maintenance</t>
  </si>
  <si>
    <t>01-05-8128-0 Retirement</t>
  </si>
  <si>
    <t xml:space="preserve">  Clay</t>
  </si>
  <si>
    <t>01-17-8133-0 Life Insurance</t>
  </si>
  <si>
    <t>Bank service charges</t>
  </si>
  <si>
    <t>31-10-8300-0 Travel &amp; Meetings</t>
  </si>
  <si>
    <t>01-13-8220-0 Printing</t>
  </si>
  <si>
    <t>Miscellaneous</t>
  </si>
  <si>
    <t>NH Employment Law Letter</t>
  </si>
  <si>
    <t>Others</t>
  </si>
  <si>
    <t>01-01-8280-0 General Insurance</t>
  </si>
  <si>
    <t>Property, liability, and auto insurance</t>
  </si>
  <si>
    <t>01-01-8293-0 Legal-Other</t>
  </si>
  <si>
    <t>01-01-8300-0 Travel &amp; Meetings</t>
  </si>
  <si>
    <t>01-24-8300-0 Travel &amp; Meetings</t>
  </si>
  <si>
    <t>Holiday pay</t>
  </si>
  <si>
    <t>Copier - Town Manager's Office</t>
  </si>
  <si>
    <t>01-04-8135-0 Workers Compensation</t>
  </si>
  <si>
    <t>Boot allowance - Teamsters</t>
  </si>
  <si>
    <t>Uniform service - Teamsters</t>
  </si>
  <si>
    <t>Non-union - clothing allowance and boot allowance</t>
  </si>
  <si>
    <t>Apparel for identification and safety purposes</t>
  </si>
  <si>
    <t>01-24-8430-0 Dog Licenses</t>
  </si>
  <si>
    <t xml:space="preserve">Mailing of tax bills, motor vehicle renewals, tax lien and mortgagee </t>
  </si>
  <si>
    <t>notices,  and general correspondence</t>
  </si>
  <si>
    <t>01-03-8270-0 Dues &amp; Fees</t>
  </si>
  <si>
    <t>01-13-8321-0 Maintenance-Buildings &amp; Grounds</t>
  </si>
  <si>
    <t>01-08-8342-0 Cold Patch</t>
  </si>
  <si>
    <t>01-08-8359-0 Other Outside Services</t>
  </si>
  <si>
    <t>01-24-8133-0 Life Insurance</t>
  </si>
  <si>
    <t>01-24-8134-0 Disability Insurance</t>
  </si>
  <si>
    <t>424-7312 Fax</t>
  </si>
  <si>
    <t>01-08-8212-0 Equipment Rental</t>
  </si>
  <si>
    <t>Highway Equipment Capital Reserve Fund</t>
  </si>
  <si>
    <t>Facility use decals</t>
  </si>
  <si>
    <t>Transfer station</t>
  </si>
  <si>
    <t>Perimeter fencing repairs</t>
  </si>
  <si>
    <t>Overtime during major tax collection periods</t>
  </si>
  <si>
    <t>01-17-8332-0 Maintenance-Vehicles</t>
  </si>
  <si>
    <t>Field maintenance:</t>
  </si>
  <si>
    <t>31-10-8270-0 Dues &amp; Fees</t>
  </si>
  <si>
    <t>01-13-8132-0 Dental Insurance</t>
  </si>
  <si>
    <t>Account Clerk II</t>
  </si>
  <si>
    <t>01-15-8131-0 Health Insurance</t>
  </si>
  <si>
    <t>01-15-8132-0 Dental Insurance</t>
  </si>
  <si>
    <t>01-16-8331-0 Maintenance-Machinery</t>
  </si>
  <si>
    <t>01-16-8333-0 Maintenance-Vehicles</t>
  </si>
  <si>
    <t>Prisoner food</t>
  </si>
  <si>
    <t>Narcotics Unit informants and evidence</t>
  </si>
  <si>
    <t>Chemical test materials</t>
  </si>
  <si>
    <t>01-04-8503-0 Vehicles</t>
  </si>
  <si>
    <t>01-04-8504-0 Office Equipment</t>
  </si>
  <si>
    <t>01-04-8508-0 Operating Equipment</t>
  </si>
  <si>
    <t>Total - fully offset by revenues</t>
  </si>
  <si>
    <t>01-13-8107-0 Wages - Part-Time</t>
  </si>
  <si>
    <t>01-17-8104-0 Wages - Other Full-Time</t>
  </si>
  <si>
    <t>Compost facility heating system</t>
  </si>
  <si>
    <t>31-10-8243-0 Heating Oil</t>
  </si>
  <si>
    <t>Diesel fuel for plant generators</t>
  </si>
  <si>
    <t>Insurance</t>
  </si>
  <si>
    <t>Part time employees</t>
  </si>
  <si>
    <t>Bandstand concerts</t>
  </si>
  <si>
    <t xml:space="preserve">  Office supplies </t>
  </si>
  <si>
    <t>Pearson Road Pumping Station</t>
  </si>
  <si>
    <t>01-07-8280-0 General Insurance</t>
  </si>
  <si>
    <t>Security cards, station logs, business cards, and other forms</t>
  </si>
  <si>
    <t>01-05-8131-0 Health Insurance</t>
  </si>
  <si>
    <t>01-03-8104-0 Wages - Other Full-Time</t>
  </si>
  <si>
    <t>Light bulbs</t>
  </si>
  <si>
    <t>NH Municipal Management Association</t>
  </si>
  <si>
    <t>ICMA</t>
  </si>
  <si>
    <t>Blueprints, topographical maps</t>
  </si>
  <si>
    <t>NH Public Works Association</t>
  </si>
  <si>
    <t>Other CATV Equipment</t>
  </si>
  <si>
    <t>Transfer to Solid Waste Disposal Capital Reserve Fund</t>
  </si>
  <si>
    <t>01-13-8230-0 Postage</t>
  </si>
  <si>
    <t>01-01-8353-0 Computer Services</t>
  </si>
  <si>
    <t>01-09-8322-0 Maintenance-Grounds</t>
  </si>
  <si>
    <t>01-09-8333-0 Maintenance-Vehicles &amp; Equipment</t>
  </si>
  <si>
    <t>Debt Service</t>
  </si>
  <si>
    <t>Data cards, assessment update notices, and various forms</t>
  </si>
  <si>
    <t>Workstations</t>
  </si>
  <si>
    <t>Copier and computer equipment</t>
  </si>
  <si>
    <t>01-13-8352-0 Education &amp; Training</t>
  </si>
  <si>
    <t>Mechanic I</t>
  </si>
  <si>
    <t>Weekend shift differential</t>
  </si>
  <si>
    <t>31-10-8128-0 Retirement</t>
  </si>
  <si>
    <t>01-06-8102-0 Wages - Clerical</t>
  </si>
  <si>
    <t>01-06-8103-0 Wages - Supervisory</t>
  </si>
  <si>
    <t>01-06-8104-0 Wages - Other Full-Time</t>
  </si>
  <si>
    <t>01-06-8107-0 Wages - Part-Time</t>
  </si>
  <si>
    <t>01-06-8125-0 Social Security</t>
  </si>
  <si>
    <t>01-06-8128-0 Retirement</t>
  </si>
  <si>
    <t>01-06-8131-0 Health Insurance</t>
  </si>
  <si>
    <t>01-06-8132-0 Dental Insurance</t>
  </si>
  <si>
    <t>01-06-8133-0 Life Insurance</t>
  </si>
  <si>
    <t>01-06-8134-0 Disability Insurance</t>
  </si>
  <si>
    <t>01-06-8135-0 Workers Compensation</t>
  </si>
  <si>
    <t>01-06-8136-0 Unemployment Compensation</t>
  </si>
  <si>
    <t>01-06-8201-0 Office Supplies</t>
  </si>
  <si>
    <t>01-06-8220-0 Printing</t>
  </si>
  <si>
    <t>01-06-8250-0 Vehicle Fuel</t>
  </si>
  <si>
    <t>01-06-8260-0 Telephone</t>
  </si>
  <si>
    <t>01-06-8270-0 Dues &amp; Fees</t>
  </si>
  <si>
    <t>01-06-8280-0 General Insurance</t>
  </si>
  <si>
    <t>01-06-8300-0 Travel &amp; Meetings</t>
  </si>
  <si>
    <t>01-06-8332-0 Maintenance-Vehicles</t>
  </si>
  <si>
    <t>01-06-8352-0 Education &amp; Training</t>
  </si>
  <si>
    <t>01-06-8359-0 Other Outside Services</t>
  </si>
  <si>
    <t>8103 - Parks &amp; Recreation Director</t>
  </si>
  <si>
    <t>31-10-8204-0 Uniforms</t>
  </si>
  <si>
    <t>Asst Dir and Inspector - clothing allowance</t>
  </si>
  <si>
    <t>01-01-8460-0 Other Operating Expenses</t>
  </si>
  <si>
    <t>Public relations</t>
  </si>
  <si>
    <t>01-02-8420-0 Advertising</t>
  </si>
  <si>
    <t>01-02-8504-0 Office Equipment</t>
  </si>
  <si>
    <t>01-03-8102-0 Wages - Clerical</t>
  </si>
  <si>
    <t>01-03-8508-0 Operating Equipment</t>
  </si>
  <si>
    <t>Boot Allowance - Teamsters</t>
  </si>
  <si>
    <t>Boot Allowance - AFSCME</t>
  </si>
  <si>
    <t>Highway Foreman</t>
  </si>
  <si>
    <t>Annual meeting</t>
  </si>
  <si>
    <t>Special cleaning</t>
  </si>
  <si>
    <t>Softball</t>
  </si>
  <si>
    <t>01-15-8244-0 Water</t>
  </si>
  <si>
    <t>01-15-8245-0 Sewer</t>
  </si>
  <si>
    <t>State certification requirements</t>
  </si>
  <si>
    <t>01-13-8270-0 Dues &amp; Fees</t>
  </si>
  <si>
    <t>31-10-8316-0 Bulking Agent</t>
  </si>
  <si>
    <t>31-10-8321-0 Maintenance-Buildings</t>
  </si>
  <si>
    <t>College course tuition reimbursement - AFSCME 93</t>
  </si>
  <si>
    <t>01-09-8201-0 Office Supplies</t>
  </si>
  <si>
    <t>01-09-8202-0 Maintenance Supplies</t>
  </si>
  <si>
    <t>01-09-8203-0 Operating Supplies</t>
  </si>
  <si>
    <t>Building Improvements</t>
  </si>
  <si>
    <t>NH GFOA</t>
  </si>
  <si>
    <t>bulk mailing fee</t>
  </si>
  <si>
    <t>01-15-8300-0 Travel &amp; Meetings</t>
  </si>
  <si>
    <t xml:space="preserve">  Architectural/landscaping needs re: historic areas</t>
  </si>
  <si>
    <t>Landfill Maint.-weed control</t>
  </si>
  <si>
    <t>Other memberships (NHAAO statutory requirement RSA 31:8)</t>
  </si>
  <si>
    <t>Software support / web hosting</t>
  </si>
  <si>
    <t xml:space="preserve">01-02-8510-0 Capital Reserve Fund </t>
  </si>
  <si>
    <t>Aggregates, flake calcium, guardrail, bridge materials</t>
  </si>
  <si>
    <t>01-08-8371-0 Maintenance - Grounds (MYA)</t>
  </si>
  <si>
    <t>Minor bridge, fencing, and guardrail repairs,</t>
  </si>
  <si>
    <t>treatment of concrete abutments, linseed treatments</t>
  </si>
  <si>
    <t>01-02-8201-0 Office Supplies</t>
  </si>
  <si>
    <t>Field file folders, computer paper, copier toner, and other office supplies</t>
  </si>
  <si>
    <t>Main plant (meter charge 1.5" and consumption)</t>
  </si>
  <si>
    <t>Chlorination building (meter charge 5/8")</t>
  </si>
  <si>
    <t>Hydrant charge 8"</t>
  </si>
  <si>
    <t>Pumping stations (consumption and backflow testing)</t>
  </si>
  <si>
    <t>Est. Quantity</t>
  </si>
  <si>
    <t>Pump and motor repairs/replacement and controls</t>
  </si>
  <si>
    <t>Flow measuring equipment maintenance and calibrations</t>
  </si>
  <si>
    <t>Scale software annual support</t>
  </si>
  <si>
    <t xml:space="preserve">emergency call ins and on call </t>
  </si>
  <si>
    <t>Full-time employees - NEBPA 112</t>
  </si>
  <si>
    <t>NEBPA 112</t>
  </si>
  <si>
    <t xml:space="preserve"> No special duty</t>
  </si>
  <si>
    <t xml:space="preserve">1 additional Special Duty assignment </t>
  </si>
  <si>
    <t>2+ Special Duty assignments</t>
  </si>
  <si>
    <t xml:space="preserve"> K9 Officer</t>
  </si>
  <si>
    <t>Fire Marshal</t>
  </si>
  <si>
    <t>01-06-8503-0 Vehicles</t>
  </si>
  <si>
    <t>32-32-8230-0 Postage</t>
  </si>
  <si>
    <t>32-32-8260-0 Telephone</t>
  </si>
  <si>
    <t>32-32-8270-0 Dues &amp; Fees</t>
  </si>
  <si>
    <t>32-32-8280-0 General Insurance</t>
  </si>
  <si>
    <t>32-32-8300-0 Travel &amp; Meetings</t>
  </si>
  <si>
    <t>32-32-8334-0 Maintenance-Office Equipment</t>
  </si>
  <si>
    <t>32-32-8352-0 Education &amp; Training</t>
  </si>
  <si>
    <t>New England Conference of Town Clerks</t>
  </si>
  <si>
    <t>Service truck and pool cars - unleaded gasoline</t>
  </si>
  <si>
    <t>01-16-8260-0 Telephone</t>
  </si>
  <si>
    <t>01-01-8101-0 Wages - Elected Officials</t>
  </si>
  <si>
    <t>Trustee of Trust Funds</t>
  </si>
  <si>
    <t>Total</t>
  </si>
  <si>
    <t>8102 - Clerical</t>
  </si>
  <si>
    <t>8103 - Supervisory</t>
  </si>
  <si>
    <t>8104 - Other Full Time</t>
  </si>
  <si>
    <t>8107 - Part Time</t>
  </si>
  <si>
    <t>8103 - Director</t>
  </si>
  <si>
    <t>8103 -  Code Enforcement Officer</t>
  </si>
  <si>
    <t>8107 Part-Time</t>
  </si>
  <si>
    <t>Full-Time employees</t>
  </si>
  <si>
    <t>8101 - Elected Officials</t>
  </si>
  <si>
    <t>8103 - Other Salary employees</t>
  </si>
  <si>
    <t>8104 - Other hourly employees</t>
  </si>
  <si>
    <t>01-17-8132-0 Dental Insurance</t>
  </si>
  <si>
    <t>Salt Shed</t>
  </si>
  <si>
    <t>Trash Removal</t>
  </si>
  <si>
    <t>Association memberships for Town Clerk/Tax Collector</t>
  </si>
  <si>
    <t>College courses and seminars - AFSCME 93</t>
  </si>
  <si>
    <t>NH Revised Statutes and other publications</t>
  </si>
  <si>
    <t>01-04-8420-0 Advertising</t>
  </si>
  <si>
    <t>01-15-8270-0 Dues &amp; Fees</t>
  </si>
  <si>
    <t>ALA including PLA</t>
  </si>
  <si>
    <t>NELA</t>
  </si>
  <si>
    <t>NHLA including READS, CHILIS, and UPLC</t>
  </si>
  <si>
    <t>systems and materials for constructing storm water catch basins</t>
  </si>
  <si>
    <t>and manholes</t>
  </si>
  <si>
    <t>31-27-8609-0 Interest - Long-Term Debt</t>
  </si>
  <si>
    <t>31-27-8610-0 Principal - Long-Term Debt</t>
  </si>
  <si>
    <t>01-17-8134-0 Disability Insurance</t>
  </si>
  <si>
    <t>01-17-8135-0 Workers Compensation</t>
  </si>
  <si>
    <t>Confined Space and other required training</t>
  </si>
  <si>
    <t>01-03-8244-0 Water</t>
  </si>
  <si>
    <t>01-03-8245-0 Sewer</t>
  </si>
  <si>
    <t>01-03-8250-0 Vehicle Fuel</t>
  </si>
  <si>
    <t>Diesel fuel</t>
  </si>
  <si>
    <t>Unleaded gasoline</t>
  </si>
  <si>
    <t>01-21-8334-0 Maintenance-Office Equipment</t>
  </si>
  <si>
    <t>Paint and painting supplies</t>
  </si>
  <si>
    <t>Heating system filters</t>
  </si>
  <si>
    <t>Miscellaneous materials</t>
  </si>
  <si>
    <t>31-10-8322-0 Maintenance-Grounds</t>
  </si>
  <si>
    <t>Power equipment repair</t>
  </si>
  <si>
    <t>Fully offset by revenues</t>
  </si>
  <si>
    <t xml:space="preserve">Town Hall </t>
  </si>
  <si>
    <t>01-13-8334-0 Maintenance-Office Equipment</t>
  </si>
  <si>
    <t xml:space="preserve">  Miscellaneous</t>
  </si>
  <si>
    <t xml:space="preserve">  Total expenditures</t>
  </si>
  <si>
    <t>01-15-8125-0 Social Security</t>
  </si>
  <si>
    <t>01-15-8128-0 Retirement</t>
  </si>
  <si>
    <t>State of NH weighmaster licenses</t>
  </si>
  <si>
    <t>01-08-8335-0 Maintenance-Communications Equip</t>
  </si>
  <si>
    <t>01-08-8341-0 Sand &amp; Salt</t>
  </si>
  <si>
    <t>01-25-8490-0 Prescriptions</t>
  </si>
  <si>
    <t>Abbie Griffin Park</t>
  </si>
  <si>
    <t>Wasserman Park</t>
  </si>
  <si>
    <t>MYA Building, Bise Field, Kids Kove</t>
  </si>
  <si>
    <t>01-03-8300-0 Travel &amp; Meetings</t>
  </si>
  <si>
    <t>01-03-8321-0 Maintenance-Buildings &amp; Grounds</t>
  </si>
  <si>
    <t>Publications</t>
  </si>
  <si>
    <t>Addition to (use of) MYA surplus</t>
  </si>
  <si>
    <t>Town grant</t>
  </si>
  <si>
    <t>01-02-8133-0 Life Insurance</t>
  </si>
  <si>
    <t>01-02-8134-0 Disability Insurance</t>
  </si>
  <si>
    <t>01-02-8135-0 Workers Compensation</t>
  </si>
  <si>
    <t>Heating and air conditioning systems</t>
  </si>
  <si>
    <t>Fire extinguisher</t>
  </si>
  <si>
    <t>Telephone line for digitizer and fire alarm</t>
  </si>
  <si>
    <t>01-24-8280-0 General Insurance</t>
  </si>
  <si>
    <t>Liability insurance and bonds</t>
  </si>
  <si>
    <t>Dues - NFDOA</t>
  </si>
  <si>
    <t>01-08-8344-0 Hot Top</t>
  </si>
  <si>
    <t>Material for permanent pavement patches, driveway</t>
  </si>
  <si>
    <t>Cellular telephones (2)</t>
  </si>
  <si>
    <t>Firefighter Certifications and Training:</t>
  </si>
  <si>
    <t>01-16-8105-0 Overtime-Supervisory</t>
  </si>
  <si>
    <t>01-16-8111-0 Overtime - Other</t>
  </si>
  <si>
    <t>Mechanics</t>
  </si>
  <si>
    <t>01-16-8125-0 Social Security</t>
  </si>
  <si>
    <t>01-16-8128-0 Retirement</t>
  </si>
  <si>
    <t>GRAND TOTAL</t>
  </si>
  <si>
    <t>01-08-8220-0 Printing</t>
  </si>
  <si>
    <t>01-08-8241-0 Electricity</t>
  </si>
  <si>
    <t>429-2148 Elevator</t>
  </si>
  <si>
    <t>Bridges - rape and assault support services and shelters</t>
  </si>
  <si>
    <t>Admin fee to General Govt</t>
  </si>
  <si>
    <t>32-32-8271-0 Subscriptions</t>
  </si>
  <si>
    <t>32-32-8460-0 Miscellaneous</t>
  </si>
  <si>
    <t>other</t>
  </si>
  <si>
    <t>01-21-8388-0 Economic Development</t>
  </si>
  <si>
    <t>01-08-8103-0 Wages - Supervisory</t>
  </si>
  <si>
    <t>Adult programs</t>
  </si>
  <si>
    <t>01-15-8420-0 Advertising</t>
  </si>
  <si>
    <t>Copiers, fax, computers, and other office equipment</t>
  </si>
  <si>
    <t>01-05-8136-0 Unemployment Compensation</t>
  </si>
  <si>
    <t>01-05-8201-0 Office Supplies</t>
  </si>
  <si>
    <t>01-08-8334-0 Maintenance-Office Equipment</t>
  </si>
  <si>
    <t>Grand Total</t>
  </si>
  <si>
    <t>NH Public Works Mutual Aid Program</t>
  </si>
  <si>
    <t>Rental of equipment</t>
  </si>
  <si>
    <t>General Fund</t>
  </si>
  <si>
    <t>Trustee Funds</t>
  </si>
  <si>
    <t>01-27-8606-0 Interest - Long-Term Debt</t>
  </si>
  <si>
    <t>01-27-8608-0 Principal - Long-Term Debt</t>
  </si>
  <si>
    <t>01-15-8510-0 Capital Reserve Fund</t>
  </si>
  <si>
    <t>Diesel fuel - screening plant</t>
  </si>
  <si>
    <t>Custodian</t>
  </si>
  <si>
    <t>Equipment Operator III</t>
  </si>
  <si>
    <t>Electricity</t>
  </si>
  <si>
    <t>Seminars, workshops, and conferences</t>
  </si>
  <si>
    <t>01-13-8359-0 Other Outside Services</t>
  </si>
  <si>
    <t>Contractual tree work</t>
  </si>
  <si>
    <t>Emergency septic system repair - fully offset by revenues</t>
  </si>
  <si>
    <t>31-10-8104-0 Wages - Other Full-Time</t>
  </si>
  <si>
    <t>01-13-8203-0 Operating Supplies</t>
  </si>
  <si>
    <t>01-21-8102-0 Wages - Clerical</t>
  </si>
  <si>
    <t>01-09-8355-0 Solid Waste Disposal</t>
  </si>
  <si>
    <t xml:space="preserve">8104/8111 </t>
  </si>
  <si>
    <t>01-13-8280-0 General Insurance</t>
  </si>
  <si>
    <t>01-15-8241-0 Electricity</t>
  </si>
  <si>
    <t>Library building</t>
  </si>
  <si>
    <t>Batteries for portable radios</t>
  </si>
  <si>
    <t>01-05-8204-0 Uniforms</t>
  </si>
  <si>
    <t>Home Health &amp; Hospice - home health visits and clinics</t>
  </si>
  <si>
    <t xml:space="preserve">Highway - sign and fencing repairs, parking lot </t>
  </si>
  <si>
    <t>01-08-8362-0 Traffic Signals</t>
  </si>
  <si>
    <t>Maintenance (on call)</t>
  </si>
  <si>
    <t>Big Brothers/Big Sisters - mentoring youth and education</t>
  </si>
  <si>
    <t>Chemical Absorbent Material Bags (Clay)</t>
  </si>
  <si>
    <t>Backflow testing</t>
  </si>
  <si>
    <t>01-01-8270-0 Dues &amp; Fees</t>
  </si>
  <si>
    <t>NHMA</t>
  </si>
  <si>
    <t>Employee cost sharing Union 10%</t>
  </si>
  <si>
    <t xml:space="preserve">  Town Manager adjustment</t>
  </si>
  <si>
    <t>Advertising</t>
  </si>
  <si>
    <t xml:space="preserve">8103 </t>
  </si>
  <si>
    <t>8111 - Overtime</t>
  </si>
  <si>
    <t>Police officers - NEPBA:</t>
  </si>
  <si>
    <t>K-9 Expenses</t>
  </si>
  <si>
    <t>Volunteers</t>
  </si>
  <si>
    <t>31-27-8606-0 Interest - Long-Term Debt</t>
  </si>
  <si>
    <t>31-27-8608-0 Principal - Long-Term Debt</t>
  </si>
  <si>
    <t>School Crossing Guards</t>
  </si>
  <si>
    <t>01-04-8111-0 Overtime - Other</t>
  </si>
  <si>
    <t>01-04-8125-0 Social Security</t>
  </si>
  <si>
    <t>8106</t>
  </si>
  <si>
    <t>01-04-8128-0 Retirement</t>
  </si>
  <si>
    <t>Term life insurance</t>
  </si>
  <si>
    <t>Part-time:</t>
  </si>
  <si>
    <t>Union</t>
  </si>
  <si>
    <t>01-02-8128-0 Retirement</t>
  </si>
  <si>
    <t>01-03-8359-0 Other Outside Services</t>
  </si>
  <si>
    <t>01-08-8128-0 Retirement</t>
  </si>
  <si>
    <t>01-08-8131-0 Health Insurance</t>
  </si>
  <si>
    <t>01-08-8132-0 Dental Insurance</t>
  </si>
  <si>
    <t>Computer equipment (2 printers/ 2 desk tops)</t>
  </si>
  <si>
    <t>32-32-8134-0 Disability Insurance</t>
  </si>
  <si>
    <t>NE and NH Chiefs Association, IAFC</t>
  </si>
  <si>
    <t>01-05-8510-0 Capital Reserve Fund</t>
  </si>
  <si>
    <t>31-10-8105-0 Overtime-Supervisory</t>
  </si>
  <si>
    <t>01-03-8202-0 Maintenance Supplies</t>
  </si>
  <si>
    <t>01-13-8510-0 Capital Reserve Fund</t>
  </si>
  <si>
    <t>01-01-8510-0 Transfer To Other Funds</t>
  </si>
  <si>
    <t>31-10-8260-0 Telephone</t>
  </si>
  <si>
    <t>and DRA seminars</t>
  </si>
  <si>
    <t>01-08-8280-0 General Insurance</t>
  </si>
  <si>
    <t>01-08-8300-0 Travel &amp; Meetings</t>
  </si>
  <si>
    <t>Hillsborough Registry transfers on-line &amp; recordings</t>
  </si>
  <si>
    <t>Temp - Part-time</t>
  </si>
  <si>
    <t>Hardware, safety equipment, oxygen/acetylene, parts clnr., welding supplies</t>
  </si>
  <si>
    <t xml:space="preserve">01-25-8892-0 Heating/ Electric Assistance Fund </t>
  </si>
  <si>
    <t>Alarm System Monitor</t>
  </si>
  <si>
    <t>Ballistic Vests</t>
  </si>
  <si>
    <t xml:space="preserve">General    </t>
  </si>
  <si>
    <t>State of NH operator licenses</t>
  </si>
  <si>
    <t>31-10-8136-0 Unemployment Compensation</t>
  </si>
  <si>
    <t>31-10-8201-0 Office Supplies</t>
  </si>
  <si>
    <t>Copier paper and toner, computer paper and supplies, file folders,</t>
  </si>
  <si>
    <t>01-24-8128-0 Retirement</t>
  </si>
  <si>
    <t>01-24-8131-0 Health Insurance</t>
  </si>
  <si>
    <t>01-24-8132-0 Dental Insurance</t>
  </si>
  <si>
    <t>Prosecutor</t>
  </si>
  <si>
    <t>8103 Prosecutor</t>
  </si>
  <si>
    <t>01-08-8322-0 Maintenance-Grounds</t>
  </si>
  <si>
    <t>01-24-8352-0 Education &amp; Training</t>
  </si>
  <si>
    <t>01-24-8359-0 Other Outside Services</t>
  </si>
  <si>
    <t>01-05-8352-0 Education &amp; Training</t>
  </si>
  <si>
    <t>Assistant Assessor</t>
  </si>
  <si>
    <t>Town Manager Adjustment</t>
  </si>
  <si>
    <t>Clerk - document scanning</t>
  </si>
  <si>
    <t>01-15-8133-0 Life Insurance</t>
  </si>
  <si>
    <t>Department heads</t>
  </si>
  <si>
    <t>Teamsters - boot allowance</t>
  </si>
  <si>
    <t>Teamsters - uniform service</t>
  </si>
  <si>
    <t>AFSCME - boot allowance</t>
  </si>
  <si>
    <t>8107- Per Diem</t>
  </si>
  <si>
    <t>01-02-8332-0 Maintenance - Vehicles</t>
  </si>
  <si>
    <t>01-16-8134-0 Disability Insurance</t>
  </si>
  <si>
    <t>01-16-8135-0 Workers Compensation</t>
  </si>
  <si>
    <t>01-13-8332-0 Maintenance-Vehicles</t>
  </si>
  <si>
    <t>8103</t>
  </si>
  <si>
    <t>Drinking water service</t>
  </si>
  <si>
    <t>CDL drug testing</t>
  </si>
  <si>
    <t>Septic tank pumping</t>
  </si>
  <si>
    <t>Property and liability insurance</t>
  </si>
  <si>
    <t>Legal notices and bid advertisements</t>
  </si>
  <si>
    <t>01-01-8135-0 Workers Compensation</t>
  </si>
  <si>
    <t>01-08-8351-0 Consultants</t>
  </si>
  <si>
    <t>01-08-8352-0 Education &amp; Training</t>
  </si>
  <si>
    <t>01-08-8354-0 Traffic Control Devices</t>
  </si>
  <si>
    <t>01-01-8501-0 Land</t>
  </si>
  <si>
    <t>01-13-8103-0 Wages - Supervisory</t>
  </si>
  <si>
    <t>01-01-8220-0 Printing</t>
  </si>
  <si>
    <t>Town Report</t>
  </si>
  <si>
    <t>01-17-8331-0 Maintenance-Machinery</t>
  </si>
  <si>
    <t>Computer paper and supplies</t>
  </si>
  <si>
    <t>Other office supplies</t>
  </si>
  <si>
    <t>01-04-8203-0 Operating Supplies</t>
  </si>
  <si>
    <t>Photography supplies</t>
  </si>
  <si>
    <t>01-25-8280-0 General Insurance</t>
  </si>
  <si>
    <t>01-25-8300-0 Travel &amp; Meetings</t>
  </si>
  <si>
    <t>Teaching and promotional materials</t>
  </si>
  <si>
    <t>01-02-8230-0 Postage</t>
  </si>
  <si>
    <t>01-04-8241-0 Electricity</t>
  </si>
  <si>
    <t>01-04-8244-0 Water</t>
  </si>
  <si>
    <t>01-04-8245-0 Sewer</t>
  </si>
  <si>
    <t>32-32-8128-0 Retirement</t>
  </si>
  <si>
    <t>32-32-8131-0 Health Insurance</t>
  </si>
  <si>
    <t>32-32-8132-0 Dental Insurance</t>
  </si>
  <si>
    <t>32-32-8133-0 Life Insurance</t>
  </si>
  <si>
    <t>NH Firemen's Association Membership</t>
  </si>
  <si>
    <t>01-24-8136-0 Unemployment Compensation</t>
  </si>
  <si>
    <t>01-08-8244-0 Water</t>
  </si>
  <si>
    <t>01-08-8250-0 Vehicle Fuel</t>
  </si>
  <si>
    <t>01-08-8260-0 Telephone</t>
  </si>
  <si>
    <t>01-03-8111-0 Overtime - Other</t>
  </si>
  <si>
    <t>Technical and professional meetings</t>
  </si>
  <si>
    <t>01-07-8334-0 Maintenance-Office Equipment</t>
  </si>
  <si>
    <t>8107 - Other</t>
  </si>
  <si>
    <t>01-03-8201-0 Office Supplies</t>
  </si>
  <si>
    <t>Firearms instructors</t>
  </si>
  <si>
    <t>01-02-8131-0 Health Insurance</t>
  </si>
  <si>
    <t>Medical supplies not replaced by Hospital</t>
  </si>
  <si>
    <t>Medical Supplies, Oxygen Cylinders</t>
  </si>
  <si>
    <t>Fire extinguisher Dry Chemical refills, maintenance and replacement</t>
  </si>
  <si>
    <t>Emergency Medical Certifications and Training:</t>
  </si>
  <si>
    <t>Other operating expenses 8201 - 8459</t>
  </si>
  <si>
    <t>Capital outlay 8502 - 8910</t>
  </si>
  <si>
    <t>01-09-8352-0 Education &amp; Training</t>
  </si>
  <si>
    <t>01-09-8359-0 Other Outside Services</t>
  </si>
  <si>
    <t>01-09-8388-0 Special Waste Disposal</t>
  </si>
  <si>
    <t>01-17-8136-0 Unemployment Compensation</t>
  </si>
  <si>
    <t>01-07-8260-0 Telephone</t>
  </si>
  <si>
    <t>Continuing education</t>
  </si>
  <si>
    <t xml:space="preserve">Temp - Part-time Tax </t>
  </si>
  <si>
    <t>01-02-8103-0 Wages - Field Personnel</t>
  </si>
  <si>
    <t>Assessing Coordinator</t>
  </si>
  <si>
    <t>DRA intensive training courses</t>
  </si>
  <si>
    <t>01-08-8230-0 Postage</t>
  </si>
  <si>
    <t>Outside technical support on computer systems</t>
  </si>
  <si>
    <t>College Course Tuition Reimbursement:</t>
  </si>
  <si>
    <t>Deputy Finance Director</t>
  </si>
  <si>
    <t>Town Council- Minutes</t>
  </si>
  <si>
    <t>Heron Cove</t>
  </si>
  <si>
    <t>Freight charges , Certified Mail, and Mail</t>
  </si>
  <si>
    <t>8107 &gt;$14,000</t>
  </si>
  <si>
    <t>Information Network</t>
  </si>
  <si>
    <t xml:space="preserve">Software, upgrades, etc.  </t>
  </si>
  <si>
    <t>GMILCS consortium + CBC + automation</t>
  </si>
  <si>
    <t>Librarica (CASSIE)</t>
  </si>
  <si>
    <t xml:space="preserve">Total </t>
  </si>
  <si>
    <t>Deputy Public Works Director/Town Engineer</t>
  </si>
  <si>
    <t>01-07-8203-0perating Supplies</t>
  </si>
  <si>
    <t>Summer Help (4 maintainers x 12 weeks)</t>
  </si>
  <si>
    <t>Fleet AVL/GPS</t>
  </si>
  <si>
    <t>MUTCD-required guide and/regulatory sign replacement</t>
  </si>
  <si>
    <t>Asphalt pile recyling</t>
  </si>
  <si>
    <t>Extended hours and snow removal</t>
  </si>
  <si>
    <t>Trash hauling, snow removal, extended schedule and</t>
  </si>
  <si>
    <t xml:space="preserve">Copier paper and toner, computer paper and supplies, </t>
  </si>
  <si>
    <t>baling supplies</t>
  </si>
  <si>
    <t>CMA Engineers</t>
  </si>
  <si>
    <t>Sampling and laboratory analysis water quality</t>
  </si>
  <si>
    <t>Sampling and laboratory analysis landfill soil gas</t>
  </si>
  <si>
    <t>01-16-8334-0 Maintenance-Office Equipment</t>
  </si>
  <si>
    <t>Custodian P.D.</t>
  </si>
  <si>
    <t>Sewer Inspector</t>
  </si>
  <si>
    <t>and holidays and on call</t>
  </si>
  <si>
    <t>Compost facility (meter charge 1")</t>
  </si>
  <si>
    <t>-</t>
  </si>
  <si>
    <t>On Call / Per-Diem EMS Attendant Protective Clothing</t>
  </si>
  <si>
    <t>NH Fire Academy Continuing Education Programs (FF III, ICS, Command etc.)</t>
  </si>
  <si>
    <t>New Hampshire Building Officials Association dues</t>
  </si>
  <si>
    <t>New England Health Association dues</t>
  </si>
  <si>
    <t>Health Serve Safe Certification (Food Safety)</t>
  </si>
  <si>
    <t xml:space="preserve">  Education, Seminars, Presentations, and Training</t>
  </si>
  <si>
    <t xml:space="preserve">  Website Hosting Servicess</t>
  </si>
  <si>
    <t>DMV Training</t>
  </si>
  <si>
    <t>ACIM (A Child Is Missing Alert)</t>
  </si>
  <si>
    <t>General Building Renovations</t>
  </si>
  <si>
    <t>01-16-8352-0 Education &amp; Training</t>
  </si>
  <si>
    <t xml:space="preserve">Survey supplies, stakes, nails, marking paint and </t>
  </si>
  <si>
    <t>Virtual Town Hall</t>
  </si>
  <si>
    <t>Heat (Gas)</t>
  </si>
  <si>
    <t>Post Office (PO) Box</t>
  </si>
  <si>
    <t>Telephone &amp; Internet</t>
  </si>
  <si>
    <t xml:space="preserve">water and sewer </t>
  </si>
  <si>
    <t>Seminars and courses</t>
  </si>
  <si>
    <t>Technology Coordinator/Computer tech - seminars and conferences</t>
  </si>
  <si>
    <t>Deputy Finance Director - conferences and seminars</t>
  </si>
  <si>
    <t>NHAAO and DRA meetings, NHAAO and conferences,</t>
  </si>
  <si>
    <t>Repair of radio base station, portable radios, and mobile radios, radio system upgrades</t>
  </si>
  <si>
    <t>Seminars, conferences, and meeting registrations</t>
  </si>
  <si>
    <t>Seminars, conferences, and meetings travel and related expenses</t>
  </si>
  <si>
    <t>Copier paper and toner, computer paper and supplies, and miscellaneous supplies</t>
  </si>
  <si>
    <t>Master Fire Fighter</t>
  </si>
  <si>
    <t>Fire Fighter - Paramedic</t>
  </si>
  <si>
    <t>Firefighter</t>
  </si>
  <si>
    <t>Bishop field</t>
  </si>
  <si>
    <t xml:space="preserve">  Town Paid internet</t>
  </si>
  <si>
    <t xml:space="preserve">   Total reimbursed to historical society</t>
  </si>
  <si>
    <t>Checks</t>
  </si>
  <si>
    <t>Office Supplies</t>
  </si>
  <si>
    <t>Seminars / Meetings / Other than Certifications</t>
  </si>
  <si>
    <t>01-06-8321-0 Maintenance-Buildings &amp; Grounds</t>
  </si>
  <si>
    <t>Assistant Chief  Support Services</t>
  </si>
  <si>
    <t>Paramedic In-house Educational Shift Class Coverage</t>
  </si>
  <si>
    <t>Emergency Call Back</t>
  </si>
  <si>
    <t>Holidays - 10 holidays X 24 hr. X 2 personnel</t>
  </si>
  <si>
    <t>CPR AED Supplies</t>
  </si>
  <si>
    <t>Cost Ea.</t>
  </si>
  <si>
    <t xml:space="preserve"> wireless for laptops</t>
  </si>
  <si>
    <t xml:space="preserve">  Supervisors of Checklist - 600 hr X $10</t>
  </si>
  <si>
    <t>T-shirts</t>
  </si>
  <si>
    <t>Watson Park</t>
  </si>
  <si>
    <t>NH Rec and Park Association</t>
  </si>
  <si>
    <t>Fourth of July Celebration - Parade &amp; Fun Day</t>
  </si>
  <si>
    <t>Winter carnival (Port-a-potty, activity items)</t>
  </si>
  <si>
    <t>Lifeguards &amp; 4th of July</t>
  </si>
  <si>
    <t>Dispatching seminars &amp; Training</t>
  </si>
  <si>
    <t>Emergency Field First Aid supplies</t>
  </si>
  <si>
    <t>Welfare Software Maintenance Fee</t>
  </si>
  <si>
    <t xml:space="preserve">Adult fiction </t>
  </si>
  <si>
    <t>Adult non-fiction</t>
  </si>
  <si>
    <t xml:space="preserve">Reference </t>
  </si>
  <si>
    <t>Periodicals - Newspapers</t>
  </si>
  <si>
    <t>Professional Non-Fiction</t>
  </si>
  <si>
    <t>CDs</t>
  </si>
  <si>
    <t>Video Games</t>
  </si>
  <si>
    <t>Property, liability and auto insurance</t>
  </si>
  <si>
    <t xml:space="preserve">Sprinkler system </t>
  </si>
  <si>
    <t>Maintenance of lawn mowers, bagger for mower, snowblowers and vacuum cleaners</t>
  </si>
  <si>
    <t>log books and miscellaneous supplies</t>
  </si>
  <si>
    <t>Skid steer, loader, forklift and truck</t>
  </si>
  <si>
    <t>Diesel fuel: road tractors, loader and 1-ton truck</t>
  </si>
  <si>
    <t>Unleaded gasoline: pickup truck, mowers and other equipment</t>
  </si>
  <si>
    <t>Building repair, maintenanceand minor improvements</t>
  </si>
  <si>
    <t>Seeds, fertilizer and plants</t>
  </si>
  <si>
    <t>Printer, copier, alarm system, scale systems and computer</t>
  </si>
  <si>
    <t>Misc. wastes - light bulbs, propane tanks, etc.</t>
  </si>
  <si>
    <t>Solid Waste Attendant</t>
  </si>
  <si>
    <t>ESRI-GIS (software maintenance)</t>
  </si>
  <si>
    <t>Total Station calibration</t>
  </si>
  <si>
    <t xml:space="preserve">Computer equipment </t>
  </si>
  <si>
    <t>Farmers market assistant</t>
  </si>
  <si>
    <t>stationery, software and miscellaneous supplies</t>
  </si>
  <si>
    <t>Uniform service-Part Time</t>
  </si>
  <si>
    <t>Mailing of monthly reports, correspondence and UPS shipping</t>
  </si>
  <si>
    <t>2-Compost hydrant charge 6"</t>
  </si>
  <si>
    <t>Conferences) and mileage reimbursement</t>
  </si>
  <si>
    <t>VueWorks Software Support (Asset Management Software)</t>
  </si>
  <si>
    <t>Utility billing software support-Avitar</t>
  </si>
  <si>
    <t>Seminars, courses and state certification training</t>
  </si>
  <si>
    <t>Allocation of general fund administrative costs</t>
  </si>
  <si>
    <t>Hazardous &amp; universal waste removal</t>
  </si>
  <si>
    <t>Drug and alcohol- DOT testing</t>
  </si>
  <si>
    <t>Computer replacements, installation and set up</t>
  </si>
  <si>
    <t>Transfer to sewer infrastructure Capital Reserve Fund</t>
  </si>
  <si>
    <t xml:space="preserve">Copier paper, ink cartridges, binders, file folders, log books, time cards </t>
  </si>
  <si>
    <t>supplies, batteries, propane and hand tools</t>
  </si>
  <si>
    <t>Uniform allowance - Teamsters</t>
  </si>
  <si>
    <t>Travel to meetings, workshops, seminars, and training sessions; travel to random CDL testing</t>
  </si>
  <si>
    <t>painting and other building repairs, oil/water separator</t>
  </si>
  <si>
    <t xml:space="preserve">  Seeding (30% coverage rate)</t>
  </si>
  <si>
    <t xml:space="preserve">  Fertilizer (2 applications)</t>
  </si>
  <si>
    <t>berms, sluiceways and catch basins</t>
  </si>
  <si>
    <t>Seminars, courses, conferences and training materials</t>
  </si>
  <si>
    <t>in-house sign making and traffic marking paint</t>
  </si>
  <si>
    <t>Police details</t>
  </si>
  <si>
    <t>Volunteer supplies, Public Work Week outreach and MS4 education</t>
  </si>
  <si>
    <t>Traffic Light Preemption</t>
  </si>
  <si>
    <t>Excess Sick Leave Purchase</t>
  </si>
  <si>
    <t>Maintenance of vehicles, light and heavy equipment</t>
  </si>
  <si>
    <t>Nixel</t>
  </si>
  <si>
    <t>Office Administration (100)</t>
  </si>
  <si>
    <t>8111 - overtime</t>
  </si>
  <si>
    <t>8111 Overtime</t>
  </si>
  <si>
    <t>TM Adjustment</t>
  </si>
  <si>
    <t>01-08-8505-0 Infrastructure/Paving</t>
  </si>
  <si>
    <t xml:space="preserve">Road Infrastructure Capital Reserve Fund </t>
  </si>
  <si>
    <t>33-33-8363-0 Fire Protection Area</t>
  </si>
  <si>
    <t>Employee cost sharing  10%</t>
  </si>
  <si>
    <t>Short courses, technical seminars, conferences, books and APWA national conference</t>
  </si>
  <si>
    <t>01-25-8504-0 Office Equipment</t>
  </si>
  <si>
    <t>01-09-8504-0 Office Equipment</t>
  </si>
  <si>
    <t>01-09-8356-0 Solid Waste Disposal Constr &amp; Demolition materials</t>
  </si>
  <si>
    <t>01-08-8504-0 Office Equipment</t>
  </si>
  <si>
    <t>Registration Software for Recreation Programs</t>
  </si>
  <si>
    <t>Compost</t>
  </si>
  <si>
    <t>Phase II</t>
  </si>
  <si>
    <t>Phase II and Compost</t>
  </si>
  <si>
    <t xml:space="preserve">   Less revenues</t>
  </si>
  <si>
    <t>Chairs-Replacement (Dispatch Console)</t>
  </si>
  <si>
    <t>Taser Replacement Program</t>
  </si>
  <si>
    <t>Camera / Recorder - Detectives</t>
  </si>
  <si>
    <t>Part Time Admin Clerk</t>
  </si>
  <si>
    <t>Station Shift Coverage (Vacation, Personal Time, 50% sick Time)</t>
  </si>
  <si>
    <t>Telephone cost allocation for Station 1, 2 and 3</t>
  </si>
  <si>
    <t xml:space="preserve">Service truck </t>
  </si>
  <si>
    <t>Fleet maintenance courses and Emergency Vehicle Technician</t>
  </si>
  <si>
    <t>Lawn services</t>
  </si>
  <si>
    <t>Hand tools, safety, and misc items</t>
  </si>
  <si>
    <t>Flagger for working in railroad right-of-way</t>
  </si>
  <si>
    <t>Minor repairs to sewer manholes &amp; sewer line root control</t>
  </si>
  <si>
    <t>Summer Library Student Intern - Youth Services 10 weeks @ 20H</t>
  </si>
  <si>
    <t>01-15-8143 Incentive</t>
  </si>
  <si>
    <t>OverDrive (NHSL downloadable, books, audio, magazines)</t>
  </si>
  <si>
    <t>Sewer Pump Maintenance agreement  -Police</t>
  </si>
  <si>
    <t>Holiday pay - 10 holidays X 8 hr X 7 employees</t>
  </si>
  <si>
    <t>PT - Animal Control Officer</t>
  </si>
  <si>
    <t>31-10-8143-0 EMPLOYEE INCENTIVES/Raises</t>
  </si>
  <si>
    <t>01-15-8260-0 Telephone &amp; Services</t>
  </si>
  <si>
    <t xml:space="preserve">424-5021  - 5 lines bundled </t>
  </si>
  <si>
    <t>429-0576 Line 2</t>
  </si>
  <si>
    <t>424-8519 Burglar Alarm</t>
  </si>
  <si>
    <t>Employee recruitment ads and public notices; community outreach; marketing</t>
  </si>
  <si>
    <t>01-09-8107-0 Wages - Part-Time</t>
  </si>
  <si>
    <t>31-27-8612-0 Principal - Long-Term Debt</t>
  </si>
  <si>
    <t>31-27-8614-0 Principal - Long-Term Debt</t>
  </si>
  <si>
    <t>31-27-8611-0 Interest - Long-Term Debt</t>
  </si>
  <si>
    <t>On-call Dispatchers</t>
  </si>
  <si>
    <t>College course tuition reimbursement - NEPBA112</t>
  </si>
  <si>
    <t>Master Firefighter - Paramedic</t>
  </si>
  <si>
    <t>Wing Rate</t>
  </si>
  <si>
    <t>and brochures and meals (over 14 hours of work during an emergency)</t>
  </si>
  <si>
    <t>Full-time employees - NEPBA 12</t>
  </si>
  <si>
    <t>Employee cost sharing - NEPBA 12</t>
  </si>
  <si>
    <t>Full-time employees - AFSCME 3657</t>
  </si>
  <si>
    <t>Full-time employees - NEPBA 112</t>
  </si>
  <si>
    <t>01-09-8503-0 Vehicles</t>
  </si>
  <si>
    <t>01-17-8359-0 Other Outside Services</t>
  </si>
  <si>
    <t>8104 - Program Manager</t>
  </si>
  <si>
    <t>Wasserman Park facilities and outdoor lighting</t>
  </si>
  <si>
    <t>AFSCME 3657</t>
  </si>
  <si>
    <t>Operator I</t>
  </si>
  <si>
    <t>Operator II</t>
  </si>
  <si>
    <t>Maintainer I</t>
  </si>
  <si>
    <t>20-13-8375-0 Day Camp Moved to revolving fund</t>
  </si>
  <si>
    <t xml:space="preserve">Waterfront Director hours divided between town and camp - 20 hr x 9 wk </t>
  </si>
  <si>
    <t>Access Control / Security System Maintenance (PMI) Agreement</t>
  </si>
  <si>
    <t>Criminal  &amp; Driving records checks</t>
  </si>
  <si>
    <t>Educational Incentive</t>
  </si>
  <si>
    <t>Museum Passes ( Library Insight)</t>
  </si>
  <si>
    <t>EMS Training Requirements</t>
  </si>
  <si>
    <t>Auto Pulse Bands</t>
  </si>
  <si>
    <t>EZIO Needles</t>
  </si>
  <si>
    <t>Custodian Town Hall - Nights</t>
  </si>
  <si>
    <t>Adult Community Center (General Maintenance)</t>
  </si>
  <si>
    <t>Maintenance of B&amp;G Vehicles</t>
  </si>
  <si>
    <t xml:space="preserve">Fleet management license agreement </t>
  </si>
  <si>
    <t>NH Land Surveyor</t>
  </si>
  <si>
    <t>Cadnet</t>
  </si>
  <si>
    <t>Internet service (Business Class)</t>
  </si>
  <si>
    <t>01-09-8502-0 Buildings</t>
  </si>
  <si>
    <t xml:space="preserve">and miscellaneous supplies. </t>
  </si>
  <si>
    <t>Minor repairs to Park buildings, winterizing, fuel island repairs, etc.</t>
  </si>
  <si>
    <t>Field maintenance (Martel, Twardosky, Watson):</t>
  </si>
  <si>
    <t>Mosquito control application process to State</t>
  </si>
  <si>
    <t>Building repairs</t>
  </si>
  <si>
    <t>Mechanic II</t>
  </si>
  <si>
    <t xml:space="preserve">  Employees - NHRS Group I - age 60  - 1</t>
  </si>
  <si>
    <t>Sunset Shores Pump Stations (3)</t>
  </si>
  <si>
    <t>Plant boilers</t>
  </si>
  <si>
    <t>Heating remote buildings and generator operation</t>
  </si>
  <si>
    <t>Diesel fuel - loaders, roll off truck, sewer vac and skid steers</t>
  </si>
  <si>
    <t>Seminars, meetings, conferences (including WEF, VUEWorks,</t>
  </si>
  <si>
    <t>Hutchinson Tower</t>
  </si>
  <si>
    <t>Job related training and seminars</t>
  </si>
  <si>
    <t>8104 - Other Full-time</t>
  </si>
  <si>
    <t>Electrical and plumbing supplies, ice melt and hand tools</t>
  </si>
  <si>
    <t>Technology Coordinator</t>
  </si>
  <si>
    <t xml:space="preserve">Full-time employees - Union (IAFF) </t>
  </si>
  <si>
    <t xml:space="preserve">Full-time employees - Union (AFSCME 3657) </t>
  </si>
  <si>
    <t xml:space="preserve">Emergency Call Back </t>
  </si>
  <si>
    <t xml:space="preserve">Station Shift Coverage (Vacation, Sick Time, Personnel Time, etc.) </t>
  </si>
  <si>
    <t xml:space="preserve">AFSCME 93 </t>
  </si>
  <si>
    <t>(5021 Line 1; 7536 Line 3; 8456 Fire Alarm; 2519 &amp; 7537 DSL)</t>
  </si>
  <si>
    <t>General Fund Totals</t>
  </si>
  <si>
    <t xml:space="preserve">01 - GENERAL GOVERNMENT </t>
  </si>
  <si>
    <t>08 - HIGHWAY</t>
  </si>
  <si>
    <t>02 - ASSESSING</t>
  </si>
  <si>
    <t>03- FIRE</t>
  </si>
  <si>
    <t>04 - POLICE</t>
  </si>
  <si>
    <t>05 - COMMUNICATIONS</t>
  </si>
  <si>
    <t>06 - Code Enforcement</t>
  </si>
  <si>
    <t>07 - PUBLIC WORKS ADMINISTRATION</t>
  </si>
  <si>
    <t>09 - SOLID WASTE DISPOSAL</t>
  </si>
  <si>
    <t>13 - PARKS &amp; RECREATION</t>
  </si>
  <si>
    <t>15 - LIBRARY</t>
  </si>
  <si>
    <t>16 - EQUIPMENT MAINTENANCE</t>
  </si>
  <si>
    <t>17 - BUILDINGS &amp; GROUNDS</t>
  </si>
  <si>
    <t>21 - COMMUNITY DEVELOPMENT</t>
  </si>
  <si>
    <t>24 - TOWN CLERK/TAX COLLECTOR</t>
  </si>
  <si>
    <t>25 - WELFARE</t>
  </si>
  <si>
    <t>27 -DEBT SERVICE</t>
  </si>
  <si>
    <t>31-27 WWTF DEBT SERVICE</t>
  </si>
  <si>
    <t>10 - WASTEWATER TREATMENT</t>
  </si>
  <si>
    <t>32 - MEDIA</t>
  </si>
  <si>
    <t>33 - Fire Protection Area</t>
  </si>
  <si>
    <t>20 -Self Supporting Fund</t>
  </si>
  <si>
    <t>01-13-8104-0 Wages - Other Full-Time</t>
  </si>
  <si>
    <t>Grand Total All FUNDS</t>
  </si>
  <si>
    <t xml:space="preserve">Animal Control Officer </t>
  </si>
  <si>
    <t>Fuction Hall (propane)</t>
  </si>
  <si>
    <t>Wage Adjustment</t>
  </si>
  <si>
    <t>32-32-8143-0 EMPLOYEE INCENTIVES/Raises</t>
  </si>
  <si>
    <t>Misc.</t>
  </si>
  <si>
    <t>01-01-8128-0 Retirement</t>
  </si>
  <si>
    <t>Highway Facility Project Bond</t>
  </si>
  <si>
    <t>01-07-8111-0 Overtime - Other</t>
  </si>
  <si>
    <t>01-21-8111-0 Overtime - Other</t>
  </si>
  <si>
    <t>31-10-8502-0 Buildings</t>
  </si>
  <si>
    <t>31-10-8505-0 Infrastructure</t>
  </si>
  <si>
    <t>32-32-8502-0 Building Improvements</t>
  </si>
  <si>
    <t xml:space="preserve">8105 </t>
  </si>
  <si>
    <t xml:space="preserve">8111 </t>
  </si>
  <si>
    <t>Wifi Function Hall</t>
  </si>
  <si>
    <t>Bishop Field</t>
  </si>
  <si>
    <t>A&amp;E Public Safety Building</t>
  </si>
  <si>
    <t>01-27-8607-0 Interest - Long-Term Debt</t>
  </si>
  <si>
    <t>01-27-8609-0 Principal - Long-Term Debt</t>
  </si>
  <si>
    <t>2017 Highway Garage Improvements</t>
  </si>
  <si>
    <t>Deputy Chief</t>
  </si>
  <si>
    <t xml:space="preserve"> NEBPA 12</t>
  </si>
  <si>
    <t>Industrial Pretreat Mgr</t>
  </si>
  <si>
    <t>Asst. Maint. MGR.</t>
  </si>
  <si>
    <t>CPAP</t>
  </si>
  <si>
    <t>Firefighter Protective Clothing</t>
  </si>
  <si>
    <t>Advanced EMT Course</t>
  </si>
  <si>
    <t>Master Firefighter Test (Union Contract)</t>
  </si>
  <si>
    <t>Holiday pay - Captains Lieutenants Admin Officer and Fire Marshal</t>
  </si>
  <si>
    <t>Paramedic In-house Educational Development Program</t>
  </si>
  <si>
    <t>IAFF 2904</t>
  </si>
  <si>
    <t>The Front Door Agency - (Emergency assistance, Security Deposit, Housing)</t>
  </si>
  <si>
    <t>NHPA dues, APA/AICP Dues, NHEDA Dues</t>
  </si>
  <si>
    <t>State planning and zoning workshops (for board members)</t>
  </si>
  <si>
    <t>Other training and professional development (staff members)</t>
  </si>
  <si>
    <t xml:space="preserve">  Commercial Printing of property pamphlets &amp; maps</t>
  </si>
  <si>
    <t xml:space="preserve">  Memberships:   NH Association of Conservation Commissions</t>
  </si>
  <si>
    <t>PCI Compliance Training (annual re: credit/debit card processing)</t>
  </si>
  <si>
    <t>National Recreation &amp; Park Association</t>
  </si>
  <si>
    <t>Seasonal activities - Movies in the Park</t>
  </si>
  <si>
    <t>Physicals, psychological exams, drug tests, and written entrance exams</t>
  </si>
  <si>
    <t>Mobile Messaging License</t>
  </si>
  <si>
    <t>overdue notices, interlibrary loan books, general correspondence</t>
  </si>
  <si>
    <t>Website hosting annual fee</t>
  </si>
  <si>
    <t>Email hosting annual fee; service</t>
  </si>
  <si>
    <t>Computer and printer maintenance</t>
  </si>
  <si>
    <t xml:space="preserve">Bindery </t>
  </si>
  <si>
    <t>audio books</t>
  </si>
  <si>
    <t xml:space="preserve">Video  </t>
  </si>
  <si>
    <t>Summer engineering student - 3</t>
  </si>
  <si>
    <t>NH Septic Evaluator License</t>
  </si>
  <si>
    <t>Misc., National Public Works Week, PW Open House</t>
  </si>
  <si>
    <t xml:space="preserve">Diagnostic Equipment Software &amp; Updates </t>
  </si>
  <si>
    <t>Pest control (Termites, Ants, Rodents, Etc.) TH &amp; PD &amp; ACC</t>
  </si>
  <si>
    <t>Plowing Municipal Lots</t>
  </si>
  <si>
    <t xml:space="preserve">2 Interns - Summer 440 hours each - Interns to assist </t>
  </si>
  <si>
    <t xml:space="preserve">        Sewer/Pretreatment Program/Lab/Collections System</t>
  </si>
  <si>
    <t>1-Year round, part time maintainer (24 hours/week)</t>
  </si>
  <si>
    <t xml:space="preserve">City of Nashua </t>
  </si>
  <si>
    <t xml:space="preserve">Trucks, loaders and sewer cleaner </t>
  </si>
  <si>
    <t>Summer Maintainer T-shirts and safety boot allowance</t>
  </si>
  <si>
    <t>All-weather picnic tables (long lasting) (Replace 5 per year)</t>
  </si>
  <si>
    <t>Irrigation maintenance - (Vets, Reeds, Bise and Bishop)</t>
  </si>
  <si>
    <t>NE Resource Recovery Association</t>
  </si>
  <si>
    <t>Maintenenace software for Scale</t>
  </si>
  <si>
    <t>Chargers and batteries for vehicle and portable radios</t>
  </si>
  <si>
    <t>Crime Scene vehicle replacement upfit</t>
  </si>
  <si>
    <t>01-21-8503-0 Vehicle</t>
  </si>
  <si>
    <t>Pool Car</t>
  </si>
  <si>
    <t>45 - Capital Project Fund</t>
  </si>
  <si>
    <t xml:space="preserve">  10 holidays X 10 hours X 9 officers = 900 hours</t>
  </si>
  <si>
    <t>Unemployment compensation - .18%</t>
  </si>
  <si>
    <t>Last Rest Cemetery</t>
  </si>
  <si>
    <t>Milfoil Treatment Expendable trust</t>
  </si>
  <si>
    <t>8107 - Part Time &gt; $14,000</t>
  </si>
  <si>
    <t>8107 - Part Time &lt; $14,000</t>
  </si>
  <si>
    <t>8107 &gt; $14,000</t>
  </si>
  <si>
    <t>8107 - Part Time &gt;$14,000</t>
  </si>
  <si>
    <t>Personnel services 8102 - 8136</t>
  </si>
  <si>
    <t>SPO2 Adult/Pediatric</t>
  </si>
  <si>
    <t>International Association Chief of Police (IACP) Model Policy update and subscription service</t>
  </si>
  <si>
    <r>
      <t xml:space="preserve">01-25-8491-0 Other </t>
    </r>
    <r>
      <rPr>
        <sz val="8"/>
        <rFont val="Times New Roman"/>
        <family val="1"/>
      </rPr>
      <t>(property taxes, sewer, water, and personal maintenance)</t>
    </r>
  </si>
  <si>
    <t>Asst Director Waste Water</t>
  </si>
  <si>
    <t>Laptops for patrol vehicles</t>
  </si>
  <si>
    <t>Crossing Guards</t>
  </si>
  <si>
    <t>Pearson Rd. / Reeds Ferry School Ball field</t>
  </si>
  <si>
    <t>Turkey Hill &amp; Martel</t>
  </si>
  <si>
    <t>Matthew Thornton Room Cameras and Equipment</t>
  </si>
  <si>
    <t>8101 - Medicare only</t>
  </si>
  <si>
    <t>8101 - exempt</t>
  </si>
  <si>
    <t>8107 Other</t>
  </si>
  <si>
    <t>01-01-8502-0 Building Improvements</t>
  </si>
  <si>
    <t>01-09-8460-0 Miscellaneous Expenses</t>
  </si>
  <si>
    <t>01-17-8203-0 Operating Supplies</t>
  </si>
  <si>
    <t>01-17-8212-0 Equipment Rental</t>
  </si>
  <si>
    <t>01-24-8460-0 Misc Operating Expenses</t>
  </si>
  <si>
    <t>31-10-8220-0 Printing</t>
  </si>
  <si>
    <t>45-45-8505-0 Infrastructure</t>
  </si>
  <si>
    <t>Workers compensation - 0.15%</t>
  </si>
  <si>
    <t xml:space="preserve">Pump station monitoring </t>
  </si>
  <si>
    <t>Comcast</t>
  </si>
  <si>
    <t>Liability insurance allocation</t>
  </si>
  <si>
    <t>Modems</t>
  </si>
  <si>
    <t>Detectives Secretary</t>
  </si>
  <si>
    <t xml:space="preserve">Prosecutor Secretary </t>
  </si>
  <si>
    <t>Solid Waste Equipment Operator III</t>
  </si>
  <si>
    <t>Solid Waste Recycling Attendant</t>
  </si>
  <si>
    <t>Operator II/ Lab Tech</t>
  </si>
  <si>
    <t>GASB actuarial services</t>
  </si>
  <si>
    <t>Business cards and forms.</t>
  </si>
  <si>
    <t>Family Promise (Anne Marie Transitional Housing for homeless families)</t>
  </si>
  <si>
    <t>Credit card terminals</t>
  </si>
  <si>
    <t>Master Plan Implementation (if needed/deemed necessary)</t>
  </si>
  <si>
    <t>Economic development activities</t>
  </si>
  <si>
    <t>Amazon Prime</t>
  </si>
  <si>
    <t>Constant Contact</t>
  </si>
  <si>
    <t>Notary + Justice of the Peace</t>
  </si>
  <si>
    <t>Niche Academy</t>
  </si>
  <si>
    <t>3M eBooks (Cloud)</t>
  </si>
  <si>
    <t xml:space="preserve">Merrimack River - WWTF Coalition </t>
  </si>
  <si>
    <t/>
  </si>
  <si>
    <t xml:space="preserve">RDT Drum  - </t>
  </si>
  <si>
    <t>Professional services - permit renewals/compliance</t>
  </si>
  <si>
    <t>Plumber Services</t>
  </si>
  <si>
    <t>Electrician Services</t>
  </si>
  <si>
    <t>Door/Security Maintenance</t>
  </si>
  <si>
    <t>Irrigation Maintenance</t>
  </si>
  <si>
    <t>Repairs to Gazebo at Abbie Griffin Park</t>
  </si>
  <si>
    <t>Maintenance Supplies</t>
  </si>
  <si>
    <t>safety supplies/PPE</t>
  </si>
  <si>
    <t>GIS consultant support / Vueworks</t>
  </si>
  <si>
    <t>Stationery, plans, maps, business cards and forms, Door Hangers</t>
  </si>
  <si>
    <t>Cellular airtime for mobile data terminals - 10</t>
  </si>
  <si>
    <t>Schedule Anywhere</t>
  </si>
  <si>
    <t xml:space="preserve">Wasserman Park Function Hall </t>
  </si>
  <si>
    <t>Cardiac 12 Lead Pads / Dfib Pads</t>
  </si>
  <si>
    <t>Tubing (Nitro, Medication)</t>
  </si>
  <si>
    <t>Maintenance Agreement for IV Pumps</t>
  </si>
  <si>
    <t>Hydrocarbon Containment Pools, DECON Replacement Equipment</t>
  </si>
  <si>
    <t>Part Time Emergency Medical Support</t>
  </si>
  <si>
    <t>Part Time Paramedic (ALS)</t>
  </si>
  <si>
    <t>Part Time Advanced Emergency Medical Technician (ALS)</t>
  </si>
  <si>
    <t>Part Time Emergency Medical Technician (BLS)</t>
  </si>
  <si>
    <t>Part Time Fire Prevention / Inspection / Code Enforcement</t>
  </si>
  <si>
    <t>On-Call Firefighter/EMT (Volunteers)</t>
  </si>
  <si>
    <t>On-Call Fire Division (On-Call Group)</t>
  </si>
  <si>
    <t>Media Staff software</t>
  </si>
  <si>
    <t>Cablecast and local head end equipment</t>
  </si>
  <si>
    <t>Computers/RMS</t>
  </si>
  <si>
    <t>01-06-8204-0 Uniforms, Personal Protective Clothing</t>
  </si>
  <si>
    <t>01-21-8510-0 Transfer To GIS CRF</t>
  </si>
  <si>
    <t>SIU Overtime</t>
  </si>
  <si>
    <t>Custodian - Full-time</t>
  </si>
  <si>
    <t>Water analysis re: industrial pretreatment program(PFAS GenX)</t>
  </si>
  <si>
    <t xml:space="preserve">Town Hall (east &amp; west), Ambulance Garage building, </t>
  </si>
  <si>
    <t>Welfare Administrator -28 hr X 52 wk = 1,456 hr</t>
  </si>
  <si>
    <t>43 - Capital Project Fund</t>
  </si>
  <si>
    <t>43-43-8505-0 Infrastructure</t>
  </si>
  <si>
    <t>Training stipend</t>
  </si>
  <si>
    <t xml:space="preserve">Educational bonuses </t>
  </si>
  <si>
    <t>LEEDA Training II</t>
  </si>
  <si>
    <t>Equipment Operator I</t>
  </si>
  <si>
    <t>Equipment Operator II</t>
  </si>
  <si>
    <t>WWTF Phase III Bond</t>
  </si>
  <si>
    <t>2020-21</t>
  </si>
  <si>
    <t>Overtime - other</t>
  </si>
  <si>
    <t>01-05-8300-0 Travel &amp; Meetings</t>
  </si>
  <si>
    <t>01-07-8204 Uniforms</t>
  </si>
  <si>
    <t>32-32-8111-0 Overtime - Other</t>
  </si>
  <si>
    <t>Radio voting system - phone lines - (Consolidated Communications)</t>
  </si>
  <si>
    <t>Vehicle storage facility (old garage)</t>
  </si>
  <si>
    <t>Ipad Pro</t>
  </si>
  <si>
    <t>Scale House</t>
  </si>
  <si>
    <t>Band Stand</t>
  </si>
  <si>
    <t>Town Hall (east &amp; west),</t>
  </si>
  <si>
    <t>Ambulance Garage building</t>
  </si>
  <si>
    <t>Incinerator Building</t>
  </si>
  <si>
    <t>Chlorine Building</t>
  </si>
  <si>
    <t>BOT-L-GAS</t>
  </si>
  <si>
    <t>Pager Admin Fee</t>
  </si>
  <si>
    <t>Police Record Clerk</t>
  </si>
  <si>
    <t>2010 Sewer Interceptor (last yr)</t>
  </si>
  <si>
    <t>Program Manager (50/50 GF and Revolving Fund)</t>
  </si>
  <si>
    <t>Projects</t>
  </si>
  <si>
    <t>Upkeep to flag and flower beds. Park grounds, Addressing wash-out on town beach.</t>
  </si>
  <si>
    <t>Wasserman Park Tennis Court Resurfacing</t>
  </si>
  <si>
    <t xml:space="preserve">8107- Maintenance </t>
  </si>
  <si>
    <t>8103- Parks &amp; Recreation Director</t>
  </si>
  <si>
    <t>Certified mail, reg mail and shipping</t>
  </si>
  <si>
    <t>Computers 3 work stations</t>
  </si>
  <si>
    <t>Seminars</t>
  </si>
  <si>
    <t>01-05-8504-0 Office Equipment</t>
  </si>
  <si>
    <t>computer replacement</t>
  </si>
  <si>
    <t>Special Response Team Body Armor Replacement (10 members)</t>
  </si>
  <si>
    <t>NHLTA (LBOT)</t>
  </si>
  <si>
    <t>Sensource (door counter system)</t>
  </si>
  <si>
    <t>Community programs</t>
  </si>
  <si>
    <t>Periodicals - Magazines Revistas incl. Professional</t>
  </si>
  <si>
    <t xml:space="preserve">GRAND TOTAL </t>
  </si>
  <si>
    <t>Memorial Conference Room</t>
  </si>
  <si>
    <t xml:space="preserve">Uniform service - Teamsters/AFSCME </t>
  </si>
  <si>
    <t>Replace Hydrant and scum chamber equipment</t>
  </si>
  <si>
    <t>Replacement of Gear Boxes</t>
  </si>
  <si>
    <t>Maintenance of compost screener</t>
  </si>
  <si>
    <t>Manhole cover replacement</t>
  </si>
  <si>
    <t>Welfare officials workshop ($50) &amp; meeting seminars(4 x $15)</t>
  </si>
  <si>
    <t>Recycling Building</t>
  </si>
  <si>
    <t>Point of Entry Treatment System Maintenance (3)</t>
  </si>
  <si>
    <t>Install/Remove Netting at Twardowsky</t>
  </si>
  <si>
    <t>Fuel tank tightness tests</t>
  </si>
  <si>
    <t>Materials testing</t>
  </si>
  <si>
    <t>Surveillance System</t>
  </si>
  <si>
    <t>Exmark Mower - Replacement of 1 mower</t>
  </si>
  <si>
    <t>Remote Equipment / Mobile Studio</t>
  </si>
  <si>
    <t>01-07-8104-0 Wages - Other Full-Time</t>
  </si>
  <si>
    <t>Stormwater Testing Supplies</t>
  </si>
  <si>
    <t>NH Septic Designer</t>
  </si>
  <si>
    <t>NH Professional Engineer ( 2 @ $150 every other year.)</t>
  </si>
  <si>
    <t>NH Wetland Scientist License</t>
  </si>
  <si>
    <t xml:space="preserve">Account Clerk II </t>
  </si>
  <si>
    <t>LED Upgrade of Town Hall buildings, Ambulance Garage, and</t>
  </si>
  <si>
    <t xml:space="preserve">     Abbie Griffin Park</t>
  </si>
  <si>
    <t>ICC Town Membership dues</t>
  </si>
  <si>
    <t>ICC License, IRC &amp; IBC Certifications (Bldg Insp.)</t>
  </si>
  <si>
    <t>ICC License, IRC &amp; IBC Certifications ( Bldg Official)</t>
  </si>
  <si>
    <t>NH State Master Electrical License (Bldg Insp.)</t>
  </si>
  <si>
    <t>Union 2904</t>
  </si>
  <si>
    <t>Boots, Gloves, Helmets, and SCBA/SABA Masks Protective Radio Pouches</t>
  </si>
  <si>
    <t>Hazardous Materials Containment Booms and Pads &amp; Clean up materials</t>
  </si>
  <si>
    <t>Pallet Water for Emergency Operations</t>
  </si>
  <si>
    <t>Knox Box Key Security System</t>
  </si>
  <si>
    <t>HVAC maintenance</t>
  </si>
  <si>
    <t>Misc operating expenses not otherwise assigned</t>
  </si>
  <si>
    <t>Surveillance cameras for the remote pump stations (3)</t>
  </si>
  <si>
    <t xml:space="preserve"> Legal Union Negotiations/other</t>
  </si>
  <si>
    <t>01-02-8111-0 Overtime - Other</t>
  </si>
  <si>
    <t xml:space="preserve">Head of Youth Services  </t>
  </si>
  <si>
    <t xml:space="preserve">  Library Assistant I - Technical Services    </t>
  </si>
  <si>
    <t xml:space="preserve">  Librarian I - Reference </t>
  </si>
  <si>
    <t>Museum passes ($6,000 LBOT)</t>
  </si>
  <si>
    <t>Library of Things ($2,000 LBOT)</t>
  </si>
  <si>
    <t xml:space="preserve">  Turnover (average $4870) - 1</t>
  </si>
  <si>
    <t>Asst Chief Operator</t>
  </si>
  <si>
    <t>Shift Differential</t>
  </si>
  <si>
    <t>Shift Diferential</t>
  </si>
  <si>
    <t>2021-22</t>
  </si>
  <si>
    <t>Verizon Wireless modem</t>
  </si>
  <si>
    <t xml:space="preserve">Environmental Coordinator </t>
  </si>
  <si>
    <t>Stormwater Foreman</t>
  </si>
  <si>
    <t>Asst. Tech Coordinator</t>
  </si>
  <si>
    <t>Time Clock System</t>
  </si>
  <si>
    <t xml:space="preserve">  Employees - NHRS Group II - 20 years of service - 4</t>
  </si>
  <si>
    <t xml:space="preserve">  Employees - NHRS Group I - age 60  - 0</t>
  </si>
  <si>
    <t xml:space="preserve">Director   </t>
  </si>
  <si>
    <t xml:space="preserve">Head of Technical Services </t>
  </si>
  <si>
    <t>Head of Adult Services</t>
  </si>
  <si>
    <t xml:space="preserve">Office Manager - Administration  </t>
  </si>
  <si>
    <t xml:space="preserve">  Library Assistant I - Youth Services  </t>
  </si>
  <si>
    <t xml:space="preserve">  Aide I - Youth Services </t>
  </si>
  <si>
    <t xml:space="preserve">  Aide I -Youth Services  </t>
  </si>
  <si>
    <t>Page/Aide - Circulation</t>
  </si>
  <si>
    <t xml:space="preserve">  Page/Aide - Children's Room  </t>
  </si>
  <si>
    <t xml:space="preserve">  Librarian I - Reference</t>
  </si>
  <si>
    <t>Sustaining the Library (LBOT)</t>
  </si>
  <si>
    <t>GMILCS Web Dewey</t>
  </si>
  <si>
    <t>GMILCS Van</t>
  </si>
  <si>
    <t>Hot spot fees</t>
  </si>
  <si>
    <t>Adult materials (LBOT)</t>
  </si>
  <si>
    <t xml:space="preserve"> Teen materials (incl. graphic &amp; manga)</t>
  </si>
  <si>
    <t xml:space="preserve">Adult Graphic Novels </t>
  </si>
  <si>
    <t xml:space="preserve">Databases  </t>
  </si>
  <si>
    <t>kanopy (streaming video)</t>
  </si>
  <si>
    <t xml:space="preserve">Hoopla </t>
  </si>
  <si>
    <t>Children's materials (LBOT)</t>
  </si>
  <si>
    <t>Personal Protective Equipment</t>
  </si>
  <si>
    <t>Leads Online</t>
  </si>
  <si>
    <t>Rape Aggression Defense Instrutor</t>
  </si>
  <si>
    <t xml:space="preserve">Power DMS </t>
  </si>
  <si>
    <t>K-9 Insurance`</t>
  </si>
  <si>
    <t xml:space="preserve">  Printing</t>
  </si>
  <si>
    <t>Wasserman Park - Dock Replacement</t>
  </si>
  <si>
    <t>Wasserman Park - Office ADA Accessibility &amp; Roof</t>
  </si>
  <si>
    <t>Harbor Care (Transitional Housing for Mental Health, HIV &amp; Substance Misue Treatment)</t>
  </si>
  <si>
    <t>in Harbor Care</t>
  </si>
  <si>
    <t>Verizon Wireless 566-6160 - No longer in use</t>
  </si>
  <si>
    <t>Staff Hardware</t>
  </si>
  <si>
    <t>Building and Health Inspection/Test Equipment</t>
  </si>
  <si>
    <t>Building and Health Code Books</t>
  </si>
  <si>
    <t>Personal Protective Clothing and Equipment</t>
  </si>
  <si>
    <t>Uniform allowance for Building and Health Personnel</t>
  </si>
  <si>
    <t>Printing of inspection forms, tags, etc.</t>
  </si>
  <si>
    <t>General Maintenance and Repairs</t>
  </si>
  <si>
    <t>Electronic Lock Access to Building Dept Lobby</t>
  </si>
  <si>
    <t>Vehicle maintenance and repairs for 3 vehicles</t>
  </si>
  <si>
    <t xml:space="preserve"> Maintenance of copier, fax, computers, and other</t>
  </si>
  <si>
    <t xml:space="preserve"> office equipment &amp; service agreements</t>
  </si>
  <si>
    <t>Continuing Education and Recertification for Building</t>
  </si>
  <si>
    <t>and Health personnel</t>
  </si>
  <si>
    <t>Computer and Software upgrades</t>
  </si>
  <si>
    <t>EMS Recertification &amp; Training</t>
  </si>
  <si>
    <t>Fire Investigation/Events Inspection/Code Enforcement</t>
  </si>
  <si>
    <t xml:space="preserve"> Part Time Fire inspector 24 hours/week</t>
  </si>
  <si>
    <t>EMT Recertification &amp; Training</t>
  </si>
  <si>
    <t>Miscellaneous office supplies</t>
  </si>
  <si>
    <t>Computer Software Updates</t>
  </si>
  <si>
    <t>Maintenance Supplies for Operating Equipment (saw blades, parts, gas/oil mix, etc)</t>
  </si>
  <si>
    <t>Ambulance Decontamination Supplies, decontamination sprayers</t>
  </si>
  <si>
    <t xml:space="preserve"> Non-union</t>
  </si>
  <si>
    <t>Fire Inspector</t>
  </si>
  <si>
    <t>Off Probation Class A Uniform Issue</t>
  </si>
  <si>
    <t>New Hire Firefighter Protective Clothing</t>
  </si>
  <si>
    <t>New Hire Firefighter Initial Issue Uniforms</t>
  </si>
  <si>
    <t>Uniform Patches and Accessories</t>
  </si>
  <si>
    <t>Bedding and linen service</t>
  </si>
  <si>
    <t>Printing of forms, notices, business cards, etc.</t>
  </si>
  <si>
    <t xml:space="preserve"> Cell Phones - Chief Officers</t>
  </si>
  <si>
    <t xml:space="preserve"> Cell Phones - Fire Prevention </t>
  </si>
  <si>
    <t xml:space="preserve"> Cell Data Plans for Engines and Ambulances</t>
  </si>
  <si>
    <t xml:space="preserve"> Cell Phones for Ambulances</t>
  </si>
  <si>
    <t>National Fire Protection Association (NFPA) Fees</t>
  </si>
  <si>
    <t xml:space="preserve"> Mutual Aid Association Dues</t>
  </si>
  <si>
    <t>Souhegan Mutual Aid Dues (HazMat, foam, swift water resources)</t>
  </si>
  <si>
    <t>Travel and Meeting costs</t>
  </si>
  <si>
    <t>General Maintenance, Repairs, Supplies &amp; Service Contracts - 3 Stations</t>
  </si>
  <si>
    <t>Service, Repair and Maintenance of fire equipment (power units, saws, pumps</t>
  </si>
  <si>
    <t>ground ladders, extrication tools, etc)</t>
  </si>
  <si>
    <t xml:space="preserve"> Annual pump and aerial testing, fire apparatus maintenance services</t>
  </si>
  <si>
    <t>NH Emergency Medical Services State Electronic Reporting Fees</t>
  </si>
  <si>
    <t xml:space="preserve">COMCAST modem, annual radio preventative maintenance, outside services </t>
  </si>
  <si>
    <t xml:space="preserve"> for radio programing</t>
  </si>
  <si>
    <t>Maintenance of Breathing Air systems, air packs, air testing, etc.</t>
  </si>
  <si>
    <t>Hydrostatic testing of SCBA cylinders (Required every 5 years)</t>
  </si>
  <si>
    <t>Stryker stretcher and stair chair maintenance, service and repairs</t>
  </si>
  <si>
    <t>Zoll Cardiac Monitor and Defibrillator service agreement and maintenance</t>
  </si>
  <si>
    <t>National Registry Recertification - Paramedic</t>
  </si>
  <si>
    <t>National Registry Recertification - EMT/AEMT</t>
  </si>
  <si>
    <t>ACLS and PALS Recertification</t>
  </si>
  <si>
    <t>Outside Conferences &amp; Seminars for education &amp; Officer Development</t>
  </si>
  <si>
    <t>Public Safety Educational Materials</t>
  </si>
  <si>
    <t>Safety Education Materials for Risk Reduction Programs including;</t>
  </si>
  <si>
    <t xml:space="preserve">         fire prevention, fire safety, car seat program, fall prevention, etc.</t>
  </si>
  <si>
    <t>Annual Promotional Testing Lieutenant, Captain</t>
  </si>
  <si>
    <t>SCBA Mask Fit Testing</t>
  </si>
  <si>
    <t>Rescue Jacks for auto extrication (pair)</t>
  </si>
  <si>
    <t>Legal notices and bid advertising, handouts</t>
  </si>
  <si>
    <t>New Hire Physicals</t>
  </si>
  <si>
    <t>Chest X-Rays (recommended every 5 years)</t>
  </si>
  <si>
    <t>Refrigerator for first floor kitchenette</t>
  </si>
  <si>
    <t>Computer and office equipment upgrades and replacements</t>
  </si>
  <si>
    <t>PowerDMS Software purchase</t>
  </si>
  <si>
    <t>Replacement Mobile Radios, related equipment and accessories</t>
  </si>
  <si>
    <t>Blowhard battery powered smoke ejector fan</t>
  </si>
  <si>
    <t xml:space="preserve"> Nozzle Parts, Adapters, Ball Valve Parts, Hand Tools</t>
  </si>
  <si>
    <t>Fire Chief</t>
  </si>
  <si>
    <t>Outfall testing, Stormwater meetings</t>
  </si>
  <si>
    <t>ID Wear, safety footwear</t>
  </si>
  <si>
    <t>Vehicle storage facility (old garage) &amp; Salt Shed</t>
  </si>
  <si>
    <t xml:space="preserve">  Signage and wood stock to make repairs</t>
  </si>
  <si>
    <t>APWAPaver, Iworq, ArcView, fuel software)</t>
  </si>
  <si>
    <t xml:space="preserve">  Maintenance of existing lights</t>
  </si>
  <si>
    <t>Sidewalk Capital Improvement Plan improvements</t>
  </si>
  <si>
    <t>20 hr/wk</t>
  </si>
  <si>
    <t>Propane tanks for forklift</t>
  </si>
  <si>
    <t>Propane fuel: forklift</t>
  </si>
  <si>
    <t>Pressure Wash Buildings</t>
  </si>
  <si>
    <t>Waste Oil</t>
  </si>
  <si>
    <t>Misc. Training Courses</t>
  </si>
  <si>
    <t xml:space="preserve">Rubber boots, gloves and safety items - COVID Cost Increases are not reflected </t>
  </si>
  <si>
    <t>State Agency permit fees (lab, air, compost, scale, hazwaste) - increase to air fee</t>
  </si>
  <si>
    <t>Polymer for screw press</t>
  </si>
  <si>
    <t>Compost facility equipment maintenance (includes agitators)</t>
  </si>
  <si>
    <t xml:space="preserve">Operator 10 Plus Premium Support </t>
  </si>
  <si>
    <t>53rd week payroll</t>
  </si>
  <si>
    <t>Conservation Officer</t>
  </si>
  <si>
    <t>Part-time Summer Maintainer</t>
  </si>
  <si>
    <t xml:space="preserve">  Library Assistant II - Reference    </t>
  </si>
  <si>
    <t xml:space="preserve">  Aide I - Circulation </t>
  </si>
  <si>
    <t xml:space="preserve">  Aide I - Circulation  </t>
  </si>
  <si>
    <t>Online SRP Tracking - all (Beanstack) 3 yr contract @ 1020/yr</t>
  </si>
  <si>
    <t>Full-time employees -  Union</t>
  </si>
  <si>
    <t>Anti- Rasom Ware protection</t>
  </si>
  <si>
    <t>Patrol SUVs (3)</t>
  </si>
  <si>
    <t>Coverage Day time Attendant</t>
  </si>
  <si>
    <t xml:space="preserve">General Govt. Part-time </t>
  </si>
  <si>
    <t>2022-23</t>
  </si>
  <si>
    <t>2022-23 BUDGET</t>
  </si>
  <si>
    <t>01-03-8503-0  Vehicles</t>
  </si>
  <si>
    <t>01-08-8440-0 Cemetery Maintenance</t>
  </si>
  <si>
    <t>01-08-8506-0 Communications Equipment</t>
  </si>
  <si>
    <t>01-09-8350-0 Material Handling</t>
  </si>
  <si>
    <t>01-13-8370-0 275th Anniversary Celebration</t>
  </si>
  <si>
    <t>01-15-8460-0 Misc Expense</t>
  </si>
  <si>
    <t>01-17-8352-0 Education &amp; Training</t>
  </si>
  <si>
    <t>01-17-8508-0 Operating Equipment</t>
  </si>
  <si>
    <t>31-10-8503-0 Vehicles</t>
  </si>
  <si>
    <t xml:space="preserve">  Turnover (average $2500) - 12</t>
  </si>
  <si>
    <t>Finance Director</t>
  </si>
  <si>
    <t>Firefighter - Paramedic</t>
  </si>
  <si>
    <t>Patrolmen</t>
  </si>
  <si>
    <t>Comcast charges</t>
  </si>
  <si>
    <t>Cellular telephones - (5 Data / 3 service)</t>
  </si>
  <si>
    <t>Cellular telephones -3 data / 1 service</t>
  </si>
  <si>
    <t>Cellular telephone ( 2 )</t>
  </si>
  <si>
    <t xml:space="preserve">Cellular telephones and wireless communications (6) </t>
  </si>
  <si>
    <t>Reeds Ferry Field + other</t>
  </si>
  <si>
    <t xml:space="preserve">Park Attendant (Fri to Sun) for town beach &amp; Weekend Function Hall Rentals </t>
  </si>
  <si>
    <t>Lifeguards (weekdays &amp; Weekends) for town beach - 40 hr x 9 wk x 2 employees</t>
  </si>
  <si>
    <t>Maintainer I 25 hrs x week (Part Time Year Round)</t>
  </si>
  <si>
    <t>Seasonal Park Maintainer (20 hrs / week x 12 weeks)</t>
  </si>
  <si>
    <t>Farmers Market Attendant (4 hrs / wk x 12 weeks)</t>
  </si>
  <si>
    <t>Farmers Market  (Signage, Admin Costs, Rain Space)</t>
  </si>
  <si>
    <t>Wasserman Park - Roof Replacement</t>
  </si>
  <si>
    <t>Wasserman Park - Irrigation</t>
  </si>
  <si>
    <t>Executive Dept Head</t>
  </si>
  <si>
    <t xml:space="preserve">  Aide I - Circulation  (create Librarian I Circ with these funds?) (1127)</t>
  </si>
  <si>
    <t>Librarian I - Circulation</t>
  </si>
  <si>
    <t>* All wages reflect a 6% proposed increase to address competitive inequities.</t>
  </si>
  <si>
    <t>Hanging Plan Cabinets</t>
  </si>
  <si>
    <t>Invoice Cloud - online tax payment software support</t>
  </si>
  <si>
    <t>Barcode scanners (5) motor vehicle and dog processing</t>
  </si>
  <si>
    <t>St. Joseph's Community Services - Meals on Wheels</t>
  </si>
  <si>
    <t>Zoom</t>
  </si>
  <si>
    <t>Media Assistant - Full time</t>
  </si>
  <si>
    <t>Tightrope Media Systems (cablecast &amp; streaming)</t>
  </si>
  <si>
    <t>Public Access editing system and equipment</t>
  </si>
  <si>
    <t>20-21 Use</t>
  </si>
  <si>
    <t xml:space="preserve">Sawdust bulking agent for composting </t>
  </si>
  <si>
    <t>Maintenance of nine pump stations</t>
  </si>
  <si>
    <t xml:space="preserve">Replacement liners for screw conveyors  </t>
  </si>
  <si>
    <t>FKC Screw press PM- Build-up Screw</t>
  </si>
  <si>
    <r>
      <t>Rebuild 3 Biofilters  (3000 compost biofilter yd</t>
    </r>
    <r>
      <rPr>
        <vertAlign val="superscript"/>
        <sz val="10"/>
        <rFont val="Times New Roman"/>
        <family val="1"/>
      </rPr>
      <t xml:space="preserve">3 - </t>
    </r>
    <r>
      <rPr>
        <sz val="10"/>
        <rFont val="Times New Roman"/>
        <family val="1"/>
      </rPr>
      <t>to replace media  ) $13.12/yd + 500 yards  (remaining biofilters) + cost to excavate and replace</t>
    </r>
  </si>
  <si>
    <t>Construction Cost   $15,000</t>
  </si>
  <si>
    <t>Horizon Solutions MCC - Electrical &amp; VFD PM Program Development</t>
  </si>
  <si>
    <t>Maintenance of ancillary &amp; support equipment to include SCADA/VFD/MCC</t>
  </si>
  <si>
    <t>Licensed Electrician Services</t>
  </si>
  <si>
    <t>Third year of five year program to evaluate the sewer system</t>
  </si>
  <si>
    <t>Compost Blowers (15/yr for 5 years)</t>
  </si>
  <si>
    <t xml:space="preserve">Chemicals, filter paper, glassware, small instruments and </t>
  </si>
  <si>
    <t>other lab supplies necessary to comply with NPDES permit</t>
  </si>
  <si>
    <t>Elevator inspection/maintenance/permits</t>
  </si>
  <si>
    <t>Repairs to building exterior - siding, roof, etc</t>
  </si>
  <si>
    <t>Fertilizer/soil supplements</t>
  </si>
  <si>
    <t>Parking Lot Reconstruction - Lower PD Lot</t>
  </si>
  <si>
    <t>Parking Lot Reconstruction - Church Lot</t>
  </si>
  <si>
    <t>One-ton Dump Truck, B&amp;G-1</t>
  </si>
  <si>
    <t>Computer paper, ink and misc office supplies - Purchsed under Highway budget</t>
  </si>
  <si>
    <t>Hand tools, maintenance of power tools, lifts, jacks  and other equip</t>
  </si>
  <si>
    <t>Metal Work Bench</t>
  </si>
  <si>
    <t>Scanner Program Updates</t>
  </si>
  <si>
    <t>Tipping fee for solid waste disposal (6,600T x $79.25/T)</t>
  </si>
  <si>
    <t>Tipping fee for construction and demolition disposal (1,500T x $96.00/T)</t>
  </si>
  <si>
    <t>Single stream disposal costs (1,500T x $115/T)</t>
  </si>
  <si>
    <t>Public Works Week</t>
  </si>
  <si>
    <t>Office Trailer</t>
  </si>
  <si>
    <t>Wireless traffic counter</t>
  </si>
  <si>
    <t>PT Custodian (12 hours per week)</t>
  </si>
  <si>
    <t>New Equipment Operator I Position</t>
  </si>
  <si>
    <t>Rental of Misc Equipment and power tools</t>
  </si>
  <si>
    <t>Paver Rental - 2 weeks</t>
  </si>
  <si>
    <t>RC Mower - Stormwater Basins - 1 week</t>
  </si>
  <si>
    <t>American Public Works Association (4 members)</t>
  </si>
  <si>
    <t>Salt for winter road maintenance - 2300 ton x $72.60</t>
  </si>
  <si>
    <t>Sand  - 1500 ton x $15</t>
  </si>
  <si>
    <t>Liquid Mag Chloride/Brine Operations</t>
  </si>
  <si>
    <t>Trash removal - Dumpster</t>
  </si>
  <si>
    <t>Trash Removal - Dumpster (MYA/Vets/Bise field)</t>
  </si>
  <si>
    <t>Salt Shed Roofing, emergency egress, insulation, air quality improvements</t>
  </si>
  <si>
    <t>Sidewalk (Twin Bridge Road)</t>
  </si>
  <si>
    <t>Replace base radio unit and desk units (2 each)</t>
  </si>
  <si>
    <t>Landfill Mower</t>
  </si>
  <si>
    <t xml:space="preserve">New Handguns </t>
  </si>
  <si>
    <t>Administration vehicle</t>
  </si>
  <si>
    <t>01-05-8270-0 Dues &amp; Fees</t>
  </si>
  <si>
    <t>APCO Membership</t>
  </si>
  <si>
    <t>System Upgrade Agreement (SUAII)</t>
  </si>
  <si>
    <t>Annual Preventive Maintenance, Security Upgrade Services</t>
  </si>
  <si>
    <t>Radio User fee</t>
  </si>
  <si>
    <t xml:space="preserve">  Moderators - 150 hr X 3 elections = 450 hr X $10</t>
  </si>
  <si>
    <t xml:space="preserve">  Election workers - 150 hr X 3 election = 450 hr X $7.25</t>
  </si>
  <si>
    <t>Dispatcher - NEW</t>
  </si>
  <si>
    <t>New Dispatcher Position</t>
  </si>
  <si>
    <t>part-time to full-time</t>
  </si>
  <si>
    <t>Holiday pay:10 holidays X 10 hr X 36 employees</t>
  </si>
  <si>
    <t xml:space="preserve">MYA Request to maintain 15 light towers - </t>
  </si>
  <si>
    <t>Additional Account Clerk PT to FT</t>
  </si>
  <si>
    <t>Phase 2 800 MHZ upgrade</t>
  </si>
  <si>
    <t>Unleaded gasoline for 3 vehicles  PT Insp +200</t>
  </si>
  <si>
    <t xml:space="preserve">PT Inspector </t>
  </si>
  <si>
    <t>Building Inspections after hours (50)</t>
  </si>
  <si>
    <t>Captain  20 year (1/16/23) 36.06/.46/.43/.43/.55/.78</t>
  </si>
  <si>
    <t>Captain  25 year (5/26/22) 36.06/.55/.34/.43/.43/.92</t>
  </si>
  <si>
    <t>Lieutenant  15 year (3/23/23) 32.49/.46/.43/.43/1.60/.64</t>
  </si>
  <si>
    <t>Lieutenant  Start (11/30/21)  32.49/.64/.55/.43/.57/.43</t>
  </si>
  <si>
    <t>Firefighter  MFF (10/2/22) +6mos  27.24/.35/.60/.35</t>
  </si>
  <si>
    <t>Firefighter  MFF (10/2/22) +6mos  27.24/.16/.60/.37</t>
  </si>
  <si>
    <t>Firefighter  MFF (9/14/22) +6mos  27.24/.16/.35/.60</t>
  </si>
  <si>
    <t>Firefighter  6mos+ 1yr FF  26.32/.37/.09/.35</t>
  </si>
  <si>
    <t>Firefighter  Medic + 1yr FF  28.22/.14/.16/.35</t>
  </si>
  <si>
    <t>Firefighter  1yr FF 26.32/.37/.35/.09</t>
  </si>
  <si>
    <t>Firefighter  1yr FF 26.32/.60/.35/.09</t>
  </si>
  <si>
    <t>Firefighter  MFF (10/2/22) +6mos  27.24/.16/.60/.37/.35</t>
  </si>
  <si>
    <t>Firefighter  1yr FF  26.32/.60/.35/.09</t>
  </si>
  <si>
    <t>Firefighter  (10/2/22)  MFF +6mos  27.24/.60/.16</t>
  </si>
  <si>
    <t>Fire Fighter - Paramedic  MFF (10/2/22) +6mos  29.72/.16/.14</t>
  </si>
  <si>
    <t>Firefighter - Paramedic  1yr FF  28.22/.14/.35/.16</t>
  </si>
  <si>
    <t>Fire Fighter - Paramedic  MFF (6/16/22) +12mos  29.72/.16/.37/.35</t>
  </si>
  <si>
    <t>Fire Fighter - Paramedic  MFF (10/2/22) +6mos  29.13/.16/.14</t>
  </si>
  <si>
    <t>Master Fire Fighter  30m MFF (8/16/22)  29.25/.60/.16/.12/.14/.23/.35</t>
  </si>
  <si>
    <t>Master Fire Fighter  30m MFF (3/9/23)  29.25/.60/.37/.16/.23</t>
  </si>
  <si>
    <t>Master Fire Fighter  5yr MFF (5/7/22)  29.25/.32/.12/.35/.16/.37/.23</t>
  </si>
  <si>
    <t>Fire Fighter</t>
  </si>
  <si>
    <t>Master Firefighter - Paramedic  30m MFF (4/20/22) 31.14/.16/.14/.23</t>
  </si>
  <si>
    <t>Master Firefighter - Paramedic  25m MFF (3/29/23)  30.63/.09/.14/.23</t>
  </si>
  <si>
    <t>Janitorial Supplies; Light Bulbs; tools; Misc Hardware (as of 12/1/21 spent $2,271)</t>
  </si>
  <si>
    <t>Proj 10% increase</t>
  </si>
  <si>
    <t>Annual EMS Certifications and Training (National Registry Requirements) Proj Increase</t>
  </si>
  <si>
    <t>Annual Employee Health Physicals  Is this enough for 45 Employees ??</t>
  </si>
  <si>
    <t>New Portables</t>
  </si>
  <si>
    <t>Holidays - 10 holidays X 24 hr. X 11 personnel</t>
  </si>
  <si>
    <t>Equipment Operator I - new</t>
  </si>
  <si>
    <t>non-union wage increase</t>
  </si>
  <si>
    <t>01-15-8111-0 Overtime-Other</t>
  </si>
  <si>
    <t>Safety Glasses</t>
  </si>
  <si>
    <t>WWTF Phase IV Bond</t>
  </si>
  <si>
    <t>Safety Glasses - Teamsters</t>
  </si>
  <si>
    <r>
      <t>Head of Circulation</t>
    </r>
    <r>
      <rPr>
        <strike/>
        <sz val="10"/>
        <rFont val="Times New Roman"/>
        <family val="1"/>
      </rPr>
      <t xml:space="preserve">/Executive Dept Head  </t>
    </r>
  </si>
  <si>
    <t>01-09-8508-0 Operating Equipment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</si>
</sst>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 #,##0.0000_);_(* \(#,##0.0000\);_(* &quot;-&quot;????_);_(@_)"/>
    <numFmt numFmtId="165" formatCode="_(* #,##0.000_);_(* \(#,##0.000\);_(* &quot;-&quot;???_);_(@_)"/>
    <numFmt numFmtId="166" formatCode="0_);\(0\)"/>
    <numFmt numFmtId="167" formatCode="_(* #,##0.0_);_(* \(#,##0.0\);_(* &quot;-&quot;?_);_(@_)"/>
    <numFmt numFmtId="168" formatCode="0.0%"/>
    <numFmt numFmtId="169" formatCode="_(* #,##0.00_);_(* \(#,##0.00\);_(* &quot;-&quot;_);_(@_)"/>
    <numFmt numFmtId="170" formatCode="_(* #,##0_);_(* \(#,##0\);_(* &quot;-&quot;??_);_(@_)"/>
    <numFmt numFmtId="171" formatCode="_(* #,##0.00_);_(* \(#,##0.00\);_(* &quot;-&quot;????_);_(@_)"/>
    <numFmt numFmtId="172" formatCode="_(&quot;$&quot;* #,##0_);_(&quot;$&quot;* \(#,##0\);_(&quot;$&quot;* &quot;-&quot;??_);_(@_)"/>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2"/>
      <name val="Arial"/>
      <family val="2"/>
    </font>
    <font>
      <sz val="8"/>
      <name val="Arial"/>
      <family val="2"/>
    </font>
    <font>
      <b/>
      <sz val="10"/>
      <name val="Times New Roman"/>
      <family val="1"/>
    </font>
    <font>
      <sz val="10"/>
      <name val="Times New Roman"/>
      <family val="1"/>
    </font>
    <font>
      <u val="singleAccounting"/>
      <sz val="10"/>
      <name val="Times New Roman"/>
      <family val="1"/>
    </font>
    <font>
      <b/>
      <u/>
      <sz val="10"/>
      <name val="Times New Roman"/>
      <family val="1"/>
    </font>
    <font>
      <b/>
      <i/>
      <u/>
      <sz val="10"/>
      <name val="Times New Roman"/>
      <family val="1"/>
    </font>
    <font>
      <u/>
      <sz val="10"/>
      <name val="Times New Roman"/>
      <family val="1"/>
    </font>
    <font>
      <b/>
      <i/>
      <sz val="10"/>
      <name val="Times New Roman"/>
      <family val="1"/>
    </font>
    <font>
      <b/>
      <u val="singleAccounting"/>
      <sz val="10"/>
      <name val="Times New Roman"/>
      <family val="1"/>
    </font>
    <font>
      <sz val="8"/>
      <name val="Times New Roman"/>
      <family val="1"/>
    </font>
    <font>
      <sz val="12"/>
      <name val="Times New Roman"/>
      <family val="1"/>
    </font>
    <font>
      <u val="singleAccounting"/>
      <sz val="12"/>
      <name val="Times New Roman"/>
      <family val="1"/>
    </font>
    <font>
      <i/>
      <u/>
      <sz val="10"/>
      <name val="Times New Roman"/>
      <family val="1"/>
    </font>
    <font>
      <sz val="9"/>
      <name val="Times New Roman"/>
      <family val="1"/>
    </font>
    <font>
      <b/>
      <sz val="14"/>
      <name val="Times New Roman"/>
      <family val="1"/>
    </font>
    <font>
      <sz val="11"/>
      <color theme="1"/>
      <name val="Calibri"/>
      <family val="2"/>
      <scheme val="minor"/>
    </font>
    <font>
      <sz val="11"/>
      <name val="Calibri"/>
      <family val="2"/>
      <scheme val="minor"/>
    </font>
    <font>
      <sz val="11"/>
      <name val="Times New Roman"/>
      <family val="1"/>
    </font>
    <font>
      <sz val="10"/>
      <name val="Arial"/>
      <family val="2"/>
    </font>
    <font>
      <b/>
      <sz val="11"/>
      <name val="Times New Roman"/>
      <family val="1"/>
    </font>
    <font>
      <b/>
      <sz val="10"/>
      <name val="Arial"/>
      <family val="2"/>
    </font>
    <font>
      <b/>
      <sz val="9"/>
      <color indexed="81"/>
      <name val="Tahoma"/>
      <family val="2"/>
    </font>
    <font>
      <sz val="9"/>
      <color indexed="81"/>
      <name val="Tahoma"/>
      <family val="2"/>
    </font>
    <font>
      <sz val="10"/>
      <name val="Calibri"/>
      <family val="2"/>
      <scheme val="minor"/>
    </font>
    <font>
      <sz val="10"/>
      <color theme="1"/>
      <name val="Times New Roman"/>
      <family val="1"/>
    </font>
    <font>
      <b/>
      <sz val="10"/>
      <color rgb="FF000000"/>
      <name val="Tahoma"/>
      <family val="2"/>
    </font>
    <font>
      <sz val="10"/>
      <color rgb="FF000000"/>
      <name val="Tahoma"/>
      <family val="2"/>
    </font>
    <font>
      <vertAlign val="superscript"/>
      <sz val="10"/>
      <name val="Times New Roman"/>
      <family val="1"/>
    </font>
    <font>
      <b/>
      <i/>
      <u/>
      <sz val="10"/>
      <color theme="1"/>
      <name val="Times New Roman"/>
      <family val="1"/>
    </font>
    <font>
      <u/>
      <sz val="10"/>
      <color theme="1"/>
      <name val="Times New Roman"/>
      <family val="1"/>
    </font>
    <font>
      <u val="singleAccounting"/>
      <sz val="10"/>
      <color theme="1"/>
      <name val="Times New Roman"/>
      <family val="1"/>
    </font>
    <font>
      <b/>
      <sz val="9"/>
      <name val="Arial"/>
      <family val="2"/>
    </font>
    <font>
      <b/>
      <sz val="8"/>
      <name val="Arial"/>
      <family val="2"/>
    </font>
    <font>
      <b/>
      <u val="singleAccounting"/>
      <sz val="9"/>
      <name val="Arial"/>
      <family val="2"/>
    </font>
    <font>
      <strike/>
      <sz val="10"/>
      <name val="Times New Roman"/>
      <family val="1"/>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6">
    <xf numFmtId="0" fontId="0" fillId="0" borderId="0"/>
    <xf numFmtId="43" fontId="5" fillId="0" borderId="0" applyFont="0" applyFill="0" applyBorder="0" applyAlignment="0" applyProtection="0"/>
    <xf numFmtId="44" fontId="4" fillId="0" borderId="0" applyFont="0" applyFill="0" applyBorder="0" applyAlignment="0" applyProtection="0"/>
    <xf numFmtId="0" fontId="5" fillId="0" borderId="0"/>
    <xf numFmtId="0" fontId="22" fillId="0" borderId="0"/>
    <xf numFmtId="0" fontId="5" fillId="0" borderId="0"/>
    <xf numFmtId="0" fontId="5" fillId="0" borderId="0"/>
    <xf numFmtId="0" fontId="4" fillId="0" borderId="0"/>
    <xf numFmtId="0" fontId="6" fillId="0" borderId="0"/>
    <xf numFmtId="9" fontId="4" fillId="0" borderId="0" applyFont="0" applyFill="0" applyBorder="0" applyAlignment="0" applyProtection="0"/>
    <xf numFmtId="43" fontId="25" fillId="0" borderId="0" applyFont="0" applyFill="0" applyBorder="0" applyAlignment="0" applyProtection="0"/>
    <xf numFmtId="0" fontId="4" fillId="0" borderId="0"/>
    <xf numFmtId="0" fontId="4" fillId="0" borderId="0"/>
    <xf numFmtId="0" fontId="3" fillId="0" borderId="0"/>
    <xf numFmtId="0" fontId="2" fillId="0" borderId="0"/>
    <xf numFmtId="0" fontId="1" fillId="0" borderId="0"/>
  </cellStyleXfs>
  <cellXfs count="261">
    <xf numFmtId="0" fontId="0" fillId="0" borderId="0" xfId="0"/>
    <xf numFmtId="41" fontId="8" fillId="0" borderId="0" xfId="0" applyNumberFormat="1" applyFont="1" applyFill="1"/>
    <xf numFmtId="41" fontId="9" fillId="0" borderId="0" xfId="0" applyNumberFormat="1" applyFont="1" applyFill="1"/>
    <xf numFmtId="41" fontId="9" fillId="0" borderId="0" xfId="0" applyNumberFormat="1" applyFont="1" applyFill="1" applyBorder="1"/>
    <xf numFmtId="41" fontId="8" fillId="0" borderId="0" xfId="0" applyNumberFormat="1" applyFont="1" applyFill="1" applyAlignment="1">
      <alignment horizontal="center"/>
    </xf>
    <xf numFmtId="0" fontId="9" fillId="0" borderId="0" xfId="0" applyFont="1" applyFill="1" applyAlignment="1"/>
    <xf numFmtId="0" fontId="9" fillId="0" borderId="0" xfId="0" applyFont="1" applyFill="1"/>
    <xf numFmtId="41" fontId="9" fillId="0" borderId="0" xfId="0" applyNumberFormat="1" applyFont="1" applyFill="1" applyAlignment="1">
      <alignment horizontal="right"/>
    </xf>
    <xf numFmtId="41" fontId="10" fillId="0" borderId="0" xfId="0" applyNumberFormat="1" applyFont="1" applyFill="1" applyAlignment="1">
      <alignment horizontal="right"/>
    </xf>
    <xf numFmtId="0" fontId="12" fillId="0" borderId="0" xfId="0" applyFont="1" applyFill="1" applyAlignment="1">
      <alignment horizontal="center"/>
    </xf>
    <xf numFmtId="41" fontId="10" fillId="0" borderId="0" xfId="0" applyNumberFormat="1" applyFont="1" applyFill="1"/>
    <xf numFmtId="43" fontId="9" fillId="0" borderId="0" xfId="0" applyNumberFormat="1" applyFont="1" applyFill="1"/>
    <xf numFmtId="0" fontId="9" fillId="0" borderId="0" xfId="0" quotePrefix="1" applyFont="1" applyFill="1"/>
    <xf numFmtId="164" fontId="9" fillId="0" borderId="0" xfId="0" applyNumberFormat="1" applyFont="1" applyFill="1"/>
    <xf numFmtId="0" fontId="12" fillId="0" borderId="0" xfId="0" quotePrefix="1" applyFont="1" applyFill="1" applyAlignment="1">
      <alignment horizontal="center"/>
    </xf>
    <xf numFmtId="41" fontId="9" fillId="0" borderId="0" xfId="0" applyNumberFormat="1" applyFont="1" applyFill="1" applyAlignment="1">
      <alignment horizontal="center"/>
    </xf>
    <xf numFmtId="14" fontId="12" fillId="0" borderId="0" xfId="0" applyNumberFormat="1" applyFont="1" applyFill="1" applyAlignment="1">
      <alignment horizontal="center"/>
    </xf>
    <xf numFmtId="41" fontId="13" fillId="0" borderId="0" xfId="0" applyNumberFormat="1" applyFont="1" applyFill="1"/>
    <xf numFmtId="41" fontId="13" fillId="0" borderId="0" xfId="0" applyNumberFormat="1" applyFont="1" applyFill="1" applyAlignment="1">
      <alignment horizontal="right"/>
    </xf>
    <xf numFmtId="0" fontId="8" fillId="0" borderId="0" xfId="0" applyFont="1" applyFill="1"/>
    <xf numFmtId="0" fontId="9" fillId="0" borderId="0" xfId="0" applyFont="1" applyFill="1" applyAlignment="1">
      <alignment horizontal="center"/>
    </xf>
    <xf numFmtId="43" fontId="9" fillId="0" borderId="0" xfId="0" applyNumberFormat="1" applyFont="1" applyFill="1" applyAlignment="1">
      <alignment horizontal="right"/>
    </xf>
    <xf numFmtId="0" fontId="9" fillId="0" borderId="0" xfId="0" applyFont="1" applyFill="1" applyAlignment="1">
      <alignment horizontal="left"/>
    </xf>
    <xf numFmtId="41" fontId="8" fillId="0" borderId="0" xfId="0" applyNumberFormat="1" applyFont="1" applyFill="1" applyAlignment="1">
      <alignment horizontal="right"/>
    </xf>
    <xf numFmtId="41" fontId="18" fillId="0" borderId="0" xfId="0" applyNumberFormat="1" applyFont="1" applyFill="1"/>
    <xf numFmtId="0" fontId="13" fillId="0" borderId="0" xfId="0" applyFont="1" applyFill="1"/>
    <xf numFmtId="41" fontId="13" fillId="0" borderId="0" xfId="0" applyNumberFormat="1" applyFont="1" applyFill="1" applyAlignment="1">
      <alignment horizontal="center"/>
    </xf>
    <xf numFmtId="0" fontId="9" fillId="0" borderId="0" xfId="0" applyFont="1" applyFill="1" applyAlignment="1">
      <alignment horizontal="right"/>
    </xf>
    <xf numFmtId="41" fontId="10" fillId="0" borderId="0" xfId="0" applyNumberFormat="1" applyFont="1" applyFill="1" applyBorder="1"/>
    <xf numFmtId="0" fontId="9" fillId="0" borderId="0" xfId="0" applyFont="1" applyFill="1" applyAlignment="1">
      <alignment wrapText="1"/>
    </xf>
    <xf numFmtId="0" fontId="9" fillId="0" borderId="0" xfId="0" quotePrefix="1" applyFont="1" applyFill="1" applyAlignment="1">
      <alignment horizontal="left"/>
    </xf>
    <xf numFmtId="41" fontId="9" fillId="0" borderId="1" xfId="0" applyNumberFormat="1" applyFont="1" applyFill="1" applyBorder="1"/>
    <xf numFmtId="43" fontId="8" fillId="0" borderId="0" xfId="0" applyNumberFormat="1" applyFont="1" applyFill="1" applyAlignment="1">
      <alignment horizontal="center"/>
    </xf>
    <xf numFmtId="0" fontId="13" fillId="0" borderId="0" xfId="0" applyFont="1" applyFill="1" applyAlignment="1">
      <alignment horizontal="right"/>
    </xf>
    <xf numFmtId="43" fontId="9" fillId="0" borderId="0" xfId="0" applyNumberFormat="1" applyFont="1" applyFill="1" applyAlignment="1">
      <alignment horizontal="center"/>
    </xf>
    <xf numFmtId="0" fontId="9" fillId="0" borderId="0" xfId="0" applyFont="1" applyFill="1" applyBorder="1" applyAlignment="1">
      <alignment horizontal="left"/>
    </xf>
    <xf numFmtId="0" fontId="9" fillId="0" borderId="0" xfId="0" applyNumberFormat="1" applyFont="1" applyFill="1" applyBorder="1" applyAlignment="1">
      <alignment horizontal="left"/>
    </xf>
    <xf numFmtId="41" fontId="9" fillId="0" borderId="0" xfId="0" applyNumberFormat="1" applyFont="1" applyFill="1" applyBorder="1" applyAlignment="1"/>
    <xf numFmtId="41" fontId="9" fillId="0" borderId="0" xfId="0" applyNumberFormat="1" applyFont="1" applyFill="1" applyBorder="1" applyAlignment="1">
      <alignment horizontal="left"/>
    </xf>
    <xf numFmtId="165" fontId="9" fillId="0" borderId="0" xfId="0" applyNumberFormat="1" applyFont="1" applyFill="1"/>
    <xf numFmtId="3" fontId="9" fillId="0" borderId="0" xfId="0" applyNumberFormat="1" applyFont="1" applyFill="1"/>
    <xf numFmtId="41" fontId="9" fillId="0" borderId="0" xfId="0" quotePrefix="1" applyNumberFormat="1" applyFont="1" applyFill="1"/>
    <xf numFmtId="41" fontId="9" fillId="0" borderId="0" xfId="0" applyNumberFormat="1" applyFont="1" applyFill="1" applyAlignment="1">
      <alignment horizontal="left"/>
    </xf>
    <xf numFmtId="41" fontId="12" fillId="0" borderId="0" xfId="0" applyNumberFormat="1" applyFont="1" applyFill="1" applyAlignment="1">
      <alignment horizontal="center"/>
    </xf>
    <xf numFmtId="41" fontId="12" fillId="0" borderId="0" xfId="0" applyNumberFormat="1" applyFont="1" applyFill="1"/>
    <xf numFmtId="0" fontId="9" fillId="0" borderId="0" xfId="8" applyFont="1" applyFill="1" applyAlignment="1">
      <alignment horizontal="left"/>
    </xf>
    <xf numFmtId="0" fontId="14" fillId="0" borderId="0" xfId="0" applyFont="1" applyFill="1" applyAlignment="1">
      <alignment horizontal="center"/>
    </xf>
    <xf numFmtId="49" fontId="8" fillId="0" borderId="0" xfId="7" applyNumberFormat="1" applyFont="1" applyFill="1"/>
    <xf numFmtId="0" fontId="9" fillId="0" borderId="0" xfId="0" applyFont="1" applyFill="1" applyBorder="1"/>
    <xf numFmtId="0" fontId="12" fillId="0" borderId="0" xfId="0" applyFont="1" applyFill="1" applyBorder="1" applyAlignment="1">
      <alignment horizontal="center"/>
    </xf>
    <xf numFmtId="0" fontId="9" fillId="0" borderId="0" xfId="0" applyFont="1" applyFill="1" applyBorder="1" applyAlignment="1"/>
    <xf numFmtId="43" fontId="9" fillId="0" borderId="0" xfId="0" applyNumberFormat="1" applyFont="1" applyFill="1" applyBorder="1"/>
    <xf numFmtId="41" fontId="9" fillId="0" borderId="0" xfId="2" applyNumberFormat="1" applyFont="1" applyFill="1"/>
    <xf numFmtId="0" fontId="20" fillId="0" borderId="0" xfId="0" applyFont="1" applyFill="1" applyAlignment="1"/>
    <xf numFmtId="3" fontId="13" fillId="0" borderId="0" xfId="0" applyNumberFormat="1" applyFont="1" applyFill="1"/>
    <xf numFmtId="1" fontId="9" fillId="0" borderId="0" xfId="0" applyNumberFormat="1" applyFont="1" applyFill="1"/>
    <xf numFmtId="168" fontId="9" fillId="0" borderId="0" xfId="9" applyNumberFormat="1" applyFont="1" applyFill="1" applyAlignment="1">
      <alignment horizontal="left"/>
    </xf>
    <xf numFmtId="41" fontId="13" fillId="0" borderId="0" xfId="0" applyNumberFormat="1" applyFont="1" applyFill="1" applyBorder="1"/>
    <xf numFmtId="41" fontId="9" fillId="0" borderId="0" xfId="0" applyNumberFormat="1" applyFont="1" applyFill="1" applyBorder="1" applyAlignment="1">
      <alignment horizontal="center"/>
    </xf>
    <xf numFmtId="41" fontId="9" fillId="0" borderId="0" xfId="0" applyNumberFormat="1" applyFont="1" applyFill="1" applyBorder="1" applyAlignment="1">
      <alignment horizontal="right"/>
    </xf>
    <xf numFmtId="41" fontId="9" fillId="0" borderId="0" xfId="2" applyNumberFormat="1" applyFont="1" applyFill="1" applyBorder="1"/>
    <xf numFmtId="38" fontId="9" fillId="0" borderId="0" xfId="0" applyNumberFormat="1" applyFont="1" applyFill="1"/>
    <xf numFmtId="164" fontId="9" fillId="0" borderId="0" xfId="0" applyNumberFormat="1" applyFont="1" applyFill="1" applyBorder="1"/>
    <xf numFmtId="3" fontId="9" fillId="0" borderId="0" xfId="0" applyNumberFormat="1" applyFont="1" applyFill="1" applyBorder="1"/>
    <xf numFmtId="41" fontId="15" fillId="0" borderId="0" xfId="0" applyNumberFormat="1" applyFont="1" applyFill="1"/>
    <xf numFmtId="14" fontId="11" fillId="0" borderId="0" xfId="0" applyNumberFormat="1" applyFont="1" applyFill="1" applyBorder="1" applyAlignment="1">
      <alignment horizontal="center"/>
    </xf>
    <xf numFmtId="3" fontId="9" fillId="0" borderId="0" xfId="0" applyNumberFormat="1" applyFont="1" applyFill="1" applyBorder="1" applyAlignment="1" applyProtection="1">
      <alignment horizontal="left"/>
      <protection locked="0"/>
    </xf>
    <xf numFmtId="10" fontId="9" fillId="0" borderId="0" xfId="0" applyNumberFormat="1" applyFont="1" applyFill="1"/>
    <xf numFmtId="0" fontId="13" fillId="0" borderId="0" xfId="0" applyFont="1" applyFill="1" applyAlignment="1">
      <alignment horizontal="left"/>
    </xf>
    <xf numFmtId="0" fontId="12" fillId="0" borderId="0" xfId="0" quotePrefix="1" applyFont="1" applyFill="1" applyBorder="1" applyAlignment="1">
      <alignment horizontal="center"/>
    </xf>
    <xf numFmtId="0" fontId="8" fillId="0" borderId="0" xfId="0" applyNumberFormat="1" applyFont="1" applyFill="1" applyBorder="1" applyAlignment="1">
      <alignment horizontal="left"/>
    </xf>
    <xf numFmtId="41" fontId="9" fillId="0" borderId="0" xfId="3" applyNumberFormat="1" applyFont="1" applyFill="1" applyBorder="1"/>
    <xf numFmtId="0" fontId="9" fillId="0" borderId="0" xfId="3" applyFont="1" applyFill="1" applyBorder="1"/>
    <xf numFmtId="0" fontId="9" fillId="0" borderId="0" xfId="0" applyNumberFormat="1" applyFont="1" applyFill="1"/>
    <xf numFmtId="0" fontId="12" fillId="0" borderId="0" xfId="0" applyFont="1" applyFill="1" applyAlignment="1">
      <alignment horizontal="left"/>
    </xf>
    <xf numFmtId="41" fontId="9" fillId="0" borderId="0" xfId="0" applyNumberFormat="1" applyFont="1" applyFill="1" applyBorder="1" applyAlignment="1" applyProtection="1">
      <protection locked="0"/>
    </xf>
    <xf numFmtId="41" fontId="13" fillId="0" borderId="0" xfId="0" applyNumberFormat="1" applyFont="1" applyFill="1" applyBorder="1" applyAlignment="1" applyProtection="1">
      <protection locked="0"/>
    </xf>
    <xf numFmtId="169" fontId="9" fillId="0" borderId="0" xfId="0" applyNumberFormat="1" applyFont="1" applyFill="1"/>
    <xf numFmtId="166" fontId="9" fillId="0" borderId="0" xfId="0" applyNumberFormat="1" applyFont="1" applyFill="1"/>
    <xf numFmtId="41" fontId="9" fillId="0" borderId="0" xfId="4" applyNumberFormat="1" applyFont="1" applyFill="1"/>
    <xf numFmtId="41" fontId="9" fillId="0" borderId="0" xfId="4" applyNumberFormat="1" applyFont="1" applyFill="1" applyAlignment="1">
      <alignment horizontal="center" vertical="center"/>
    </xf>
    <xf numFmtId="41" fontId="10" fillId="0" borderId="0" xfId="4" applyNumberFormat="1" applyFont="1" applyFill="1"/>
    <xf numFmtId="41" fontId="10" fillId="0" borderId="0" xfId="4" applyNumberFormat="1" applyFont="1" applyFill="1" applyAlignment="1">
      <alignment horizontal="center" vertical="center"/>
    </xf>
    <xf numFmtId="0" fontId="13" fillId="0" borderId="0" xfId="0" applyFont="1" applyFill="1" applyAlignment="1">
      <alignment horizontal="center"/>
    </xf>
    <xf numFmtId="0" fontId="23" fillId="0" borderId="0" xfId="4" applyFont="1" applyFill="1"/>
    <xf numFmtId="167" fontId="9" fillId="0" borderId="0" xfId="0" applyNumberFormat="1" applyFont="1" applyFill="1"/>
    <xf numFmtId="3" fontId="9" fillId="0" borderId="0" xfId="0" applyNumberFormat="1" applyFont="1" applyFill="1" applyAlignment="1">
      <alignment horizontal="right"/>
    </xf>
    <xf numFmtId="0" fontId="9" fillId="0" borderId="0" xfId="5" applyFont="1" applyFill="1"/>
    <xf numFmtId="41" fontId="9" fillId="0" borderId="0" xfId="0" quotePrefix="1" applyNumberFormat="1" applyFont="1" applyFill="1" applyAlignment="1">
      <alignment horizontal="left"/>
    </xf>
    <xf numFmtId="14" fontId="12" fillId="0" borderId="0" xfId="0" applyNumberFormat="1" applyFont="1" applyFill="1" applyBorder="1" applyAlignment="1">
      <alignment horizontal="center"/>
    </xf>
    <xf numFmtId="41" fontId="12" fillId="0" borderId="0" xfId="0" applyNumberFormat="1" applyFont="1" applyFill="1" applyBorder="1" applyAlignment="1">
      <alignment horizontal="center"/>
    </xf>
    <xf numFmtId="0" fontId="21" fillId="0" borderId="0" xfId="0" applyFont="1" applyFill="1" applyAlignment="1"/>
    <xf numFmtId="41" fontId="8" fillId="0" borderId="0" xfId="0" applyNumberFormat="1" applyFont="1" applyFill="1" applyAlignment="1"/>
    <xf numFmtId="41" fontId="21" fillId="0" borderId="0" xfId="0" applyNumberFormat="1" applyFont="1" applyFill="1" applyAlignment="1"/>
    <xf numFmtId="0" fontId="21" fillId="0" borderId="0" xfId="0" applyFont="1" applyFill="1" applyBorder="1" applyAlignment="1"/>
    <xf numFmtId="41" fontId="14" fillId="0" borderId="0" xfId="0" applyNumberFormat="1" applyFont="1" applyFill="1"/>
    <xf numFmtId="41" fontId="21" fillId="0" borderId="0" xfId="0" applyNumberFormat="1" applyFont="1" applyFill="1"/>
    <xf numFmtId="0" fontId="9" fillId="0" borderId="0" xfId="0" applyFont="1" applyFill="1"/>
    <xf numFmtId="0" fontId="12" fillId="0" borderId="0" xfId="0" applyFont="1" applyFill="1" applyAlignment="1">
      <alignment horizontal="center"/>
    </xf>
    <xf numFmtId="0" fontId="9" fillId="0" borderId="0" xfId="0" applyFont="1" applyFill="1"/>
    <xf numFmtId="41" fontId="9" fillId="0" borderId="0" xfId="0" quotePrefix="1" applyNumberFormat="1" applyFont="1" applyFill="1" applyBorder="1"/>
    <xf numFmtId="10" fontId="9" fillId="0" borderId="0" xfId="0" applyNumberFormat="1" applyFont="1" applyFill="1" applyBorder="1"/>
    <xf numFmtId="8" fontId="4" fillId="0" borderId="0" xfId="6" applyNumberFormat="1" applyFont="1" applyFill="1"/>
    <xf numFmtId="0" fontId="4" fillId="0" borderId="0" xfId="0" applyFont="1" applyFill="1"/>
    <xf numFmtId="0" fontId="9" fillId="0" borderId="0" xfId="0" applyFont="1" applyFill="1" applyBorder="1" applyAlignment="1">
      <alignment wrapText="1"/>
    </xf>
    <xf numFmtId="41" fontId="9" fillId="0" borderId="0" xfId="0" applyNumberFormat="1" applyFont="1" applyFill="1" applyAlignment="1">
      <alignment wrapText="1"/>
    </xf>
    <xf numFmtId="0" fontId="9" fillId="0" borderId="0" xfId="0" applyFont="1" applyFill="1"/>
    <xf numFmtId="170" fontId="9" fillId="0" borderId="0" xfId="10" applyNumberFormat="1" applyFont="1" applyFill="1"/>
    <xf numFmtId="41" fontId="4" fillId="0" borderId="0" xfId="6" applyNumberFormat="1" applyFont="1" applyFill="1"/>
    <xf numFmtId="3" fontId="9" fillId="0" borderId="0" xfId="0" quotePrefix="1" applyNumberFormat="1" applyFont="1" applyFill="1"/>
    <xf numFmtId="41" fontId="9" fillId="0" borderId="1" xfId="0" quotePrefix="1" applyNumberFormat="1" applyFont="1" applyFill="1" applyBorder="1"/>
    <xf numFmtId="0" fontId="9" fillId="0" borderId="0" xfId="0" applyFont="1" applyFill="1"/>
    <xf numFmtId="0" fontId="8" fillId="0" borderId="0" xfId="0" applyFont="1" applyFill="1" applyBorder="1" applyAlignment="1">
      <alignment horizontal="left"/>
    </xf>
    <xf numFmtId="3" fontId="8" fillId="0" borderId="0" xfId="0" applyNumberFormat="1" applyFont="1" applyFill="1"/>
    <xf numFmtId="41" fontId="8" fillId="0" borderId="0" xfId="0" applyNumberFormat="1" applyFont="1" applyFill="1" applyAlignment="1">
      <alignment horizontal="center" vertical="center"/>
    </xf>
    <xf numFmtId="41" fontId="23" fillId="0" borderId="0" xfId="4" applyNumberFormat="1" applyFont="1" applyFill="1"/>
    <xf numFmtId="0" fontId="11" fillId="0" borderId="0" xfId="0" applyFont="1" applyFill="1" applyAlignment="1">
      <alignment horizontal="center"/>
    </xf>
    <xf numFmtId="41" fontId="8" fillId="0" borderId="0" xfId="0" quotePrefix="1" applyNumberFormat="1" applyFont="1" applyFill="1"/>
    <xf numFmtId="0" fontId="9" fillId="0" borderId="0" xfId="0" applyFont="1" applyFill="1"/>
    <xf numFmtId="0" fontId="12" fillId="0" borderId="0" xfId="0" applyFont="1" applyFill="1" applyAlignment="1">
      <alignment horizontal="center"/>
    </xf>
    <xf numFmtId="0" fontId="13" fillId="0" borderId="0" xfId="0" applyFont="1" applyFill="1" applyBorder="1" applyAlignment="1">
      <alignment horizontal="right"/>
    </xf>
    <xf numFmtId="41" fontId="13" fillId="0" borderId="0" xfId="0" applyNumberFormat="1" applyFont="1" applyFill="1" applyBorder="1" applyAlignment="1">
      <alignment horizontal="right"/>
    </xf>
    <xf numFmtId="0" fontId="9" fillId="0" borderId="0" xfId="0" applyFont="1" applyFill="1" applyBorder="1" applyAlignment="1">
      <alignment horizontal="center"/>
    </xf>
    <xf numFmtId="2" fontId="9" fillId="0" borderId="0" xfId="0" applyNumberFormat="1" applyFont="1" applyFill="1"/>
    <xf numFmtId="8" fontId="9" fillId="0" borderId="0" xfId="0" applyNumberFormat="1" applyFont="1" applyFill="1"/>
    <xf numFmtId="41" fontId="9" fillId="0" borderId="0" xfId="5" applyNumberFormat="1" applyFont="1" applyFill="1" applyBorder="1"/>
    <xf numFmtId="9" fontId="9" fillId="0" borderId="0" xfId="0" applyNumberFormat="1" applyFont="1" applyFill="1" applyBorder="1"/>
    <xf numFmtId="6" fontId="9" fillId="0" borderId="0" xfId="0" applyNumberFormat="1" applyFont="1" applyFill="1"/>
    <xf numFmtId="41" fontId="4" fillId="0" borderId="0" xfId="0" applyNumberFormat="1" applyFont="1" applyFill="1"/>
    <xf numFmtId="0" fontId="9" fillId="0" borderId="0" xfId="0" applyFont="1" applyFill="1"/>
    <xf numFmtId="0" fontId="17" fillId="0" borderId="0" xfId="0" applyFont="1" applyFill="1" applyAlignment="1">
      <alignment vertical="center"/>
    </xf>
    <xf numFmtId="0" fontId="9" fillId="0" borderId="0" xfId="0" applyFont="1" applyFill="1"/>
    <xf numFmtId="41" fontId="10" fillId="0" borderId="0" xfId="0" applyNumberFormat="1" applyFont="1" applyFill="1" applyAlignment="1">
      <alignment horizontal="center"/>
    </xf>
    <xf numFmtId="0" fontId="8" fillId="0" borderId="0" xfId="0" applyFont="1" applyFill="1" applyAlignment="1">
      <alignment horizontal="center"/>
    </xf>
    <xf numFmtId="0" fontId="9" fillId="0" borderId="0" xfId="0" applyFont="1" applyFill="1"/>
    <xf numFmtId="41" fontId="10" fillId="0" borderId="0" xfId="0" applyNumberFormat="1" applyFont="1" applyFill="1" applyAlignment="1">
      <alignment horizontal="center"/>
    </xf>
    <xf numFmtId="0" fontId="12" fillId="0" borderId="0" xfId="0" applyFont="1" applyFill="1" applyAlignment="1">
      <alignment horizontal="center"/>
    </xf>
    <xf numFmtId="0" fontId="8" fillId="0" borderId="0" xfId="0" applyFont="1" applyFill="1" applyAlignment="1">
      <alignment horizontal="center"/>
    </xf>
    <xf numFmtId="0" fontId="24" fillId="0" borderId="0" xfId="0" applyFont="1" applyFill="1" applyAlignment="1"/>
    <xf numFmtId="0" fontId="21" fillId="0" borderId="0" xfId="11" applyFont="1" applyFill="1" applyAlignment="1"/>
    <xf numFmtId="41" fontId="9" fillId="0" borderId="0" xfId="11" applyNumberFormat="1" applyFont="1" applyFill="1"/>
    <xf numFmtId="9" fontId="9" fillId="0" borderId="0" xfId="11" applyNumberFormat="1" applyFont="1" applyFill="1"/>
    <xf numFmtId="0" fontId="12" fillId="0" borderId="0" xfId="12" applyFont="1" applyFill="1" applyBorder="1" applyAlignment="1">
      <alignment horizontal="center"/>
    </xf>
    <xf numFmtId="41" fontId="26" fillId="0" borderId="0" xfId="12" applyNumberFormat="1" applyFont="1" applyFill="1" applyBorder="1"/>
    <xf numFmtId="41" fontId="9" fillId="0" borderId="0" xfId="12" applyNumberFormat="1" applyFont="1" applyFill="1" applyBorder="1"/>
    <xf numFmtId="0" fontId="9" fillId="0" borderId="0" xfId="12" applyFont="1" applyFill="1" applyBorder="1"/>
    <xf numFmtId="41" fontId="8" fillId="0" borderId="0" xfId="12" applyNumberFormat="1" applyFont="1" applyFill="1" applyBorder="1"/>
    <xf numFmtId="0" fontId="9" fillId="0" borderId="0" xfId="12" applyNumberFormat="1" applyFont="1" applyFill="1" applyBorder="1" applyAlignment="1">
      <alignment horizontal="left"/>
    </xf>
    <xf numFmtId="41" fontId="10" fillId="0" borderId="0" xfId="12" applyNumberFormat="1" applyFont="1" applyFill="1" applyBorder="1"/>
    <xf numFmtId="43" fontId="9" fillId="0" borderId="0" xfId="11" applyNumberFormat="1" applyFont="1" applyFill="1"/>
    <xf numFmtId="43" fontId="9" fillId="0" borderId="0" xfId="12" applyNumberFormat="1" applyFont="1" applyFill="1" applyBorder="1"/>
    <xf numFmtId="0" fontId="12" fillId="0" borderId="0" xfId="11" applyFont="1" applyFill="1" applyAlignment="1">
      <alignment horizontal="center"/>
    </xf>
    <xf numFmtId="0" fontId="9" fillId="0" borderId="0" xfId="12" applyFont="1" applyFill="1" applyBorder="1" applyAlignment="1">
      <alignment horizontal="left"/>
    </xf>
    <xf numFmtId="0" fontId="9" fillId="0" borderId="0" xfId="12" quotePrefix="1" applyFont="1" applyFill="1" applyBorder="1"/>
    <xf numFmtId="164" fontId="9" fillId="0" borderId="0" xfId="12" applyNumberFormat="1" applyFont="1" applyFill="1" applyBorder="1"/>
    <xf numFmtId="0" fontId="9" fillId="0" borderId="0" xfId="12" applyFont="1" applyFill="1" applyBorder="1" applyAlignment="1"/>
    <xf numFmtId="14" fontId="12" fillId="0" borderId="0" xfId="12" applyNumberFormat="1" applyFont="1" applyFill="1" applyBorder="1" applyAlignment="1">
      <alignment horizontal="center"/>
    </xf>
    <xf numFmtId="41" fontId="9" fillId="0" borderId="0" xfId="12" applyNumberFormat="1" applyFont="1" applyFill="1" applyBorder="1" applyAlignment="1">
      <alignment horizontal="left"/>
    </xf>
    <xf numFmtId="3" fontId="9" fillId="0" borderId="0" xfId="11" applyNumberFormat="1" applyFont="1" applyFill="1"/>
    <xf numFmtId="41" fontId="9" fillId="0" borderId="0" xfId="12" applyNumberFormat="1" applyFont="1" applyFill="1" applyBorder="1" applyProtection="1">
      <protection locked="0"/>
    </xf>
    <xf numFmtId="41" fontId="9" fillId="0" borderId="1" xfId="12" applyNumberFormat="1" applyFont="1" applyFill="1" applyBorder="1"/>
    <xf numFmtId="0" fontId="9" fillId="0" borderId="1" xfId="11" applyFont="1" applyFill="1" applyBorder="1"/>
    <xf numFmtId="41" fontId="9" fillId="0" borderId="1" xfId="11" applyNumberFormat="1" applyFont="1" applyFill="1" applyBorder="1"/>
    <xf numFmtId="41" fontId="9" fillId="0" borderId="0" xfId="11" applyNumberFormat="1" applyFont="1" applyFill="1" applyBorder="1"/>
    <xf numFmtId="0" fontId="9" fillId="0" borderId="0" xfId="11" applyFont="1" applyFill="1" applyBorder="1"/>
    <xf numFmtId="170" fontId="9" fillId="0" borderId="0" xfId="0" applyNumberFormat="1" applyFont="1" applyFill="1"/>
    <xf numFmtId="170" fontId="16" fillId="0" borderId="0" xfId="0" applyNumberFormat="1" applyFont="1" applyFill="1"/>
    <xf numFmtId="170" fontId="9" fillId="0" borderId="1" xfId="0" applyNumberFormat="1" applyFont="1" applyFill="1" applyBorder="1"/>
    <xf numFmtId="41" fontId="12" fillId="0" borderId="0" xfId="12" applyNumberFormat="1" applyFont="1" applyFill="1" applyBorder="1" applyAlignment="1">
      <alignment horizontal="center"/>
    </xf>
    <xf numFmtId="41" fontId="9" fillId="0" borderId="0" xfId="12" applyNumberFormat="1" applyFont="1" applyFill="1" applyBorder="1" applyAlignment="1">
      <alignment horizontal="right"/>
    </xf>
    <xf numFmtId="41" fontId="8" fillId="0" borderId="0" xfId="12" applyNumberFormat="1" applyFont="1" applyFill="1" applyBorder="1" applyAlignment="1">
      <alignment horizontal="right"/>
    </xf>
    <xf numFmtId="41" fontId="11" fillId="0" borderId="0" xfId="0" applyNumberFormat="1" applyFont="1" applyFill="1" applyBorder="1" applyAlignment="1">
      <alignment horizontal="center"/>
    </xf>
    <xf numFmtId="41" fontId="19" fillId="0" borderId="0" xfId="0" applyNumberFormat="1" applyFont="1" applyFill="1" applyBorder="1" applyAlignment="1">
      <alignment horizontal="center"/>
    </xf>
    <xf numFmtId="41" fontId="10" fillId="0" borderId="0" xfId="0" applyNumberFormat="1" applyFont="1" applyFill="1" applyBorder="1" applyAlignment="1">
      <alignment horizontal="right"/>
    </xf>
    <xf numFmtId="41" fontId="8" fillId="0" borderId="0" xfId="0" applyNumberFormat="1" applyFont="1" applyFill="1" applyBorder="1" applyAlignment="1">
      <alignment horizontal="right"/>
    </xf>
    <xf numFmtId="0" fontId="8" fillId="0" borderId="0" xfId="0" applyFont="1" applyFill="1" applyBorder="1" applyAlignment="1">
      <alignment horizontal="right"/>
    </xf>
    <xf numFmtId="41" fontId="14" fillId="0" borderId="0" xfId="12" applyNumberFormat="1" applyFont="1" applyFill="1" applyAlignment="1">
      <alignment horizontal="center"/>
    </xf>
    <xf numFmtId="41" fontId="9" fillId="0" borderId="0" xfId="12" applyNumberFormat="1" applyFont="1" applyFill="1"/>
    <xf numFmtId="41" fontId="9" fillId="0" borderId="0" xfId="12" applyNumberFormat="1" applyFont="1" applyFill="1" applyAlignment="1">
      <alignment horizontal="right"/>
    </xf>
    <xf numFmtId="171" fontId="9" fillId="0" borderId="0" xfId="0" applyNumberFormat="1" applyFont="1" applyFill="1"/>
    <xf numFmtId="41" fontId="13" fillId="0" borderId="1" xfId="0" applyNumberFormat="1" applyFont="1" applyFill="1" applyBorder="1"/>
    <xf numFmtId="0" fontId="4" fillId="0" borderId="0" xfId="0" quotePrefix="1" applyFont="1" applyFill="1"/>
    <xf numFmtId="172" fontId="9" fillId="0" borderId="0" xfId="2" applyNumberFormat="1" applyFont="1" applyFill="1"/>
    <xf numFmtId="0" fontId="9" fillId="0" borderId="0" xfId="0" applyFont="1" applyFill="1"/>
    <xf numFmtId="41" fontId="10" fillId="0" borderId="0" xfId="0" applyNumberFormat="1" applyFont="1" applyFill="1" applyAlignment="1">
      <alignment horizontal="center"/>
    </xf>
    <xf numFmtId="0" fontId="11" fillId="0" borderId="0" xfId="0" applyFont="1" applyFill="1" applyBorder="1" applyAlignment="1">
      <alignment horizontal="center"/>
    </xf>
    <xf numFmtId="0" fontId="9" fillId="0" borderId="0" xfId="11" applyFont="1" applyFill="1"/>
    <xf numFmtId="0" fontId="12" fillId="0" borderId="0" xfId="0" applyFont="1" applyFill="1" applyAlignment="1">
      <alignment horizontal="center"/>
    </xf>
    <xf numFmtId="0" fontId="9" fillId="0" borderId="0" xfId="0" applyFont="1" applyFill="1"/>
    <xf numFmtId="10" fontId="9" fillId="0" borderId="0" xfId="9" applyNumberFormat="1" applyFont="1" applyFill="1"/>
    <xf numFmtId="10" fontId="9" fillId="0" borderId="0" xfId="9" applyNumberFormat="1" applyFont="1" applyFill="1" applyBorder="1"/>
    <xf numFmtId="41" fontId="10" fillId="0" borderId="0" xfId="11" applyNumberFormat="1" applyFont="1" applyFill="1" applyBorder="1"/>
    <xf numFmtId="0" fontId="20" fillId="0" borderId="0" xfId="0" applyFont="1" applyFill="1"/>
    <xf numFmtId="41" fontId="27" fillId="0" borderId="0" xfId="0" applyNumberFormat="1" applyFont="1" applyFill="1"/>
    <xf numFmtId="0" fontId="9" fillId="0" borderId="0" xfId="0" applyFont="1" applyFill="1"/>
    <xf numFmtId="0" fontId="9" fillId="0" borderId="0" xfId="0" applyFont="1" applyFill="1"/>
    <xf numFmtId="41" fontId="10" fillId="0" borderId="0" xfId="0" applyNumberFormat="1" applyFont="1" applyFill="1" applyAlignment="1">
      <alignment horizontal="center"/>
    </xf>
    <xf numFmtId="0" fontId="9" fillId="0" borderId="0" xfId="11" applyFont="1" applyFill="1"/>
    <xf numFmtId="0" fontId="9" fillId="0" borderId="0" xfId="0" applyFont="1" applyFill="1"/>
    <xf numFmtId="41" fontId="10" fillId="0" borderId="0" xfId="0" applyNumberFormat="1" applyFont="1" applyFill="1" applyAlignment="1">
      <alignment horizontal="center"/>
    </xf>
    <xf numFmtId="0" fontId="9" fillId="0" borderId="0" xfId="0" applyFont="1" applyFill="1"/>
    <xf numFmtId="41" fontId="10" fillId="0" borderId="0" xfId="0" applyNumberFormat="1" applyFont="1" applyFill="1" applyAlignment="1">
      <alignment horizontal="center"/>
    </xf>
    <xf numFmtId="0" fontId="9" fillId="0" borderId="0" xfId="11" applyFont="1" applyFill="1"/>
    <xf numFmtId="0" fontId="9" fillId="0" borderId="0" xfId="0" applyFont="1" applyFill="1"/>
    <xf numFmtId="41" fontId="10" fillId="0" borderId="0" xfId="0" applyNumberFormat="1" applyFont="1" applyFill="1" applyAlignment="1">
      <alignment horizontal="center"/>
    </xf>
    <xf numFmtId="0" fontId="12" fillId="0" borderId="0" xfId="0" applyFont="1" applyFill="1" applyAlignment="1">
      <alignment horizontal="center"/>
    </xf>
    <xf numFmtId="0" fontId="9" fillId="0" borderId="0" xfId="0" applyFont="1" applyFill="1"/>
    <xf numFmtId="0" fontId="31" fillId="0" borderId="0" xfId="0" applyFont="1"/>
    <xf numFmtId="172" fontId="9" fillId="0" borderId="0" xfId="2" applyNumberFormat="1" applyFont="1" applyFill="1" applyBorder="1"/>
    <xf numFmtId="172" fontId="30" fillId="0" borderId="0" xfId="2" applyNumberFormat="1" applyFont="1" applyFill="1"/>
    <xf numFmtId="43" fontId="30" fillId="0" borderId="0" xfId="13" applyNumberFormat="1" applyFont="1" applyFill="1"/>
    <xf numFmtId="172" fontId="10" fillId="0" borderId="0" xfId="2" applyNumberFormat="1" applyFont="1" applyFill="1"/>
    <xf numFmtId="0" fontId="8" fillId="0" borderId="0" xfId="11" quotePrefix="1" applyFont="1" applyFill="1"/>
    <xf numFmtId="0" fontId="9" fillId="2" borderId="0" xfId="0" applyFont="1" applyFill="1"/>
    <xf numFmtId="41" fontId="9" fillId="2" borderId="0" xfId="0" applyNumberFormat="1" applyFont="1" applyFill="1"/>
    <xf numFmtId="0" fontId="9" fillId="0" borderId="0" xfId="0" applyFont="1" applyFill="1"/>
    <xf numFmtId="0" fontId="12" fillId="0" borderId="0" xfId="0" applyFont="1" applyFill="1" applyAlignment="1">
      <alignment horizontal="center"/>
    </xf>
    <xf numFmtId="170" fontId="9" fillId="0" borderId="0" xfId="10" applyNumberFormat="1" applyFont="1" applyFill="1" applyBorder="1"/>
    <xf numFmtId="0" fontId="9" fillId="0" borderId="0" xfId="0" applyFont="1" applyFill="1"/>
    <xf numFmtId="0" fontId="12" fillId="0" borderId="0" xfId="0" applyFont="1" applyFill="1" applyAlignment="1">
      <alignment horizontal="center"/>
    </xf>
    <xf numFmtId="0" fontId="4" fillId="0" borderId="0" xfId="12" applyFont="1" applyFill="1"/>
    <xf numFmtId="0" fontId="35" fillId="0" borderId="0" xfId="0" applyFont="1" applyAlignment="1">
      <alignment horizontal="center"/>
    </xf>
    <xf numFmtId="3" fontId="31" fillId="0" borderId="0" xfId="0" applyNumberFormat="1" applyFont="1"/>
    <xf numFmtId="3" fontId="31" fillId="0" borderId="0" xfId="0" applyNumberFormat="1" applyFont="1" applyFill="1"/>
    <xf numFmtId="3" fontId="31" fillId="0" borderId="0" xfId="0" applyNumberFormat="1" applyFont="1" applyFill="1" applyBorder="1"/>
    <xf numFmtId="0" fontId="31" fillId="0" borderId="0" xfId="0" applyFont="1" applyFill="1" applyBorder="1"/>
    <xf numFmtId="3" fontId="36" fillId="0" borderId="0" xfId="0" applyNumberFormat="1" applyFont="1" applyFill="1" applyBorder="1"/>
    <xf numFmtId="0" fontId="9" fillId="0" borderId="0" xfId="0" applyFont="1" applyFill="1"/>
    <xf numFmtId="41" fontId="10" fillId="0" borderId="0" xfId="0" applyNumberFormat="1" applyFont="1" applyFill="1" applyAlignment="1">
      <alignment horizontal="center"/>
    </xf>
    <xf numFmtId="0" fontId="9" fillId="0" borderId="0" xfId="0" applyFont="1" applyFill="1"/>
    <xf numFmtId="0" fontId="9" fillId="0" borderId="0" xfId="0" applyFont="1" applyFill="1"/>
    <xf numFmtId="0" fontId="9" fillId="0" borderId="0" xfId="0" applyFont="1" applyFill="1"/>
    <xf numFmtId="41" fontId="10" fillId="0" borderId="0" xfId="0" applyNumberFormat="1" applyFont="1" applyFill="1" applyAlignment="1">
      <alignment horizontal="center"/>
    </xf>
    <xf numFmtId="0" fontId="9" fillId="0" borderId="0" xfId="0" applyFont="1" applyFill="1"/>
    <xf numFmtId="41" fontId="10" fillId="0" borderId="0" xfId="0" applyNumberFormat="1" applyFont="1" applyFill="1" applyAlignment="1">
      <alignment horizontal="center"/>
    </xf>
    <xf numFmtId="0" fontId="12" fillId="0" borderId="0" xfId="0" applyFont="1" applyFill="1" applyAlignment="1">
      <alignment horizontal="center"/>
    </xf>
    <xf numFmtId="0" fontId="9" fillId="0" borderId="0" xfId="0" applyFont="1" applyFill="1"/>
    <xf numFmtId="41" fontId="10" fillId="0" borderId="0" xfId="0" applyNumberFormat="1" applyFont="1" applyFill="1" applyAlignment="1">
      <alignment horizontal="center"/>
    </xf>
    <xf numFmtId="0" fontId="8" fillId="0" borderId="0" xfId="0" applyFont="1" applyFill="1" applyBorder="1" applyAlignment="1">
      <alignment horizontal="center"/>
    </xf>
    <xf numFmtId="0" fontId="12" fillId="0" borderId="0" xfId="0" applyFont="1" applyFill="1" applyAlignment="1">
      <alignment horizontal="center"/>
    </xf>
    <xf numFmtId="3" fontId="36" fillId="0" borderId="0" xfId="0" applyNumberFormat="1" applyFont="1"/>
    <xf numFmtId="0" fontId="31" fillId="0" borderId="0" xfId="14" applyFont="1" applyFill="1"/>
    <xf numFmtId="43" fontId="9" fillId="0" borderId="0" xfId="12" applyNumberFormat="1" applyFont="1" applyFill="1"/>
    <xf numFmtId="41" fontId="38" fillId="0" borderId="0" xfId="0" applyNumberFormat="1" applyFont="1" applyFill="1" applyBorder="1"/>
    <xf numFmtId="41" fontId="39" fillId="0" borderId="0" xfId="0" applyNumberFormat="1" applyFont="1" applyFill="1"/>
    <xf numFmtId="41" fontId="40" fillId="0" borderId="0" xfId="0" applyNumberFormat="1" applyFont="1" applyFill="1"/>
    <xf numFmtId="41" fontId="38" fillId="0" borderId="0" xfId="0" applyNumberFormat="1" applyFont="1" applyFill="1"/>
    <xf numFmtId="41" fontId="10" fillId="0" borderId="0" xfId="12" applyNumberFormat="1" applyFont="1" applyFill="1"/>
    <xf numFmtId="41" fontId="10" fillId="0" borderId="0" xfId="0" applyNumberFormat="1" applyFont="1" applyFill="1" applyBorder="1" applyAlignment="1">
      <alignment horizontal="center"/>
    </xf>
    <xf numFmtId="0" fontId="35" fillId="0" borderId="0" xfId="0" applyFont="1" applyFill="1" applyBorder="1" applyAlignment="1">
      <alignment horizontal="center"/>
    </xf>
    <xf numFmtId="0" fontId="31" fillId="0" borderId="0" xfId="0" applyFont="1" applyFill="1" applyBorder="1" applyAlignment="1">
      <alignment horizontal="left"/>
    </xf>
    <xf numFmtId="170" fontId="37" fillId="0" borderId="0" xfId="10" applyNumberFormat="1" applyFont="1" applyFill="1" applyBorder="1"/>
    <xf numFmtId="4" fontId="31" fillId="0" borderId="0" xfId="0" applyNumberFormat="1" applyFont="1" applyFill="1" applyBorder="1"/>
    <xf numFmtId="41" fontId="9" fillId="0" borderId="0" xfId="0" quotePrefix="1" applyNumberFormat="1" applyFont="1" applyFill="1" applyAlignment="1">
      <alignment horizontal="right"/>
    </xf>
    <xf numFmtId="0" fontId="8" fillId="0" borderId="0" xfId="0" applyFont="1" applyFill="1" applyAlignment="1">
      <alignment horizontal="center"/>
    </xf>
    <xf numFmtId="0" fontId="9" fillId="0" borderId="0" xfId="0" applyFont="1" applyFill="1"/>
    <xf numFmtId="41" fontId="10" fillId="0" borderId="0" xfId="0" applyNumberFormat="1" applyFont="1" applyFill="1" applyAlignment="1">
      <alignment horizontal="center"/>
    </xf>
    <xf numFmtId="0" fontId="8" fillId="0" borderId="0" xfId="0" applyFont="1" applyFill="1" applyBorder="1" applyAlignment="1">
      <alignment horizontal="center"/>
    </xf>
    <xf numFmtId="41" fontId="9" fillId="0" borderId="0" xfId="0" applyNumberFormat="1" applyFont="1" applyFill="1" applyBorder="1" applyAlignment="1">
      <alignment horizontal="center"/>
    </xf>
    <xf numFmtId="0" fontId="10" fillId="0" borderId="0" xfId="0" applyFont="1" applyFill="1" applyAlignment="1">
      <alignment horizontal="center"/>
    </xf>
    <xf numFmtId="0" fontId="12" fillId="0" borderId="0" xfId="0" applyFont="1" applyFill="1" applyAlignment="1">
      <alignment horizontal="center"/>
    </xf>
  </cellXfs>
  <cellStyles count="16">
    <cellStyle name="Comma" xfId="10" builtinId="3"/>
    <cellStyle name="Comma 2" xfId="1"/>
    <cellStyle name="Currency" xfId="2" builtinId="4"/>
    <cellStyle name="Normal" xfId="0" builtinId="0"/>
    <cellStyle name="Normal 2" xfId="3"/>
    <cellStyle name="Normal 2 2" xfId="12"/>
    <cellStyle name="Normal 3" xfId="4"/>
    <cellStyle name="Normal 3 2" xfId="13"/>
    <cellStyle name="Normal 4" xfId="11"/>
    <cellStyle name="Normal 5" xfId="14"/>
    <cellStyle name="Normal 6" xfId="15"/>
    <cellStyle name="Normal_03-fire" xfId="5"/>
    <cellStyle name="Normal_04-police" xfId="6"/>
    <cellStyle name="Normal_budget detail 2006-07" xfId="7"/>
    <cellStyle name="Normal_Highway Parks Solid Waste EquipMaint Budgets" xfId="8"/>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budget%20detail%202005-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1/bob/LOCALS~1/Temp/Administrator/Local%20Settings/Temporary%20Internet%20Files/Content.IE5/YNCLY5G7/budget%20detail%202005-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paul.MERRNET/My%20Documents/budget%202009-10/voted/Approved%20budget%20detail%202009-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7-pub works"/>
      <sheetName val="08-highway"/>
      <sheetName val="09-solid waste"/>
      <sheetName val="10-wastewater"/>
      <sheetName val="11-park mntc"/>
      <sheetName val="13-parks &amp; rec"/>
      <sheetName val="15-library"/>
      <sheetName val="16-equip mntc"/>
      <sheetName val="17-bldg &amp; grounds"/>
      <sheetName val="21-comm dev"/>
      <sheetName val="24-tax coll"/>
      <sheetName val="25-welfare"/>
      <sheetName val="27-debt svc"/>
      <sheetName val="summary-dept"/>
      <sheetName val="summary-line items"/>
      <sheetName val="summary-object"/>
      <sheetName val="summary-function"/>
      <sheetName val="revenue"/>
      <sheetName val="mgr adj"/>
      <sheetName val="bos adj"/>
      <sheetName val="mun tax rate"/>
      <sheetName val="summary-fund"/>
      <sheetName val="default"/>
      <sheetName val="crf"/>
      <sheetName val="union summary"/>
      <sheetName val="afscme2986"/>
      <sheetName val="ibpo"/>
      <sheetName val="ibpo (2)"/>
      <sheetName val="iaff"/>
      <sheetName val="teamsters"/>
      <sheetName val="afscme 93"/>
      <sheetName val="Sheet1"/>
      <sheetName val="wor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7-pub works"/>
      <sheetName val="08-highway"/>
      <sheetName val="09-solid waste"/>
      <sheetName val="10-wastewater"/>
      <sheetName val="11-park mntc"/>
      <sheetName val="13-parks &amp; rec"/>
      <sheetName val="15-library"/>
      <sheetName val="16-equip mntc"/>
      <sheetName val="17-bldg &amp; grounds"/>
      <sheetName val="21-comm dev"/>
      <sheetName val="24-tax coll"/>
      <sheetName val="25-welfare"/>
      <sheetName val="27-debt svc"/>
      <sheetName val="summary-dept"/>
      <sheetName val="summary-line items"/>
      <sheetName val="summary-object"/>
      <sheetName val="summary-function"/>
      <sheetName val="revenue"/>
      <sheetName val="mun tax rate"/>
      <sheetName val="voted"/>
      <sheetName val="summary-fund"/>
      <sheetName val="default"/>
      <sheetName val="crf"/>
      <sheetName val="ms7-appr"/>
      <sheetName val="ms7-rev"/>
      <sheetName val="afscme2986"/>
      <sheetName val="work1"/>
      <sheetName val="work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7-pub works"/>
      <sheetName val="08-highway"/>
      <sheetName val="09-solid waste"/>
      <sheetName val="11-park mntc"/>
      <sheetName val="13-parks &amp; rec"/>
      <sheetName val="15-library"/>
      <sheetName val="16-equip mntc"/>
      <sheetName val="17-bldg &amp; grounds"/>
      <sheetName val="21-comm dev"/>
      <sheetName val="24-tax coll"/>
      <sheetName val="25-welfare"/>
      <sheetName val="27-debt svc"/>
      <sheetName val="10-wastewater"/>
      <sheetName val="32-Media"/>
      <sheetName val="33-Fire Protection -other"/>
      <sheetName val="-other SPECIAL REVENUE FUNDING"/>
      <sheetName val="FUND"/>
      <sheetName val="OBJECT"/>
      <sheetName val="ms-6 approp"/>
      <sheetName val="LINE ITEM"/>
      <sheetName val="summary-dept"/>
      <sheetName val="SUMMARY BY FUND"/>
      <sheetName val="TAX RATE"/>
      <sheetName val="CRF"/>
      <sheetName val="council adjustments"/>
      <sheetName val="MS -6 Rev"/>
      <sheetName val="revenu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282"/>
  <sheetViews>
    <sheetView tabSelected="1" view="pageBreakPreview" zoomScaleNormal="100" zoomScaleSheetLayoutView="100" workbookViewId="0">
      <pane ySplit="5" topLeftCell="A9" activePane="bottomLeft" state="frozen"/>
      <selection activeCell="D43" sqref="D43"/>
      <selection pane="bottomLeft" activeCell="F26" sqref="F26"/>
    </sheetView>
  </sheetViews>
  <sheetFormatPr defaultColWidth="8.85546875" defaultRowHeight="12.75" x14ac:dyDescent="0.2"/>
  <cols>
    <col min="1" max="1" width="53.7109375" style="2" customWidth="1"/>
    <col min="2" max="2" width="8.7109375" style="2" bestFit="1" customWidth="1"/>
    <col min="3" max="3" width="10.42578125" style="2" customWidth="1"/>
    <col min="4" max="4" width="11.42578125" style="2" customWidth="1"/>
    <col min="5" max="7" width="10.85546875" style="2" customWidth="1"/>
    <col min="8" max="8" width="13.28515625" style="2" customWidth="1"/>
    <col min="9" max="10" width="10.85546875" style="2" customWidth="1"/>
    <col min="11" max="16384" width="8.85546875" style="2"/>
  </cols>
  <sheetData>
    <row r="1" spans="1:10" x14ac:dyDescent="0.2">
      <c r="A1" s="254" t="e">
        <f>#REF!</f>
        <v>#REF!</v>
      </c>
      <c r="B1" s="255"/>
      <c r="C1" s="255"/>
      <c r="D1" s="255"/>
      <c r="E1" s="255"/>
      <c r="F1" s="255"/>
      <c r="G1" s="255"/>
      <c r="H1" s="255"/>
      <c r="I1" s="255"/>
      <c r="J1" s="255"/>
    </row>
    <row r="2" spans="1:10" ht="18.75" x14ac:dyDescent="0.3">
      <c r="A2" s="93" t="s">
        <v>1569</v>
      </c>
      <c r="B2" s="92"/>
      <c r="C2" s="92"/>
      <c r="D2" s="92"/>
      <c r="E2" s="92"/>
      <c r="F2" s="92"/>
    </row>
    <row r="4" spans="1:10" x14ac:dyDescent="0.2">
      <c r="E4" s="15" t="s">
        <v>204</v>
      </c>
      <c r="F4" s="15" t="s">
        <v>205</v>
      </c>
      <c r="G4" s="15" t="s">
        <v>61</v>
      </c>
      <c r="H4" s="15" t="s">
        <v>358</v>
      </c>
      <c r="I4" s="15" t="s">
        <v>270</v>
      </c>
      <c r="J4" s="15" t="s">
        <v>301</v>
      </c>
    </row>
    <row r="5" spans="1:10" ht="15" x14ac:dyDescent="0.35">
      <c r="E5" s="184" t="s">
        <v>1757</v>
      </c>
      <c r="F5" s="184" t="s">
        <v>1838</v>
      </c>
      <c r="G5" s="184" t="s">
        <v>1977</v>
      </c>
      <c r="H5" s="196" t="s">
        <v>1977</v>
      </c>
      <c r="I5" s="196" t="s">
        <v>1977</v>
      </c>
      <c r="J5" s="196" t="s">
        <v>1977</v>
      </c>
    </row>
    <row r="6" spans="1:10" ht="13.5" x14ac:dyDescent="0.25">
      <c r="A6" s="43" t="s">
        <v>1071</v>
      </c>
      <c r="E6" s="2">
        <v>27050</v>
      </c>
      <c r="F6" s="2">
        <v>27200</v>
      </c>
      <c r="G6" s="2">
        <v>27200</v>
      </c>
      <c r="H6" s="2">
        <v>27200</v>
      </c>
      <c r="I6" s="2">
        <v>27200</v>
      </c>
      <c r="J6" s="2">
        <v>27200</v>
      </c>
    </row>
    <row r="7" spans="1:10" x14ac:dyDescent="0.2">
      <c r="A7" s="2" t="s">
        <v>430</v>
      </c>
      <c r="B7" s="2">
        <v>7</v>
      </c>
      <c r="C7" s="2">
        <v>3600</v>
      </c>
      <c r="D7" s="2">
        <f>ROUND(B7*C7,0)</f>
        <v>25200</v>
      </c>
    </row>
    <row r="8" spans="1:10" ht="15" x14ac:dyDescent="0.35">
      <c r="A8" s="2" t="s">
        <v>1072</v>
      </c>
      <c r="B8" s="2">
        <v>1</v>
      </c>
      <c r="C8" s="2">
        <v>2000</v>
      </c>
      <c r="D8" s="10">
        <f>ROUND(B8*C8,0)</f>
        <v>2000</v>
      </c>
    </row>
    <row r="9" spans="1:10" x14ac:dyDescent="0.2">
      <c r="A9" s="2" t="s">
        <v>1073</v>
      </c>
      <c r="D9" s="2">
        <f>SUM(D7:D8)</f>
        <v>27200</v>
      </c>
    </row>
    <row r="11" spans="1:10" ht="13.5" x14ac:dyDescent="0.25">
      <c r="A11" s="43" t="s">
        <v>357</v>
      </c>
      <c r="E11" s="2">
        <v>450183</v>
      </c>
      <c r="F11" s="2">
        <v>545742</v>
      </c>
      <c r="G11" s="2">
        <v>502406</v>
      </c>
      <c r="H11" s="2">
        <v>502406</v>
      </c>
      <c r="I11" s="2">
        <v>530232</v>
      </c>
      <c r="J11" s="2">
        <v>530232</v>
      </c>
    </row>
    <row r="12" spans="1:10" x14ac:dyDescent="0.2">
      <c r="A12" s="2" t="s">
        <v>358</v>
      </c>
      <c r="B12" s="2">
        <v>52</v>
      </c>
      <c r="C12" s="2">
        <v>2884.51</v>
      </c>
      <c r="D12" s="2">
        <f>ROUND(B12*C12,0)</f>
        <v>149995</v>
      </c>
    </row>
    <row r="13" spans="1:10" x14ac:dyDescent="0.2">
      <c r="A13" s="2" t="s">
        <v>1989</v>
      </c>
      <c r="B13" s="2">
        <v>52</v>
      </c>
      <c r="C13" s="2">
        <v>1990</v>
      </c>
      <c r="D13" s="2">
        <f>ROUND(B13*C13,0)</f>
        <v>103480</v>
      </c>
    </row>
    <row r="14" spans="1:10" x14ac:dyDescent="0.2">
      <c r="A14" s="2" t="s">
        <v>1332</v>
      </c>
      <c r="B14" s="2">
        <v>52</v>
      </c>
      <c r="C14" s="2">
        <v>1495.6</v>
      </c>
      <c r="D14" s="2">
        <f>ROUND(B14*C14,0)</f>
        <v>77771</v>
      </c>
    </row>
    <row r="15" spans="1:10" x14ac:dyDescent="0.2">
      <c r="A15" s="2" t="s">
        <v>245</v>
      </c>
      <c r="B15" s="2">
        <v>52</v>
      </c>
      <c r="C15" s="2">
        <v>1870</v>
      </c>
      <c r="D15" s="2">
        <f>ROUND(B15*C15,0)</f>
        <v>97240</v>
      </c>
    </row>
    <row r="16" spans="1:10" x14ac:dyDescent="0.2">
      <c r="A16" s="2" t="s">
        <v>1561</v>
      </c>
      <c r="B16" s="2">
        <v>52</v>
      </c>
      <c r="C16" s="2">
        <v>1816</v>
      </c>
      <c r="D16" s="2">
        <f>ROUND(B16*C16,0)</f>
        <v>94432</v>
      </c>
    </row>
    <row r="17" spans="1:10" ht="15" x14ac:dyDescent="0.35">
      <c r="A17" s="2" t="s">
        <v>824</v>
      </c>
      <c r="D17" s="10">
        <v>7314</v>
      </c>
    </row>
    <row r="18" spans="1:10" x14ac:dyDescent="0.2">
      <c r="D18" s="2">
        <f>SUM(D12:D17)</f>
        <v>530232</v>
      </c>
    </row>
    <row r="20" spans="1:10" ht="13.5" x14ac:dyDescent="0.25">
      <c r="A20" s="43" t="s">
        <v>291</v>
      </c>
      <c r="E20" s="2">
        <v>355213</v>
      </c>
      <c r="F20" s="2">
        <v>326821</v>
      </c>
      <c r="G20" s="2">
        <v>320381</v>
      </c>
      <c r="H20" s="2">
        <v>320381</v>
      </c>
      <c r="I20" s="2">
        <v>326871</v>
      </c>
      <c r="J20" s="2">
        <v>326871</v>
      </c>
    </row>
    <row r="21" spans="1:10" x14ac:dyDescent="0.2">
      <c r="A21" s="2" t="s">
        <v>625</v>
      </c>
      <c r="B21" s="2">
        <v>52</v>
      </c>
      <c r="C21" s="2">
        <v>968.8</v>
      </c>
      <c r="D21" s="2">
        <f t="shared" ref="D21:D26" si="0">ROUND(B21*C21,0)</f>
        <v>50378</v>
      </c>
    </row>
    <row r="22" spans="1:10" x14ac:dyDescent="0.2">
      <c r="A22" s="2" t="s">
        <v>937</v>
      </c>
      <c r="B22" s="2">
        <v>52</v>
      </c>
      <c r="C22" s="2">
        <v>808</v>
      </c>
      <c r="D22" s="2">
        <f t="shared" si="0"/>
        <v>42016</v>
      </c>
    </row>
    <row r="23" spans="1:10" x14ac:dyDescent="0.2">
      <c r="A23" s="2" t="s">
        <v>151</v>
      </c>
      <c r="B23" s="2">
        <v>52</v>
      </c>
      <c r="C23" s="2">
        <v>1119</v>
      </c>
      <c r="D23" s="2">
        <f t="shared" si="0"/>
        <v>58188</v>
      </c>
    </row>
    <row r="24" spans="1:10" x14ac:dyDescent="0.2">
      <c r="A24" s="2" t="s">
        <v>391</v>
      </c>
      <c r="B24" s="2">
        <v>52</v>
      </c>
      <c r="C24" s="2">
        <v>947</v>
      </c>
      <c r="D24" s="2">
        <f t="shared" si="0"/>
        <v>49244</v>
      </c>
    </row>
    <row r="25" spans="1:10" x14ac:dyDescent="0.2">
      <c r="A25" s="2" t="s">
        <v>391</v>
      </c>
      <c r="B25" s="2">
        <v>52</v>
      </c>
      <c r="C25" s="2">
        <v>1037</v>
      </c>
      <c r="D25" s="2">
        <f t="shared" si="0"/>
        <v>53924</v>
      </c>
    </row>
    <row r="26" spans="1:10" x14ac:dyDescent="0.2">
      <c r="A26" s="2" t="s">
        <v>1842</v>
      </c>
      <c r="B26" s="2">
        <v>52</v>
      </c>
      <c r="C26" s="2">
        <v>1391</v>
      </c>
      <c r="D26" s="2">
        <f t="shared" si="0"/>
        <v>72332</v>
      </c>
    </row>
    <row r="27" spans="1:10" ht="15" x14ac:dyDescent="0.35">
      <c r="A27" s="2" t="s">
        <v>824</v>
      </c>
      <c r="B27" s="2" t="s">
        <v>345</v>
      </c>
      <c r="C27" s="2" t="s">
        <v>345</v>
      </c>
      <c r="D27" s="10">
        <v>789</v>
      </c>
    </row>
    <row r="28" spans="1:10" x14ac:dyDescent="0.2">
      <c r="A28" s="2" t="s">
        <v>1073</v>
      </c>
      <c r="D28" s="2">
        <f>SUM(D21:D27)</f>
        <v>326871</v>
      </c>
    </row>
    <row r="30" spans="1:10" ht="13.5" x14ac:dyDescent="0.25">
      <c r="A30" s="43" t="s">
        <v>346</v>
      </c>
      <c r="E30" s="2">
        <v>4593</v>
      </c>
      <c r="F30" s="2">
        <v>44361</v>
      </c>
      <c r="G30" s="2">
        <v>37991</v>
      </c>
      <c r="H30" s="2">
        <v>37991</v>
      </c>
      <c r="I30" s="2">
        <v>41067</v>
      </c>
      <c r="J30" s="2">
        <v>41067</v>
      </c>
    </row>
    <row r="31" spans="1:10" x14ac:dyDescent="0.2">
      <c r="A31" s="2" t="s">
        <v>1260</v>
      </c>
      <c r="B31" s="2">
        <v>530</v>
      </c>
      <c r="C31" s="11">
        <v>9.7200000000000006</v>
      </c>
      <c r="D31" s="2">
        <f>ROUND(B31*C31,0)</f>
        <v>5152</v>
      </c>
    </row>
    <row r="32" spans="1:10" x14ac:dyDescent="0.2">
      <c r="A32" s="2" t="s">
        <v>1333</v>
      </c>
      <c r="B32" s="2">
        <v>225</v>
      </c>
      <c r="C32" s="11">
        <v>18.52</v>
      </c>
      <c r="D32" s="2">
        <f>ROUND(B32*C32,0)</f>
        <v>4167</v>
      </c>
    </row>
    <row r="33" spans="1:10" ht="15" x14ac:dyDescent="0.35">
      <c r="A33" s="42" t="s">
        <v>1976</v>
      </c>
      <c r="B33" s="2">
        <v>1455</v>
      </c>
      <c r="C33" s="11">
        <v>21.82</v>
      </c>
      <c r="D33" s="10">
        <f>ROUND(B33*C33,0)</f>
        <v>31748</v>
      </c>
    </row>
    <row r="34" spans="1:10" x14ac:dyDescent="0.2">
      <c r="C34" s="11"/>
      <c r="D34" s="2">
        <f>SUM(D31:D33)</f>
        <v>41067</v>
      </c>
    </row>
    <row r="35" spans="1:10" x14ac:dyDescent="0.2">
      <c r="C35" s="11"/>
    </row>
    <row r="36" spans="1:10" ht="13.5" x14ac:dyDescent="0.25">
      <c r="A36" s="43" t="s">
        <v>687</v>
      </c>
      <c r="C36" s="11"/>
      <c r="E36" s="2">
        <v>14436</v>
      </c>
      <c r="F36" s="2">
        <v>8383</v>
      </c>
      <c r="G36" s="2">
        <v>11524</v>
      </c>
      <c r="H36" s="2">
        <v>11524</v>
      </c>
      <c r="I36" s="2">
        <v>11758</v>
      </c>
      <c r="J36" s="2">
        <v>11758</v>
      </c>
    </row>
    <row r="37" spans="1:10" x14ac:dyDescent="0.2">
      <c r="A37" s="183" t="s">
        <v>1758</v>
      </c>
      <c r="B37" s="2">
        <v>300</v>
      </c>
      <c r="C37" s="11">
        <f>SUM(C21:C26)/40/6*1.5</f>
        <v>39.192500000000003</v>
      </c>
      <c r="D37" s="2">
        <f>+C37*B37</f>
        <v>11757.75</v>
      </c>
    </row>
    <row r="38" spans="1:10" x14ac:dyDescent="0.2">
      <c r="A38" s="2" t="s">
        <v>345</v>
      </c>
      <c r="B38" s="2" t="s">
        <v>345</v>
      </c>
      <c r="C38" s="2" t="s">
        <v>345</v>
      </c>
      <c r="D38" s="2" t="s">
        <v>345</v>
      </c>
    </row>
    <row r="39" spans="1:10" ht="13.5" x14ac:dyDescent="0.25">
      <c r="A39" s="43" t="s">
        <v>152</v>
      </c>
      <c r="E39" s="2">
        <v>65909</v>
      </c>
      <c r="F39" s="2">
        <v>70641</v>
      </c>
      <c r="G39" s="2">
        <v>67069</v>
      </c>
      <c r="H39" s="2">
        <v>67069</v>
      </c>
      <c r="I39" s="2">
        <v>69501</v>
      </c>
      <c r="J39" s="2">
        <v>69501</v>
      </c>
    </row>
    <row r="40" spans="1:10" hidden="1" x14ac:dyDescent="0.2">
      <c r="A40" s="41" t="s">
        <v>153</v>
      </c>
      <c r="B40" s="2">
        <f>+D9</f>
        <v>27200</v>
      </c>
      <c r="C40" s="13">
        <v>1.4500000000000001E-2</v>
      </c>
      <c r="D40" s="2">
        <f>ROUND(B40*C40,0)</f>
        <v>394</v>
      </c>
    </row>
    <row r="41" spans="1:10" hidden="1" x14ac:dyDescent="0.2">
      <c r="A41" s="41" t="s">
        <v>154</v>
      </c>
      <c r="B41" s="2">
        <v>141900</v>
      </c>
      <c r="C41" s="13">
        <v>7.6499999999999999E-2</v>
      </c>
      <c r="D41" s="2">
        <f t="shared" ref="D41:D46" si="1">ROUND(B41*C41,0)</f>
        <v>10855</v>
      </c>
    </row>
    <row r="42" spans="1:10" hidden="1" x14ac:dyDescent="0.2">
      <c r="A42" s="2" t="s">
        <v>154</v>
      </c>
      <c r="B42" s="2">
        <f>IF((D12)&gt;141900,+D12+-141900,D12)</f>
        <v>8095</v>
      </c>
      <c r="C42" s="13">
        <v>1.4500000000000001E-2</v>
      </c>
      <c r="D42" s="2">
        <f t="shared" si="1"/>
        <v>117</v>
      </c>
    </row>
    <row r="43" spans="1:10" hidden="1" x14ac:dyDescent="0.2">
      <c r="A43" s="41" t="s">
        <v>1206</v>
      </c>
      <c r="B43" s="2">
        <f>SUM(D13:D17)</f>
        <v>380237</v>
      </c>
      <c r="C43" s="13">
        <v>7.6499999999999999E-2</v>
      </c>
      <c r="D43" s="2">
        <f t="shared" si="1"/>
        <v>29088</v>
      </c>
    </row>
    <row r="44" spans="1:10" hidden="1" x14ac:dyDescent="0.2">
      <c r="A44" s="41" t="s">
        <v>688</v>
      </c>
      <c r="B44" s="2">
        <f>+D28</f>
        <v>326871</v>
      </c>
      <c r="C44" s="13">
        <v>7.6499999999999999E-2</v>
      </c>
      <c r="D44" s="2">
        <f t="shared" si="1"/>
        <v>25006</v>
      </c>
    </row>
    <row r="45" spans="1:10" hidden="1" x14ac:dyDescent="0.2">
      <c r="A45" s="41" t="s">
        <v>155</v>
      </c>
      <c r="B45" s="2">
        <f>+D34</f>
        <v>41067</v>
      </c>
      <c r="C45" s="13">
        <v>7.6499999999999999E-2</v>
      </c>
      <c r="D45" s="2">
        <f t="shared" si="1"/>
        <v>3142</v>
      </c>
    </row>
    <row r="46" spans="1:10" ht="15" hidden="1" x14ac:dyDescent="0.35">
      <c r="A46" s="41" t="s">
        <v>156</v>
      </c>
      <c r="B46" s="2">
        <f>+D37</f>
        <v>11757.75</v>
      </c>
      <c r="C46" s="13">
        <v>7.6499999999999999E-2</v>
      </c>
      <c r="D46" s="10">
        <f t="shared" si="1"/>
        <v>899</v>
      </c>
    </row>
    <row r="47" spans="1:10" hidden="1" x14ac:dyDescent="0.2">
      <c r="A47" s="2" t="s">
        <v>1073</v>
      </c>
      <c r="C47" s="13"/>
      <c r="D47" s="2">
        <f>SUM(D40:D46)</f>
        <v>69501</v>
      </c>
    </row>
    <row r="48" spans="1:10" x14ac:dyDescent="0.2">
      <c r="C48" s="13"/>
    </row>
    <row r="49" spans="1:10" ht="13.5" x14ac:dyDescent="0.25">
      <c r="A49" s="43" t="s">
        <v>1598</v>
      </c>
      <c r="C49" s="13"/>
      <c r="E49" s="2">
        <v>77948</v>
      </c>
      <c r="F49" s="2">
        <v>123859</v>
      </c>
      <c r="G49" s="2">
        <v>117303</v>
      </c>
      <c r="H49" s="2">
        <v>117303</v>
      </c>
      <c r="I49" s="2">
        <v>122159</v>
      </c>
      <c r="J49" s="2">
        <v>122159</v>
      </c>
    </row>
    <row r="50" spans="1:10" hidden="1" x14ac:dyDescent="0.2">
      <c r="A50" s="41" t="s">
        <v>1082</v>
      </c>
      <c r="B50" s="2">
        <f>+D9</f>
        <v>27200</v>
      </c>
      <c r="C50" s="13">
        <v>0</v>
      </c>
      <c r="D50" s="2">
        <f>+C50*B50</f>
        <v>0</v>
      </c>
    </row>
    <row r="51" spans="1:10" hidden="1" x14ac:dyDescent="0.2">
      <c r="A51" s="41" t="s">
        <v>154</v>
      </c>
      <c r="B51" s="2">
        <f>+D12</f>
        <v>149995</v>
      </c>
      <c r="C51" s="189">
        <v>0.1406</v>
      </c>
      <c r="D51" s="2">
        <f>+C51*B51</f>
        <v>21089.296999999999</v>
      </c>
    </row>
    <row r="52" spans="1:10" hidden="1" x14ac:dyDescent="0.2">
      <c r="A52" s="41" t="s">
        <v>1083</v>
      </c>
      <c r="B52" s="2">
        <f>+D18-B51</f>
        <v>380237</v>
      </c>
      <c r="C52" s="189">
        <v>0.1406</v>
      </c>
      <c r="D52" s="2">
        <f>ROUND(B52*C52,0)</f>
        <v>53461</v>
      </c>
    </row>
    <row r="53" spans="1:10" hidden="1" x14ac:dyDescent="0.2">
      <c r="A53" s="2" t="s">
        <v>1084</v>
      </c>
      <c r="B53" s="2">
        <f>+D28</f>
        <v>326871</v>
      </c>
      <c r="C53" s="189">
        <v>0.1406</v>
      </c>
      <c r="D53" s="2">
        <f>ROUND(B53*C53,0)</f>
        <v>45958</v>
      </c>
    </row>
    <row r="54" spans="1:10" ht="15" hidden="1" x14ac:dyDescent="0.35">
      <c r="A54" s="41" t="s">
        <v>1207</v>
      </c>
      <c r="B54" s="2">
        <f>+D37</f>
        <v>11757.75</v>
      </c>
      <c r="C54" s="189">
        <v>0.1406</v>
      </c>
      <c r="D54" s="10">
        <f>ROUND(B54*C54,0)</f>
        <v>1653</v>
      </c>
    </row>
    <row r="55" spans="1:10" hidden="1" x14ac:dyDescent="0.2">
      <c r="A55" s="2" t="s">
        <v>1073</v>
      </c>
      <c r="D55" s="2">
        <f>SUM(D50:D54)-2</f>
        <v>122159.29699999999</v>
      </c>
    </row>
    <row r="57" spans="1:10" ht="13.5" x14ac:dyDescent="0.25">
      <c r="A57" s="43" t="s">
        <v>796</v>
      </c>
      <c r="E57" s="2">
        <v>206582</v>
      </c>
      <c r="F57" s="2">
        <v>217250</v>
      </c>
      <c r="G57" s="2">
        <v>214500</v>
      </c>
      <c r="H57" s="2">
        <v>214500</v>
      </c>
      <c r="I57" s="2">
        <v>209000</v>
      </c>
      <c r="J57" s="2">
        <v>209000</v>
      </c>
    </row>
    <row r="58" spans="1:10" hidden="1" x14ac:dyDescent="0.2">
      <c r="A58" s="2" t="s">
        <v>365</v>
      </c>
      <c r="B58" s="2">
        <v>11</v>
      </c>
      <c r="C58" s="2">
        <v>19000</v>
      </c>
      <c r="D58" s="2">
        <f>ROUND(B58*C58,0)</f>
        <v>209000</v>
      </c>
    </row>
    <row r="60" spans="1:10" ht="13.5" x14ac:dyDescent="0.25">
      <c r="A60" s="43" t="s">
        <v>797</v>
      </c>
      <c r="E60" s="2">
        <v>13246</v>
      </c>
      <c r="F60" s="2">
        <v>13860</v>
      </c>
      <c r="G60" s="2">
        <v>13613</v>
      </c>
      <c r="H60" s="2">
        <v>13613</v>
      </c>
      <c r="I60" s="2">
        <v>13613</v>
      </c>
      <c r="J60" s="2">
        <v>13613</v>
      </c>
    </row>
    <row r="61" spans="1:10" hidden="1" x14ac:dyDescent="0.2">
      <c r="A61" s="2" t="s">
        <v>365</v>
      </c>
      <c r="B61" s="2">
        <v>11</v>
      </c>
      <c r="C61" s="2">
        <v>1375</v>
      </c>
      <c r="D61" s="2">
        <f>ROUND(B61*C61,0)</f>
        <v>15125</v>
      </c>
    </row>
    <row r="62" spans="1:10" ht="15" hidden="1" x14ac:dyDescent="0.35">
      <c r="A62" s="2" t="s">
        <v>198</v>
      </c>
      <c r="D62" s="10">
        <f>-C61*0.1*B61</f>
        <v>-1512.5</v>
      </c>
    </row>
    <row r="63" spans="1:10" hidden="1" x14ac:dyDescent="0.2">
      <c r="A63" s="183" t="s">
        <v>683</v>
      </c>
      <c r="D63" s="2">
        <f>SUM(D61:D62)</f>
        <v>13612.5</v>
      </c>
    </row>
    <row r="65" spans="1:10" ht="13.5" x14ac:dyDescent="0.25">
      <c r="A65" s="43" t="s">
        <v>798</v>
      </c>
      <c r="E65" s="2">
        <v>1746</v>
      </c>
      <c r="F65" s="2">
        <v>1485</v>
      </c>
      <c r="G65" s="2">
        <v>1485</v>
      </c>
      <c r="H65" s="2">
        <v>1485</v>
      </c>
      <c r="I65" s="2">
        <v>1485</v>
      </c>
      <c r="J65" s="2">
        <v>1485</v>
      </c>
    </row>
    <row r="66" spans="1:10" hidden="1" x14ac:dyDescent="0.2">
      <c r="A66" s="2" t="s">
        <v>1081</v>
      </c>
      <c r="B66" s="2">
        <v>11</v>
      </c>
      <c r="C66" s="2">
        <v>135</v>
      </c>
      <c r="D66" s="2">
        <f>ROUND(B66*C66,0)</f>
        <v>1485</v>
      </c>
    </row>
    <row r="68" spans="1:10" ht="13.5" x14ac:dyDescent="0.25">
      <c r="A68" s="43" t="s">
        <v>799</v>
      </c>
      <c r="E68" s="2">
        <v>9240</v>
      </c>
      <c r="F68" s="2">
        <v>6050</v>
      </c>
      <c r="G68" s="2">
        <v>5775</v>
      </c>
      <c r="H68" s="2">
        <v>5775</v>
      </c>
      <c r="I68" s="2">
        <v>5775</v>
      </c>
      <c r="J68" s="2">
        <v>5775</v>
      </c>
    </row>
    <row r="69" spans="1:10" hidden="1" x14ac:dyDescent="0.2">
      <c r="A69" s="2" t="s">
        <v>705</v>
      </c>
      <c r="B69" s="2">
        <v>11</v>
      </c>
      <c r="C69" s="2">
        <v>525</v>
      </c>
      <c r="D69" s="2">
        <f>ROUND(B69*C69,0)</f>
        <v>5775</v>
      </c>
    </row>
    <row r="71" spans="1:10" ht="13.5" x14ac:dyDescent="0.25">
      <c r="A71" s="43" t="s">
        <v>1277</v>
      </c>
      <c r="E71" s="2">
        <v>1397</v>
      </c>
      <c r="F71" s="2">
        <v>1630</v>
      </c>
      <c r="G71" s="2">
        <v>1575</v>
      </c>
      <c r="H71" s="2">
        <v>1575</v>
      </c>
      <c r="I71" s="2">
        <v>1641</v>
      </c>
      <c r="J71" s="2">
        <v>1641</v>
      </c>
    </row>
    <row r="72" spans="1:10" ht="12.6" hidden="1" customHeight="1" x14ac:dyDescent="0.2">
      <c r="A72" s="41" t="s">
        <v>153</v>
      </c>
      <c r="B72" s="2">
        <f>+D9</f>
        <v>27200</v>
      </c>
      <c r="C72" s="13">
        <v>1.74E-3</v>
      </c>
      <c r="D72" s="2">
        <f>ROUND(B72*C72,0)</f>
        <v>47</v>
      </c>
    </row>
    <row r="73" spans="1:10" ht="12.6" hidden="1" customHeight="1" x14ac:dyDescent="0.2">
      <c r="A73" s="41" t="s">
        <v>1271</v>
      </c>
      <c r="B73" s="2">
        <f>+D18</f>
        <v>530232</v>
      </c>
      <c r="C73" s="13">
        <v>1.74E-3</v>
      </c>
      <c r="D73" s="2">
        <f>ROUND(B73*C73,0)+6</f>
        <v>929</v>
      </c>
    </row>
    <row r="74" spans="1:10" ht="12.6" hidden="1" customHeight="1" x14ac:dyDescent="0.2">
      <c r="A74" s="41" t="s">
        <v>688</v>
      </c>
      <c r="B74" s="2">
        <f>+D28</f>
        <v>326871</v>
      </c>
      <c r="C74" s="13">
        <v>1.74E-3</v>
      </c>
      <c r="D74" s="2">
        <f>ROUND(B74*C74,0)</f>
        <v>569</v>
      </c>
    </row>
    <row r="75" spans="1:10" ht="12.6" hidden="1" customHeight="1" x14ac:dyDescent="0.2">
      <c r="A75" s="41" t="s">
        <v>155</v>
      </c>
      <c r="B75" s="2">
        <f>+D34</f>
        <v>41067</v>
      </c>
      <c r="C75" s="13">
        <v>1.74E-3</v>
      </c>
      <c r="D75" s="2">
        <f>ROUND(B75*C75,0)</f>
        <v>71</v>
      </c>
    </row>
    <row r="76" spans="1:10" ht="14.45" hidden="1" customHeight="1" x14ac:dyDescent="0.35">
      <c r="A76" s="41" t="s">
        <v>156</v>
      </c>
      <c r="B76" s="2">
        <f>+D37</f>
        <v>11757.75</v>
      </c>
      <c r="C76" s="13">
        <v>1.74E-3</v>
      </c>
      <c r="D76" s="10">
        <f>ROUND(B76*C76,0)</f>
        <v>20</v>
      </c>
    </row>
    <row r="77" spans="1:10" ht="12.6" hidden="1" customHeight="1" x14ac:dyDescent="0.2">
      <c r="A77" s="2" t="s">
        <v>1073</v>
      </c>
      <c r="D77" s="2">
        <f>SUM(D72:D76)+5</f>
        <v>1641</v>
      </c>
    </row>
    <row r="79" spans="1:10" ht="13.5" x14ac:dyDescent="0.25">
      <c r="A79" s="43" t="s">
        <v>292</v>
      </c>
      <c r="E79" s="2">
        <v>228</v>
      </c>
      <c r="F79" s="2">
        <v>253</v>
      </c>
      <c r="G79" s="2">
        <v>253</v>
      </c>
      <c r="H79" s="2">
        <v>253</v>
      </c>
      <c r="I79" s="2">
        <v>253</v>
      </c>
      <c r="J79" s="2">
        <v>253</v>
      </c>
    </row>
    <row r="80" spans="1:10" ht="12.6" hidden="1" customHeight="1" x14ac:dyDescent="0.2">
      <c r="A80" s="41" t="s">
        <v>153</v>
      </c>
      <c r="B80" s="2">
        <f>+D9</f>
        <v>27200</v>
      </c>
      <c r="C80" s="2">
        <v>0</v>
      </c>
      <c r="D80" s="2">
        <f>ROUND(B80*C80,0)</f>
        <v>0</v>
      </c>
    </row>
    <row r="81" spans="1:10" ht="12.6" hidden="1" customHeight="1" x14ac:dyDescent="0.2">
      <c r="A81" s="41" t="s">
        <v>1271</v>
      </c>
      <c r="B81" s="2">
        <v>4</v>
      </c>
      <c r="C81" s="2">
        <v>20</v>
      </c>
      <c r="D81" s="2">
        <f>ROUND(B81*C81,0)</f>
        <v>80</v>
      </c>
    </row>
    <row r="82" spans="1:10" ht="12.6" hidden="1" customHeight="1" x14ac:dyDescent="0.2">
      <c r="A82" s="41" t="s">
        <v>688</v>
      </c>
      <c r="B82" s="2">
        <v>7</v>
      </c>
      <c r="C82" s="2">
        <v>20</v>
      </c>
      <c r="D82" s="2">
        <f>ROUND(B82*C82,0)</f>
        <v>140</v>
      </c>
    </row>
    <row r="83" spans="1:10" ht="12.6" hidden="1" customHeight="1" x14ac:dyDescent="0.2">
      <c r="A83" s="41" t="s">
        <v>1336</v>
      </c>
      <c r="B83" s="2">
        <v>1</v>
      </c>
      <c r="C83" s="2">
        <v>20</v>
      </c>
      <c r="D83" s="2">
        <f>ROUND(B83*C83,0)</f>
        <v>20</v>
      </c>
    </row>
    <row r="84" spans="1:10" ht="14.45" hidden="1" customHeight="1" x14ac:dyDescent="0.35">
      <c r="A84" s="41" t="s">
        <v>155</v>
      </c>
      <c r="B84" s="2">
        <f>+B75-D33</f>
        <v>9319</v>
      </c>
      <c r="C84" s="13">
        <v>1.4E-3</v>
      </c>
      <c r="D84" s="10">
        <f>ROUND(B84*C84,0)</f>
        <v>13</v>
      </c>
    </row>
    <row r="85" spans="1:10" ht="12.6" hidden="1" customHeight="1" x14ac:dyDescent="0.2">
      <c r="A85" s="2" t="s">
        <v>1073</v>
      </c>
      <c r="D85" s="2">
        <f>SUM(D80:D84)</f>
        <v>253</v>
      </c>
    </row>
    <row r="86" spans="1:10" ht="13.5" x14ac:dyDescent="0.25">
      <c r="A86" s="95"/>
    </row>
    <row r="87" spans="1:10" ht="13.5" x14ac:dyDescent="0.25">
      <c r="A87" s="43" t="s">
        <v>219</v>
      </c>
      <c r="B87" s="2" t="s">
        <v>345</v>
      </c>
      <c r="E87" s="2">
        <v>196996</v>
      </c>
      <c r="F87" s="2">
        <v>176580</v>
      </c>
      <c r="G87" s="2">
        <v>155000</v>
      </c>
      <c r="H87" s="2">
        <v>155000</v>
      </c>
      <c r="I87" s="2">
        <v>155000</v>
      </c>
      <c r="J87" s="2">
        <v>155000</v>
      </c>
    </row>
    <row r="88" spans="1:10" x14ac:dyDescent="0.2">
      <c r="A88" s="2" t="s">
        <v>258</v>
      </c>
    </row>
    <row r="89" spans="1:10" x14ac:dyDescent="0.2">
      <c r="A89" s="2" t="s">
        <v>1845</v>
      </c>
      <c r="D89" s="2">
        <v>0</v>
      </c>
    </row>
    <row r="90" spans="1:10" x14ac:dyDescent="0.2">
      <c r="A90" s="2" t="s">
        <v>1844</v>
      </c>
      <c r="D90" s="2">
        <v>125000</v>
      </c>
    </row>
    <row r="91" spans="1:10" ht="15" x14ac:dyDescent="0.35">
      <c r="A91" s="2" t="s">
        <v>1988</v>
      </c>
      <c r="D91" s="10">
        <v>30000</v>
      </c>
    </row>
    <row r="92" spans="1:10" x14ac:dyDescent="0.2">
      <c r="A92" s="2" t="s">
        <v>221</v>
      </c>
      <c r="D92" s="2">
        <f>SUM(D89:D91)</f>
        <v>155000</v>
      </c>
    </row>
    <row r="94" spans="1:10" ht="13.5" x14ac:dyDescent="0.25">
      <c r="A94" s="43" t="s">
        <v>388</v>
      </c>
      <c r="E94" s="2">
        <v>11350</v>
      </c>
      <c r="F94" s="2">
        <v>27999</v>
      </c>
      <c r="G94" s="2">
        <v>25000</v>
      </c>
      <c r="H94" s="2">
        <v>25000</v>
      </c>
      <c r="I94" s="2">
        <v>25000</v>
      </c>
      <c r="J94" s="2">
        <v>25000</v>
      </c>
    </row>
    <row r="95" spans="1:10" x14ac:dyDescent="0.2">
      <c r="A95" s="42" t="s">
        <v>150</v>
      </c>
      <c r="D95" s="2">
        <v>5000</v>
      </c>
    </row>
    <row r="96" spans="1:10" x14ac:dyDescent="0.2">
      <c r="A96" s="42" t="s">
        <v>2113</v>
      </c>
      <c r="D96" s="2">
        <v>0</v>
      </c>
    </row>
    <row r="97" spans="1:10" ht="15" x14ac:dyDescent="0.35">
      <c r="A97" s="42" t="s">
        <v>1595</v>
      </c>
      <c r="D97" s="10">
        <v>20000</v>
      </c>
    </row>
    <row r="98" spans="1:10" x14ac:dyDescent="0.2">
      <c r="A98" s="42"/>
      <c r="D98" s="2">
        <f>SUM(D95:D97)</f>
        <v>25000</v>
      </c>
    </row>
    <row r="99" spans="1:10" ht="15" x14ac:dyDescent="0.35">
      <c r="A99" s="42"/>
      <c r="D99" s="10"/>
    </row>
    <row r="100" spans="1:10" ht="13.5" x14ac:dyDescent="0.25">
      <c r="A100" s="43" t="s">
        <v>222</v>
      </c>
      <c r="E100" s="2">
        <v>10469</v>
      </c>
      <c r="F100" s="2">
        <v>11000</v>
      </c>
      <c r="G100" s="2">
        <v>12000</v>
      </c>
      <c r="H100" s="2">
        <v>12000</v>
      </c>
      <c r="I100" s="2">
        <v>12000</v>
      </c>
      <c r="J100" s="2">
        <v>12000</v>
      </c>
    </row>
    <row r="101" spans="1:10" x14ac:dyDescent="0.2">
      <c r="A101" s="2" t="s">
        <v>259</v>
      </c>
      <c r="B101" s="2">
        <v>8500</v>
      </c>
      <c r="C101" s="2">
        <v>11000</v>
      </c>
      <c r="D101" s="2">
        <v>12000</v>
      </c>
    </row>
    <row r="102" spans="1:10" x14ac:dyDescent="0.2">
      <c r="A102" s="2" t="s">
        <v>345</v>
      </c>
      <c r="C102" s="2" t="s">
        <v>345</v>
      </c>
      <c r="D102" s="2" t="s">
        <v>345</v>
      </c>
    </row>
    <row r="103" spans="1:10" ht="15" x14ac:dyDescent="0.35">
      <c r="A103" s="43" t="s">
        <v>1283</v>
      </c>
      <c r="B103" s="196" t="s">
        <v>1757</v>
      </c>
      <c r="C103" s="196" t="s">
        <v>1838</v>
      </c>
      <c r="D103" s="184" t="s">
        <v>1977</v>
      </c>
      <c r="E103" s="2">
        <v>8865</v>
      </c>
      <c r="F103" s="2">
        <v>10000</v>
      </c>
      <c r="G103" s="2">
        <v>10000</v>
      </c>
      <c r="H103" s="2">
        <v>10000</v>
      </c>
      <c r="I103" s="2">
        <v>10000</v>
      </c>
      <c r="J103" s="2">
        <v>10000</v>
      </c>
    </row>
    <row r="104" spans="1:10" x14ac:dyDescent="0.2">
      <c r="A104" s="2" t="s">
        <v>1284</v>
      </c>
      <c r="B104" s="2">
        <v>3000</v>
      </c>
      <c r="C104" s="2">
        <v>3000</v>
      </c>
      <c r="D104" s="2">
        <v>3000</v>
      </c>
    </row>
    <row r="105" spans="1:10" x14ac:dyDescent="0.2">
      <c r="A105" s="2" t="s">
        <v>528</v>
      </c>
      <c r="B105" s="2">
        <v>5000</v>
      </c>
      <c r="C105" s="2">
        <v>5000</v>
      </c>
      <c r="D105" s="2">
        <v>5000</v>
      </c>
    </row>
    <row r="106" spans="1:10" x14ac:dyDescent="0.2">
      <c r="A106" s="2" t="s">
        <v>1392</v>
      </c>
      <c r="B106" s="2">
        <v>500</v>
      </c>
      <c r="C106" s="2">
        <v>500</v>
      </c>
      <c r="D106" s="2">
        <v>500</v>
      </c>
    </row>
    <row r="107" spans="1:10" x14ac:dyDescent="0.2">
      <c r="A107" s="2" t="s">
        <v>273</v>
      </c>
      <c r="B107" s="2">
        <v>700</v>
      </c>
      <c r="C107" s="2">
        <v>700</v>
      </c>
      <c r="D107" s="2">
        <v>700</v>
      </c>
    </row>
    <row r="108" spans="1:10" ht="15" x14ac:dyDescent="0.35">
      <c r="A108" s="2" t="s">
        <v>274</v>
      </c>
      <c r="B108" s="10">
        <v>800</v>
      </c>
      <c r="C108" s="10">
        <v>800</v>
      </c>
      <c r="D108" s="10">
        <v>800</v>
      </c>
    </row>
    <row r="109" spans="1:10" x14ac:dyDescent="0.2">
      <c r="A109" s="2" t="s">
        <v>1073</v>
      </c>
      <c r="B109" s="2">
        <f>SUM(B104:B108)</f>
        <v>10000</v>
      </c>
      <c r="C109" s="2">
        <f>SUM(C104:C108)</f>
        <v>10000</v>
      </c>
      <c r="D109" s="2">
        <f>SUM(D104:D108)</f>
        <v>10000</v>
      </c>
    </row>
    <row r="111" spans="1:10" ht="15" x14ac:dyDescent="0.35">
      <c r="A111" s="43" t="s">
        <v>275</v>
      </c>
      <c r="B111" s="199" t="s">
        <v>1757</v>
      </c>
      <c r="C111" s="199" t="s">
        <v>1838</v>
      </c>
      <c r="D111" s="199" t="s">
        <v>1977</v>
      </c>
      <c r="E111" s="2">
        <v>9020</v>
      </c>
      <c r="F111" s="2">
        <v>11900</v>
      </c>
      <c r="G111" s="2">
        <v>11250</v>
      </c>
      <c r="H111" s="2">
        <v>11250</v>
      </c>
      <c r="I111" s="2">
        <v>11250</v>
      </c>
      <c r="J111" s="2">
        <v>11250</v>
      </c>
    </row>
    <row r="112" spans="1:10" x14ac:dyDescent="0.2">
      <c r="A112" s="2" t="s">
        <v>276</v>
      </c>
      <c r="B112" s="2">
        <v>7100</v>
      </c>
      <c r="C112" s="2">
        <v>11100</v>
      </c>
      <c r="D112" s="2">
        <v>11250</v>
      </c>
    </row>
    <row r="113" spans="1:10" ht="15" x14ac:dyDescent="0.35">
      <c r="A113" s="2" t="s">
        <v>277</v>
      </c>
      <c r="B113" s="10">
        <v>800</v>
      </c>
      <c r="C113" s="10">
        <v>800</v>
      </c>
      <c r="D113" s="10">
        <v>0</v>
      </c>
    </row>
    <row r="114" spans="1:10" x14ac:dyDescent="0.2">
      <c r="A114" s="2" t="s">
        <v>1073</v>
      </c>
      <c r="B114" s="15">
        <f>SUM(B112:B113)</f>
        <v>7900</v>
      </c>
      <c r="C114" s="15">
        <f>SUM(C112:C113)</f>
        <v>11900</v>
      </c>
      <c r="D114" s="15">
        <f>SUM(D112:D113)</f>
        <v>11250</v>
      </c>
    </row>
    <row r="116" spans="1:10" ht="15" x14ac:dyDescent="0.35">
      <c r="A116" s="43" t="s">
        <v>278</v>
      </c>
      <c r="B116" s="199" t="s">
        <v>1757</v>
      </c>
      <c r="C116" s="199" t="s">
        <v>1838</v>
      </c>
      <c r="D116" s="204" t="s">
        <v>1977</v>
      </c>
      <c r="E116" s="2">
        <v>9804</v>
      </c>
      <c r="F116" s="2">
        <v>11450</v>
      </c>
      <c r="G116" s="2">
        <v>10900</v>
      </c>
      <c r="H116" s="2">
        <v>10900</v>
      </c>
      <c r="I116" s="2">
        <v>10900</v>
      </c>
      <c r="J116" s="2">
        <v>10900</v>
      </c>
    </row>
    <row r="117" spans="1:10" x14ac:dyDescent="0.2">
      <c r="A117" s="2" t="s">
        <v>811</v>
      </c>
      <c r="B117" s="2">
        <v>4000</v>
      </c>
      <c r="C117" s="2">
        <v>4000</v>
      </c>
      <c r="D117" s="2">
        <v>4250</v>
      </c>
    </row>
    <row r="118" spans="1:10" x14ac:dyDescent="0.2">
      <c r="A118" s="2" t="s">
        <v>185</v>
      </c>
      <c r="B118" s="2">
        <v>3200</v>
      </c>
      <c r="C118" s="2">
        <v>5400</v>
      </c>
      <c r="D118" s="2">
        <f>85*5*12</f>
        <v>5100</v>
      </c>
    </row>
    <row r="119" spans="1:10" x14ac:dyDescent="0.2">
      <c r="A119" s="2" t="s">
        <v>1772</v>
      </c>
      <c r="B119" s="2">
        <v>50</v>
      </c>
      <c r="C119" s="2">
        <v>50</v>
      </c>
      <c r="D119" s="2">
        <v>50</v>
      </c>
    </row>
    <row r="120" spans="1:10" ht="15" x14ac:dyDescent="0.35">
      <c r="A120" s="2" t="s">
        <v>263</v>
      </c>
      <c r="B120" s="10">
        <v>2000</v>
      </c>
      <c r="C120" s="10">
        <v>2000</v>
      </c>
      <c r="D120" s="10">
        <v>1500</v>
      </c>
    </row>
    <row r="121" spans="1:10" x14ac:dyDescent="0.2">
      <c r="A121" s="2" t="s">
        <v>1073</v>
      </c>
      <c r="B121" s="2">
        <f>SUM(B117:B120)</f>
        <v>9250</v>
      </c>
      <c r="C121" s="2">
        <f>SUM(C117:C120)</f>
        <v>11450</v>
      </c>
      <c r="D121" s="2">
        <f>SUM(D117:D120)</f>
        <v>10900</v>
      </c>
    </row>
    <row r="123" spans="1:10" ht="15" x14ac:dyDescent="0.35">
      <c r="A123" s="43" t="s">
        <v>1201</v>
      </c>
      <c r="B123" s="196" t="s">
        <v>1757</v>
      </c>
      <c r="C123" s="196" t="s">
        <v>1838</v>
      </c>
      <c r="D123" s="184" t="s">
        <v>1838</v>
      </c>
      <c r="E123" s="2">
        <v>26583</v>
      </c>
      <c r="F123" s="2">
        <v>27134</v>
      </c>
      <c r="G123" s="2">
        <v>27134</v>
      </c>
      <c r="H123" s="2">
        <v>27134</v>
      </c>
      <c r="I123" s="2">
        <v>27134</v>
      </c>
      <c r="J123" s="2">
        <v>27134</v>
      </c>
    </row>
    <row r="124" spans="1:10" x14ac:dyDescent="0.2">
      <c r="A124" s="2" t="s">
        <v>1202</v>
      </c>
      <c r="B124" s="2">
        <v>25319</v>
      </c>
      <c r="C124" s="2">
        <v>25319</v>
      </c>
      <c r="D124" s="2">
        <v>25319</v>
      </c>
    </row>
    <row r="125" spans="1:10" x14ac:dyDescent="0.2">
      <c r="A125" s="2" t="s">
        <v>964</v>
      </c>
      <c r="B125" s="2">
        <v>250</v>
      </c>
      <c r="C125" s="2">
        <v>250</v>
      </c>
      <c r="D125" s="2">
        <v>250</v>
      </c>
    </row>
    <row r="126" spans="1:10" x14ac:dyDescent="0.2">
      <c r="A126" s="2" t="s">
        <v>965</v>
      </c>
      <c r="B126" s="2">
        <v>1000</v>
      </c>
      <c r="C126" s="2">
        <v>1000</v>
      </c>
      <c r="D126" s="2">
        <v>1000</v>
      </c>
    </row>
    <row r="127" spans="1:10" x14ac:dyDescent="0.2">
      <c r="A127" s="2" t="s">
        <v>1030</v>
      </c>
      <c r="B127" s="2">
        <v>360</v>
      </c>
      <c r="C127" s="2">
        <v>360</v>
      </c>
      <c r="D127" s="2">
        <v>360</v>
      </c>
    </row>
    <row r="128" spans="1:10" x14ac:dyDescent="0.2">
      <c r="A128" s="2" t="s">
        <v>855</v>
      </c>
      <c r="B128" s="2">
        <v>175</v>
      </c>
      <c r="C128" s="2">
        <v>175</v>
      </c>
      <c r="D128" s="2">
        <v>175</v>
      </c>
    </row>
    <row r="129" spans="1:10" ht="15" x14ac:dyDescent="0.35">
      <c r="A129" s="2" t="s">
        <v>1337</v>
      </c>
      <c r="B129" s="10">
        <v>30</v>
      </c>
      <c r="C129" s="10">
        <v>30</v>
      </c>
      <c r="D129" s="10">
        <v>30</v>
      </c>
    </row>
    <row r="130" spans="1:10" x14ac:dyDescent="0.2">
      <c r="A130" s="2" t="s">
        <v>1073</v>
      </c>
      <c r="B130" s="2">
        <f>SUM(B124:B129)</f>
        <v>27134</v>
      </c>
      <c r="C130" s="2">
        <f>SUM(C124:C129)</f>
        <v>27134</v>
      </c>
      <c r="D130" s="2">
        <f>SUM(D124:D129)</f>
        <v>27134</v>
      </c>
    </row>
    <row r="132" spans="1:10" ht="15" x14ac:dyDescent="0.35">
      <c r="A132" s="43" t="s">
        <v>148</v>
      </c>
      <c r="B132" s="199" t="s">
        <v>1757</v>
      </c>
      <c r="C132" s="199" t="s">
        <v>1838</v>
      </c>
      <c r="D132" s="199" t="s">
        <v>1977</v>
      </c>
      <c r="E132" s="2">
        <v>2945</v>
      </c>
      <c r="F132" s="2">
        <v>1570</v>
      </c>
      <c r="G132" s="2">
        <v>3970</v>
      </c>
      <c r="H132" s="2">
        <v>3970</v>
      </c>
      <c r="I132" s="2">
        <v>3970</v>
      </c>
      <c r="J132" s="2">
        <v>3970</v>
      </c>
    </row>
    <row r="133" spans="1:10" x14ac:dyDescent="0.2">
      <c r="A133" s="42" t="s">
        <v>2014</v>
      </c>
      <c r="B133" s="15">
        <v>0</v>
      </c>
      <c r="C133" s="15">
        <v>0</v>
      </c>
      <c r="D133" s="15">
        <v>2400</v>
      </c>
    </row>
    <row r="134" spans="1:10" x14ac:dyDescent="0.2">
      <c r="A134" s="2" t="s">
        <v>274</v>
      </c>
      <c r="B134" s="2">
        <v>300</v>
      </c>
      <c r="C134" s="2">
        <v>300</v>
      </c>
      <c r="D134" s="2">
        <v>300</v>
      </c>
    </row>
    <row r="135" spans="1:10" x14ac:dyDescent="0.2">
      <c r="A135" s="2" t="s">
        <v>1072</v>
      </c>
      <c r="B135" s="2">
        <v>600</v>
      </c>
      <c r="C135" s="2">
        <v>600</v>
      </c>
      <c r="D135" s="2">
        <v>600</v>
      </c>
    </row>
    <row r="136" spans="1:10" ht="15" x14ac:dyDescent="0.35">
      <c r="A136" s="2" t="s">
        <v>903</v>
      </c>
      <c r="B136" s="10">
        <v>670</v>
      </c>
      <c r="C136" s="10">
        <v>670</v>
      </c>
      <c r="D136" s="10">
        <v>670</v>
      </c>
    </row>
    <row r="137" spans="1:10" x14ac:dyDescent="0.2">
      <c r="A137" s="2" t="s">
        <v>1073</v>
      </c>
      <c r="B137" s="2">
        <f>SUM(B133:B136)</f>
        <v>1570</v>
      </c>
      <c r="C137" s="2">
        <f>SUM(C133:C136)</f>
        <v>1570</v>
      </c>
      <c r="D137" s="2">
        <f>SUM(D133:D136)</f>
        <v>3970</v>
      </c>
    </row>
    <row r="139" spans="1:10" ht="15" x14ac:dyDescent="0.35">
      <c r="A139" s="43" t="s">
        <v>905</v>
      </c>
      <c r="B139" s="199" t="s">
        <v>1757</v>
      </c>
      <c r="C139" s="199" t="s">
        <v>1838</v>
      </c>
      <c r="D139" s="199" t="s">
        <v>1977</v>
      </c>
      <c r="E139" s="2">
        <v>8019</v>
      </c>
      <c r="F139" s="2">
        <v>9027</v>
      </c>
      <c r="G139" s="2">
        <v>9755</v>
      </c>
      <c r="H139" s="2">
        <v>9755</v>
      </c>
      <c r="I139" s="2">
        <v>9755</v>
      </c>
      <c r="J139" s="2">
        <v>9755</v>
      </c>
    </row>
    <row r="140" spans="1:10" x14ac:dyDescent="0.2">
      <c r="A140" s="2" t="s">
        <v>906</v>
      </c>
      <c r="B140" s="2">
        <v>8436</v>
      </c>
      <c r="C140" s="2">
        <v>9027</v>
      </c>
      <c r="D140" s="2">
        <v>9755</v>
      </c>
    </row>
    <row r="142" spans="1:10" ht="15" x14ac:dyDescent="0.35">
      <c r="A142" s="43" t="s">
        <v>907</v>
      </c>
      <c r="B142" s="199" t="s">
        <v>1757</v>
      </c>
      <c r="C142" s="199" t="s">
        <v>1838</v>
      </c>
      <c r="D142" s="199" t="s">
        <v>1977</v>
      </c>
      <c r="E142" s="2">
        <f>7500+279135</f>
        <v>286635</v>
      </c>
      <c r="F142" s="2">
        <v>110000</v>
      </c>
      <c r="G142" s="2">
        <v>140000</v>
      </c>
      <c r="H142" s="2">
        <v>140000</v>
      </c>
      <c r="I142" s="2">
        <v>140000</v>
      </c>
      <c r="J142" s="2">
        <v>140000</v>
      </c>
    </row>
    <row r="143" spans="1:10" x14ac:dyDescent="0.2">
      <c r="A143" s="2" t="s">
        <v>376</v>
      </c>
      <c r="B143" s="2">
        <v>100000</v>
      </c>
      <c r="C143" s="2">
        <v>100000</v>
      </c>
      <c r="D143" s="2">
        <v>125000</v>
      </c>
    </row>
    <row r="144" spans="1:10" ht="15" x14ac:dyDescent="0.35">
      <c r="A144" s="2" t="s">
        <v>1827</v>
      </c>
      <c r="B144" s="10">
        <v>10000</v>
      </c>
      <c r="C144" s="10">
        <v>10000</v>
      </c>
      <c r="D144" s="10">
        <v>15000</v>
      </c>
    </row>
    <row r="145" spans="1:10" x14ac:dyDescent="0.2">
      <c r="B145" s="2">
        <f>SUM(B143:B144)</f>
        <v>110000</v>
      </c>
      <c r="C145" s="2">
        <f>SUM(C143:C144)</f>
        <v>110000</v>
      </c>
      <c r="D145" s="2">
        <f>SUM(D143:D144)</f>
        <v>140000</v>
      </c>
    </row>
    <row r="147" spans="1:10" ht="15" x14ac:dyDescent="0.35">
      <c r="A147" s="43" t="s">
        <v>908</v>
      </c>
      <c r="B147" s="199" t="s">
        <v>1757</v>
      </c>
      <c r="C147" s="199" t="s">
        <v>1838</v>
      </c>
      <c r="D147" s="199" t="s">
        <v>1977</v>
      </c>
      <c r="E147" s="2">
        <v>759</v>
      </c>
      <c r="F147" s="2">
        <v>1750</v>
      </c>
      <c r="G147" s="2">
        <v>1750</v>
      </c>
      <c r="H147" s="2">
        <v>1750</v>
      </c>
      <c r="I147" s="2">
        <v>1750</v>
      </c>
      <c r="J147" s="2">
        <v>1750</v>
      </c>
    </row>
    <row r="148" spans="1:10" x14ac:dyDescent="0.2">
      <c r="A148" s="2" t="s">
        <v>468</v>
      </c>
      <c r="B148" s="2">
        <v>250</v>
      </c>
      <c r="C148" s="2">
        <v>250</v>
      </c>
      <c r="D148" s="2">
        <v>250</v>
      </c>
    </row>
    <row r="149" spans="1:10" x14ac:dyDescent="0.2">
      <c r="A149" s="2" t="s">
        <v>128</v>
      </c>
      <c r="B149" s="2">
        <v>250</v>
      </c>
      <c r="C149" s="2">
        <v>250</v>
      </c>
      <c r="D149" s="2">
        <v>250</v>
      </c>
    </row>
    <row r="150" spans="1:10" x14ac:dyDescent="0.2">
      <c r="A150" s="2" t="s">
        <v>200</v>
      </c>
      <c r="B150" s="2">
        <v>250</v>
      </c>
      <c r="C150" s="2">
        <v>250</v>
      </c>
      <c r="D150" s="2">
        <v>250</v>
      </c>
    </row>
    <row r="151" spans="1:10" ht="15" x14ac:dyDescent="0.35">
      <c r="A151" s="2" t="s">
        <v>274</v>
      </c>
      <c r="B151" s="10">
        <v>1000</v>
      </c>
      <c r="C151" s="10">
        <v>1000</v>
      </c>
      <c r="D151" s="10">
        <v>1000</v>
      </c>
    </row>
    <row r="152" spans="1:10" x14ac:dyDescent="0.2">
      <c r="A152" s="2" t="s">
        <v>1073</v>
      </c>
      <c r="B152" s="2">
        <f>SUM(B148:B151)</f>
        <v>1750</v>
      </c>
      <c r="C152" s="2">
        <f>SUM(C148:C151)</f>
        <v>1750</v>
      </c>
      <c r="D152" s="2">
        <f>SUM(D148:D151)</f>
        <v>1750</v>
      </c>
    </row>
    <row r="154" spans="1:10" ht="15" x14ac:dyDescent="0.35">
      <c r="A154" s="43" t="s">
        <v>467</v>
      </c>
      <c r="B154" s="199" t="s">
        <v>1757</v>
      </c>
      <c r="C154" s="199" t="s">
        <v>1838</v>
      </c>
      <c r="D154" s="199" t="s">
        <v>1977</v>
      </c>
      <c r="E154" s="2">
        <v>6848</v>
      </c>
      <c r="F154" s="2">
        <v>4983</v>
      </c>
      <c r="G154" s="2">
        <v>11483</v>
      </c>
      <c r="H154" s="2">
        <v>11483</v>
      </c>
      <c r="I154" s="2">
        <v>11483</v>
      </c>
      <c r="J154" s="2">
        <v>11483</v>
      </c>
    </row>
    <row r="155" spans="1:10" x14ac:dyDescent="0.2">
      <c r="A155" s="2" t="s">
        <v>911</v>
      </c>
      <c r="B155" s="2">
        <v>1885</v>
      </c>
      <c r="C155" s="2">
        <v>1885</v>
      </c>
      <c r="D155" s="2">
        <v>1885</v>
      </c>
    </row>
    <row r="156" spans="1:10" x14ac:dyDescent="0.2">
      <c r="A156" s="2" t="s">
        <v>452</v>
      </c>
      <c r="B156" s="2">
        <v>2003</v>
      </c>
      <c r="C156" s="2">
        <v>2003</v>
      </c>
      <c r="D156" s="2">
        <v>2003</v>
      </c>
    </row>
    <row r="157" spans="1:10" x14ac:dyDescent="0.2">
      <c r="A157" s="2" t="s">
        <v>540</v>
      </c>
      <c r="B157" s="2">
        <v>945</v>
      </c>
      <c r="C157" s="2">
        <v>945</v>
      </c>
      <c r="D157" s="2">
        <v>945</v>
      </c>
    </row>
    <row r="158" spans="1:10" x14ac:dyDescent="0.2">
      <c r="A158" s="2" t="s">
        <v>1843</v>
      </c>
      <c r="C158" s="2">
        <v>0</v>
      </c>
      <c r="D158" s="2">
        <v>6500</v>
      </c>
    </row>
    <row r="159" spans="1:10" ht="15" x14ac:dyDescent="0.35">
      <c r="A159" s="2" t="s">
        <v>274</v>
      </c>
      <c r="B159" s="10">
        <v>150</v>
      </c>
      <c r="C159" s="10">
        <v>150</v>
      </c>
      <c r="D159" s="10">
        <v>150</v>
      </c>
    </row>
    <row r="160" spans="1:10" x14ac:dyDescent="0.2">
      <c r="A160" s="2" t="s">
        <v>1073</v>
      </c>
      <c r="B160" s="2">
        <f>SUM(B155:B159)</f>
        <v>4983</v>
      </c>
      <c r="C160" s="2">
        <f>SUM(C155:C159)</f>
        <v>4983</v>
      </c>
      <c r="D160" s="2">
        <f>SUM(D155:D159)</f>
        <v>11483</v>
      </c>
    </row>
    <row r="162" spans="1:10" ht="15" x14ac:dyDescent="0.35">
      <c r="A162" s="43" t="s">
        <v>41</v>
      </c>
      <c r="B162" s="196" t="s">
        <v>1757</v>
      </c>
      <c r="C162" s="196" t="s">
        <v>1838</v>
      </c>
      <c r="D162" s="184" t="s">
        <v>1838</v>
      </c>
      <c r="E162" s="2">
        <v>12974</v>
      </c>
      <c r="F162" s="2">
        <v>5000</v>
      </c>
      <c r="G162" s="2">
        <v>5000</v>
      </c>
      <c r="H162" s="2">
        <v>5000</v>
      </c>
      <c r="I162" s="2">
        <v>5000</v>
      </c>
      <c r="J162" s="2">
        <v>5000</v>
      </c>
    </row>
    <row r="163" spans="1:10" x14ac:dyDescent="0.2">
      <c r="A163" s="2" t="s">
        <v>563</v>
      </c>
      <c r="B163" s="2">
        <v>5000</v>
      </c>
      <c r="C163" s="2">
        <v>5000</v>
      </c>
      <c r="D163" s="2">
        <v>5000</v>
      </c>
    </row>
    <row r="164" spans="1:10" ht="15" x14ac:dyDescent="0.35">
      <c r="A164" s="2" t="s">
        <v>1609</v>
      </c>
      <c r="B164" s="28">
        <v>0</v>
      </c>
      <c r="C164" s="28">
        <v>0</v>
      </c>
      <c r="D164" s="28">
        <v>0</v>
      </c>
    </row>
    <row r="165" spans="1:10" x14ac:dyDescent="0.2">
      <c r="B165" s="2">
        <f>SUM(B163:B164)</f>
        <v>5000</v>
      </c>
      <c r="C165" s="2">
        <f>SUM(C163:C164)</f>
        <v>5000</v>
      </c>
      <c r="D165" s="2">
        <f>SUM(D163:D164)</f>
        <v>5000</v>
      </c>
    </row>
    <row r="167" spans="1:10" ht="15" x14ac:dyDescent="0.35">
      <c r="A167" s="43" t="s">
        <v>42</v>
      </c>
      <c r="B167" s="199" t="s">
        <v>1757</v>
      </c>
      <c r="C167" s="199" t="s">
        <v>1838</v>
      </c>
      <c r="D167" s="199" t="s">
        <v>1977</v>
      </c>
      <c r="E167" s="2">
        <v>6919</v>
      </c>
      <c r="F167" s="2">
        <v>13650</v>
      </c>
      <c r="G167" s="2">
        <v>13650</v>
      </c>
      <c r="H167" s="2">
        <v>13650</v>
      </c>
      <c r="I167" s="2">
        <v>13650</v>
      </c>
      <c r="J167" s="2">
        <v>13650</v>
      </c>
    </row>
    <row r="168" spans="1:10" x14ac:dyDescent="0.2">
      <c r="A168" s="2" t="s">
        <v>468</v>
      </c>
      <c r="B168" s="2">
        <v>750</v>
      </c>
      <c r="C168" s="2">
        <v>750</v>
      </c>
      <c r="D168" s="2">
        <v>750</v>
      </c>
    </row>
    <row r="169" spans="1:10" x14ac:dyDescent="0.2">
      <c r="A169" s="2" t="s">
        <v>885</v>
      </c>
      <c r="B169" s="2">
        <v>500</v>
      </c>
      <c r="C169" s="2">
        <v>500</v>
      </c>
      <c r="D169" s="2">
        <v>500</v>
      </c>
    </row>
    <row r="170" spans="1:10" x14ac:dyDescent="0.2">
      <c r="A170" s="2" t="s">
        <v>1379</v>
      </c>
      <c r="B170" s="2">
        <v>2500</v>
      </c>
      <c r="C170" s="2">
        <v>2500</v>
      </c>
      <c r="D170" s="2">
        <v>2500</v>
      </c>
    </row>
    <row r="171" spans="1:10" x14ac:dyDescent="0.2">
      <c r="A171" s="2" t="s">
        <v>243</v>
      </c>
      <c r="B171" s="2">
        <v>150</v>
      </c>
      <c r="C171" s="2">
        <v>150</v>
      </c>
      <c r="D171" s="2">
        <v>150</v>
      </c>
    </row>
    <row r="172" spans="1:10" x14ac:dyDescent="0.2">
      <c r="A172" s="2" t="s">
        <v>1380</v>
      </c>
      <c r="B172" s="2">
        <v>1000</v>
      </c>
      <c r="C172" s="2">
        <v>1000</v>
      </c>
      <c r="D172" s="2">
        <v>1000</v>
      </c>
    </row>
    <row r="173" spans="1:10" x14ac:dyDescent="0.2">
      <c r="A173" s="2" t="s">
        <v>242</v>
      </c>
      <c r="B173" s="2">
        <v>1000</v>
      </c>
      <c r="C173" s="2">
        <v>1000</v>
      </c>
      <c r="D173" s="2">
        <v>1000</v>
      </c>
    </row>
    <row r="174" spans="1:10" x14ac:dyDescent="0.2">
      <c r="A174" s="2" t="s">
        <v>201</v>
      </c>
      <c r="B174" s="2">
        <v>250</v>
      </c>
      <c r="C174" s="2">
        <v>250</v>
      </c>
      <c r="D174" s="2">
        <v>250</v>
      </c>
    </row>
    <row r="175" spans="1:10" ht="15" x14ac:dyDescent="0.35">
      <c r="A175" s="2" t="s">
        <v>25</v>
      </c>
      <c r="B175" s="10">
        <v>7500</v>
      </c>
      <c r="C175" s="10">
        <v>7500</v>
      </c>
      <c r="D175" s="10">
        <v>7500</v>
      </c>
    </row>
    <row r="176" spans="1:10" x14ac:dyDescent="0.2">
      <c r="A176" s="2" t="s">
        <v>1073</v>
      </c>
      <c r="B176" s="2">
        <f>SUM(B168:B175)</f>
        <v>13650</v>
      </c>
      <c r="C176" s="2">
        <f>SUM(C168:C175)</f>
        <v>13650</v>
      </c>
      <c r="D176" s="2">
        <f>SUM(D168:D175)</f>
        <v>13650</v>
      </c>
    </row>
    <row r="178" spans="1:10" ht="15" x14ac:dyDescent="0.35">
      <c r="A178" s="43" t="s">
        <v>971</v>
      </c>
      <c r="B178" s="199" t="s">
        <v>1757</v>
      </c>
      <c r="C178" s="199" t="s">
        <v>1838</v>
      </c>
      <c r="D178" s="199" t="s">
        <v>1977</v>
      </c>
      <c r="E178" s="2">
        <v>117646</v>
      </c>
      <c r="F178" s="2">
        <v>109900</v>
      </c>
      <c r="G178" s="2">
        <v>130900</v>
      </c>
      <c r="H178" s="2">
        <v>130900</v>
      </c>
      <c r="I178" s="2">
        <v>130900</v>
      </c>
      <c r="J178" s="2">
        <v>130900</v>
      </c>
    </row>
    <row r="179" spans="1:10" x14ac:dyDescent="0.2">
      <c r="A179" s="2" t="s">
        <v>515</v>
      </c>
      <c r="B179" s="2">
        <v>42500</v>
      </c>
      <c r="C179" s="2">
        <v>42500</v>
      </c>
      <c r="D179" s="2">
        <v>64000</v>
      </c>
    </row>
    <row r="180" spans="1:10" x14ac:dyDescent="0.2">
      <c r="A180" s="2" t="s">
        <v>558</v>
      </c>
      <c r="B180" s="2">
        <v>12000</v>
      </c>
      <c r="C180" s="2">
        <v>12000</v>
      </c>
      <c r="D180" s="2">
        <v>7000</v>
      </c>
    </row>
    <row r="181" spans="1:10" x14ac:dyDescent="0.2">
      <c r="A181" s="2" t="s">
        <v>71</v>
      </c>
      <c r="B181" s="2">
        <v>5000</v>
      </c>
      <c r="C181" s="2">
        <v>5000</v>
      </c>
      <c r="D181" s="2">
        <v>5000</v>
      </c>
    </row>
    <row r="182" spans="1:10" x14ac:dyDescent="0.2">
      <c r="A182" s="2" t="s">
        <v>1373</v>
      </c>
      <c r="B182" s="2">
        <v>2300</v>
      </c>
      <c r="C182" s="2">
        <v>2300</v>
      </c>
      <c r="D182" s="2">
        <v>6800</v>
      </c>
    </row>
    <row r="183" spans="1:10" x14ac:dyDescent="0.2">
      <c r="A183" s="2" t="s">
        <v>1973</v>
      </c>
      <c r="B183" s="2">
        <v>23100</v>
      </c>
      <c r="C183" s="2">
        <v>23100</v>
      </c>
      <c r="D183" s="2">
        <v>23100</v>
      </c>
    </row>
    <row r="184" spans="1:10" ht="15" x14ac:dyDescent="0.35">
      <c r="A184" s="2" t="s">
        <v>554</v>
      </c>
      <c r="B184" s="10">
        <v>25000</v>
      </c>
      <c r="C184" s="10">
        <f>35000-10000</f>
        <v>25000</v>
      </c>
      <c r="D184" s="10">
        <v>25000</v>
      </c>
    </row>
    <row r="185" spans="1:10" x14ac:dyDescent="0.2">
      <c r="A185" s="2" t="s">
        <v>1073</v>
      </c>
      <c r="B185" s="2">
        <f>SUM(B179:B184)</f>
        <v>109900</v>
      </c>
      <c r="C185" s="2">
        <f>SUM(C179:C184)</f>
        <v>109900</v>
      </c>
      <c r="D185" s="2">
        <f>SUM(D179:D184)</f>
        <v>130900</v>
      </c>
    </row>
    <row r="187" spans="1:10" ht="15" x14ac:dyDescent="0.35">
      <c r="A187" s="43" t="s">
        <v>516</v>
      </c>
      <c r="B187" s="199" t="s">
        <v>1757</v>
      </c>
      <c r="C187" s="199" t="s">
        <v>1838</v>
      </c>
      <c r="D187" s="199" t="s">
        <v>1977</v>
      </c>
      <c r="E187" s="2">
        <v>144517</v>
      </c>
      <c r="F187" s="2">
        <v>108850</v>
      </c>
      <c r="G187" s="2">
        <v>118200</v>
      </c>
      <c r="H187" s="2">
        <v>118200</v>
      </c>
      <c r="I187" s="2">
        <v>118200</v>
      </c>
      <c r="J187" s="2">
        <v>118200</v>
      </c>
    </row>
    <row r="188" spans="1:10" x14ac:dyDescent="0.2">
      <c r="A188" s="2" t="s">
        <v>517</v>
      </c>
      <c r="B188" s="2">
        <v>33000</v>
      </c>
      <c r="C188" s="2">
        <f>36000-3000</f>
        <v>33000</v>
      </c>
      <c r="D188" s="2">
        <f>36000-3000</f>
        <v>33000</v>
      </c>
    </row>
    <row r="189" spans="1:10" x14ac:dyDescent="0.2">
      <c r="A189" s="2" t="s">
        <v>899</v>
      </c>
      <c r="B189" s="2">
        <v>15000</v>
      </c>
      <c r="C189" s="2">
        <f>15000-3000</f>
        <v>12000</v>
      </c>
      <c r="D189" s="2">
        <v>15500</v>
      </c>
    </row>
    <row r="190" spans="1:10" x14ac:dyDescent="0.2">
      <c r="A190" s="2" t="s">
        <v>1701</v>
      </c>
      <c r="B190" s="2">
        <v>4000</v>
      </c>
      <c r="C190" s="2">
        <v>4000</v>
      </c>
      <c r="D190" s="2">
        <v>4000</v>
      </c>
    </row>
    <row r="191" spans="1:10" x14ac:dyDescent="0.2">
      <c r="A191" s="2" t="s">
        <v>1531</v>
      </c>
      <c r="B191" s="2">
        <v>12000</v>
      </c>
      <c r="C191" s="2">
        <v>12000</v>
      </c>
      <c r="D191" s="2">
        <v>12000</v>
      </c>
    </row>
    <row r="192" spans="1:10" x14ac:dyDescent="0.2">
      <c r="A192" s="2" t="s">
        <v>772</v>
      </c>
      <c r="B192" s="2">
        <v>3700</v>
      </c>
      <c r="C192" s="2">
        <v>3700</v>
      </c>
      <c r="D192" s="2">
        <v>3700</v>
      </c>
    </row>
    <row r="193" spans="1:10" x14ac:dyDescent="0.2">
      <c r="A193" s="2" t="s">
        <v>616</v>
      </c>
      <c r="B193" s="17">
        <v>48150</v>
      </c>
      <c r="C193" s="17">
        <f>48150-4000</f>
        <v>44150</v>
      </c>
      <c r="D193" s="17">
        <v>50000</v>
      </c>
    </row>
    <row r="194" spans="1:10" x14ac:dyDescent="0.2">
      <c r="A194" s="2" t="s">
        <v>1073</v>
      </c>
      <c r="B194" s="2">
        <f>SUM(B188:B193)</f>
        <v>115850</v>
      </c>
      <c r="C194" s="2">
        <f>SUM(C188:C193)</f>
        <v>108850</v>
      </c>
      <c r="D194" s="2">
        <f>SUM(D188:D193)</f>
        <v>118200</v>
      </c>
    </row>
    <row r="196" spans="1:10" ht="15" x14ac:dyDescent="0.35">
      <c r="A196" s="43" t="s">
        <v>556</v>
      </c>
      <c r="B196" s="199" t="s">
        <v>1757</v>
      </c>
      <c r="C196" s="199" t="s">
        <v>1838</v>
      </c>
      <c r="D196" s="199" t="s">
        <v>1977</v>
      </c>
      <c r="E196" s="2">
        <v>38866</v>
      </c>
      <c r="F196" s="2">
        <v>38866</v>
      </c>
      <c r="G196" s="2">
        <v>38866</v>
      </c>
      <c r="H196" s="2">
        <v>38866</v>
      </c>
      <c r="I196" s="2">
        <v>38866</v>
      </c>
      <c r="J196" s="2">
        <v>38866</v>
      </c>
    </row>
    <row r="197" spans="1:10" x14ac:dyDescent="0.2">
      <c r="A197" s="2" t="s">
        <v>364</v>
      </c>
      <c r="B197" s="2">
        <v>38866</v>
      </c>
      <c r="C197" s="2">
        <v>38866</v>
      </c>
      <c r="D197" s="2">
        <v>38866</v>
      </c>
    </row>
    <row r="199" spans="1:10" ht="13.5" x14ac:dyDescent="0.25">
      <c r="A199" s="43" t="s">
        <v>526</v>
      </c>
      <c r="E199" s="2">
        <v>5451</v>
      </c>
      <c r="F199" s="2">
        <v>10350</v>
      </c>
      <c r="G199" s="2">
        <v>10425</v>
      </c>
      <c r="H199" s="2">
        <v>10425</v>
      </c>
      <c r="I199" s="2">
        <v>10425</v>
      </c>
      <c r="J199" s="2">
        <v>10425</v>
      </c>
    </row>
    <row r="200" spans="1:10" ht="15" x14ac:dyDescent="0.35">
      <c r="A200" s="2" t="s">
        <v>699</v>
      </c>
      <c r="B200" s="199" t="s">
        <v>1757</v>
      </c>
      <c r="C200" s="199" t="s">
        <v>1838</v>
      </c>
      <c r="D200" s="199" t="s">
        <v>1977</v>
      </c>
    </row>
    <row r="201" spans="1:10" x14ac:dyDescent="0.2">
      <c r="A201" s="2" t="s">
        <v>700</v>
      </c>
      <c r="B201" s="2">
        <v>684</v>
      </c>
      <c r="C201" s="2">
        <v>600</v>
      </c>
      <c r="D201" s="2">
        <v>600</v>
      </c>
    </row>
    <row r="202" spans="1:10" x14ac:dyDescent="0.2">
      <c r="A202" s="2" t="s">
        <v>701</v>
      </c>
      <c r="B202" s="2">
        <v>519</v>
      </c>
      <c r="C202" s="2">
        <v>550</v>
      </c>
      <c r="D202" s="2">
        <v>550</v>
      </c>
    </row>
    <row r="203" spans="1:10" x14ac:dyDescent="0.2">
      <c r="A203" s="2" t="s">
        <v>702</v>
      </c>
      <c r="B203" s="2">
        <v>1964</v>
      </c>
      <c r="C203" s="2">
        <v>1400</v>
      </c>
      <c r="D203" s="2">
        <v>1400</v>
      </c>
    </row>
    <row r="204" spans="1:10" x14ac:dyDescent="0.2">
      <c r="A204" s="2" t="s">
        <v>703</v>
      </c>
      <c r="B204" s="2">
        <v>1493</v>
      </c>
      <c r="C204" s="2">
        <v>1500</v>
      </c>
      <c r="D204" s="2">
        <v>1500</v>
      </c>
    </row>
    <row r="205" spans="1:10" x14ac:dyDescent="0.2">
      <c r="A205" s="2" t="s">
        <v>704</v>
      </c>
      <c r="B205" s="2">
        <v>92</v>
      </c>
      <c r="C205" s="2">
        <v>120</v>
      </c>
      <c r="D205" s="2">
        <v>120</v>
      </c>
    </row>
    <row r="206" spans="1:10" x14ac:dyDescent="0.2">
      <c r="A206" s="2" t="s">
        <v>692</v>
      </c>
      <c r="B206" s="2">
        <v>1000</v>
      </c>
      <c r="C206" s="2">
        <v>4500</v>
      </c>
      <c r="D206" s="2">
        <v>4500</v>
      </c>
    </row>
    <row r="207" spans="1:10" x14ac:dyDescent="0.2">
      <c r="A207" s="2" t="s">
        <v>617</v>
      </c>
      <c r="B207" s="2">
        <v>182</v>
      </c>
      <c r="C207" s="2">
        <v>200</v>
      </c>
      <c r="D207" s="2">
        <v>200</v>
      </c>
    </row>
    <row r="208" spans="1:10" x14ac:dyDescent="0.2">
      <c r="A208" s="2" t="s">
        <v>1872</v>
      </c>
      <c r="B208" s="2">
        <v>0</v>
      </c>
      <c r="C208" s="2">
        <v>2400</v>
      </c>
      <c r="D208" s="2">
        <v>2400</v>
      </c>
    </row>
    <row r="209" spans="1:10" ht="15" x14ac:dyDescent="0.35">
      <c r="A209" s="2" t="s">
        <v>1117</v>
      </c>
      <c r="B209" s="10">
        <v>1186</v>
      </c>
      <c r="C209" s="10">
        <f>100+500+400+200+50</f>
        <v>1250</v>
      </c>
      <c r="D209" s="10">
        <f>100+500+400+200+50</f>
        <v>1250</v>
      </c>
    </row>
    <row r="210" spans="1:10" x14ac:dyDescent="0.2">
      <c r="A210" s="2" t="s">
        <v>1118</v>
      </c>
      <c r="B210" s="2">
        <f>SUM(B201:B209)</f>
        <v>7120</v>
      </c>
      <c r="C210" s="2">
        <f>SUM(C201:C209)</f>
        <v>12520</v>
      </c>
      <c r="D210" s="2">
        <f>SUM(D201:D209)</f>
        <v>12520</v>
      </c>
    </row>
    <row r="211" spans="1:10" x14ac:dyDescent="0.2">
      <c r="A211" s="2" t="s">
        <v>1482</v>
      </c>
      <c r="B211" s="2">
        <v>-2120</v>
      </c>
      <c r="C211" s="2">
        <v>-2520</v>
      </c>
      <c r="D211" s="2">
        <v>-2520</v>
      </c>
    </row>
    <row r="212" spans="1:10" x14ac:dyDescent="0.2">
      <c r="A212" s="2" t="s">
        <v>1204</v>
      </c>
      <c r="B212" s="17">
        <v>0</v>
      </c>
      <c r="C212" s="17">
        <v>0</v>
      </c>
      <c r="D212" s="17">
        <v>0</v>
      </c>
    </row>
    <row r="213" spans="1:10" x14ac:dyDescent="0.2">
      <c r="A213" s="2" t="s">
        <v>1391</v>
      </c>
      <c r="B213" s="2">
        <f>SUM(B210:B212)</f>
        <v>5000</v>
      </c>
      <c r="C213" s="2">
        <f>SUM(C210:C212)</f>
        <v>10000</v>
      </c>
      <c r="D213" s="2">
        <f>SUM(D210:D212)</f>
        <v>10000</v>
      </c>
    </row>
    <row r="214" spans="1:10" x14ac:dyDescent="0.2">
      <c r="A214" s="2" t="s">
        <v>1390</v>
      </c>
      <c r="B214" s="17">
        <v>240</v>
      </c>
      <c r="C214" s="17">
        <v>350</v>
      </c>
      <c r="D214" s="17">
        <v>425</v>
      </c>
    </row>
    <row r="215" spans="1:10" x14ac:dyDescent="0.2">
      <c r="A215" s="2" t="s">
        <v>398</v>
      </c>
      <c r="B215" s="2">
        <f>SUM(B213:B214)</f>
        <v>5240</v>
      </c>
      <c r="C215" s="2">
        <f>SUM(C213:C214)</f>
        <v>10350</v>
      </c>
      <c r="D215" s="2">
        <f>SUM(D213:D214)</f>
        <v>10425</v>
      </c>
    </row>
    <row r="217" spans="1:10" ht="15" x14ac:dyDescent="0.35">
      <c r="A217" s="43" t="s">
        <v>329</v>
      </c>
      <c r="B217" s="199" t="s">
        <v>1757</v>
      </c>
      <c r="C217" s="199" t="s">
        <v>1838</v>
      </c>
      <c r="D217" s="199" t="s">
        <v>1977</v>
      </c>
      <c r="E217" s="2">
        <v>0</v>
      </c>
      <c r="F217" s="2">
        <v>75</v>
      </c>
      <c r="G217" s="2">
        <v>0</v>
      </c>
      <c r="H217" s="2">
        <v>0</v>
      </c>
      <c r="I217" s="2">
        <v>0</v>
      </c>
      <c r="J217" s="2">
        <v>0</v>
      </c>
    </row>
    <row r="218" spans="1:10" x14ac:dyDescent="0.2">
      <c r="A218" s="183" t="s">
        <v>330</v>
      </c>
      <c r="B218" s="2">
        <v>75</v>
      </c>
      <c r="C218" s="2">
        <v>75</v>
      </c>
      <c r="D218" s="2">
        <v>0</v>
      </c>
    </row>
    <row r="219" spans="1:10" ht="15" x14ac:dyDescent="0.35">
      <c r="A219" s="183" t="s">
        <v>26</v>
      </c>
      <c r="B219" s="10">
        <v>0</v>
      </c>
      <c r="C219" s="10">
        <v>0</v>
      </c>
      <c r="D219" s="10">
        <v>0</v>
      </c>
    </row>
    <row r="220" spans="1:10" x14ac:dyDescent="0.2">
      <c r="B220" s="2">
        <f>SUM(B218:B219)</f>
        <v>75</v>
      </c>
      <c r="C220" s="2">
        <f>SUM(C218:C219)</f>
        <v>75</v>
      </c>
      <c r="D220" s="2">
        <f>SUM(D218:D219)</f>
        <v>0</v>
      </c>
    </row>
    <row r="223" spans="1:10" ht="15" x14ac:dyDescent="0.35">
      <c r="A223" s="43" t="s">
        <v>399</v>
      </c>
      <c r="B223" s="199" t="s">
        <v>1757</v>
      </c>
      <c r="C223" s="199" t="s">
        <v>1838</v>
      </c>
      <c r="D223" s="199" t="s">
        <v>1977</v>
      </c>
      <c r="E223" s="2">
        <v>57187</v>
      </c>
      <c r="F223" s="2">
        <v>19947</v>
      </c>
      <c r="G223" s="2">
        <v>38522</v>
      </c>
      <c r="H223" s="2">
        <v>38522</v>
      </c>
      <c r="I223" s="2">
        <v>38522</v>
      </c>
      <c r="J223" s="2">
        <v>38522</v>
      </c>
    </row>
    <row r="224" spans="1:10" x14ac:dyDescent="0.2">
      <c r="A224" s="2" t="s">
        <v>400</v>
      </c>
    </row>
    <row r="225" spans="1:4" x14ac:dyDescent="0.2">
      <c r="A225" s="2" t="s">
        <v>1403</v>
      </c>
      <c r="B225" s="2">
        <v>6000</v>
      </c>
      <c r="C225" s="2">
        <v>6000</v>
      </c>
      <c r="D225" s="2">
        <v>6000</v>
      </c>
    </row>
    <row r="226" spans="1:4" x14ac:dyDescent="0.2">
      <c r="A226" s="2" t="s">
        <v>2070</v>
      </c>
      <c r="B226" s="2">
        <v>4500</v>
      </c>
      <c r="C226" s="2">
        <v>1500</v>
      </c>
      <c r="D226" s="2">
        <v>4500</v>
      </c>
    </row>
    <row r="227" spans="1:4" ht="15" x14ac:dyDescent="0.35">
      <c r="A227" s="2" t="s">
        <v>2071</v>
      </c>
      <c r="B227" s="10">
        <v>3263</v>
      </c>
      <c r="C227" s="10">
        <v>1088</v>
      </c>
      <c r="D227" s="10">
        <v>3263</v>
      </c>
    </row>
    <row r="228" spans="1:4" x14ac:dyDescent="0.2">
      <c r="A228" s="2" t="s">
        <v>401</v>
      </c>
      <c r="B228" s="2">
        <f>SUM(B225:B227)</f>
        <v>13763</v>
      </c>
      <c r="C228" s="2">
        <f>SUM(C225:C227)</f>
        <v>8588</v>
      </c>
      <c r="D228" s="2">
        <f>SUM(D225:D227)</f>
        <v>13763</v>
      </c>
    </row>
    <row r="229" spans="1:4" x14ac:dyDescent="0.2">
      <c r="A229" s="2" t="s">
        <v>402</v>
      </c>
      <c r="B229" s="2">
        <f>ROUND(B225*0.0765,0)</f>
        <v>459</v>
      </c>
      <c r="C229" s="2">
        <f>ROUND(C225*0.0765,0)</f>
        <v>459</v>
      </c>
      <c r="D229" s="2">
        <f>ROUND(D225*0.0765,0)</f>
        <v>459</v>
      </c>
    </row>
    <row r="230" spans="1:4" x14ac:dyDescent="0.2">
      <c r="A230" s="2" t="s">
        <v>1691</v>
      </c>
      <c r="B230" s="2">
        <f>ROUND(B225*0.0016,0)</f>
        <v>10</v>
      </c>
      <c r="C230" s="2">
        <f>ROUND(C225*0.0016,0)</f>
        <v>10</v>
      </c>
      <c r="D230" s="2">
        <f>ROUND(D225*0.0016,0)</f>
        <v>10</v>
      </c>
    </row>
    <row r="231" spans="1:4" x14ac:dyDescent="0.2">
      <c r="A231" s="2" t="s">
        <v>1664</v>
      </c>
      <c r="B231" s="2">
        <f>+B225*0.34%</f>
        <v>20.400000000000002</v>
      </c>
      <c r="C231" s="2">
        <f>+C225*0.34%</f>
        <v>20.400000000000002</v>
      </c>
      <c r="D231" s="2">
        <f>+D225*0.34%</f>
        <v>20.400000000000002</v>
      </c>
    </row>
    <row r="232" spans="1:4" x14ac:dyDescent="0.2">
      <c r="A232" s="2" t="s">
        <v>548</v>
      </c>
      <c r="B232" s="2">
        <v>1400</v>
      </c>
      <c r="C232" s="2">
        <v>1400</v>
      </c>
      <c r="D232" s="2">
        <v>4200</v>
      </c>
    </row>
    <row r="233" spans="1:4" x14ac:dyDescent="0.2">
      <c r="A233" s="2" t="s">
        <v>423</v>
      </c>
      <c r="B233" s="2">
        <v>12000</v>
      </c>
      <c r="C233" s="2">
        <v>4000</v>
      </c>
      <c r="D233" s="2">
        <v>12000</v>
      </c>
    </row>
    <row r="234" spans="1:4" x14ac:dyDescent="0.2">
      <c r="A234" s="2" t="s">
        <v>189</v>
      </c>
      <c r="B234" s="2">
        <v>750</v>
      </c>
      <c r="C234" s="2">
        <v>250</v>
      </c>
      <c r="D234" s="2">
        <v>750</v>
      </c>
    </row>
    <row r="235" spans="1:4" x14ac:dyDescent="0.2">
      <c r="A235" s="2" t="s">
        <v>317</v>
      </c>
      <c r="B235" s="2">
        <v>2400</v>
      </c>
      <c r="C235" s="2">
        <v>1200</v>
      </c>
      <c r="D235" s="2">
        <v>3300</v>
      </c>
    </row>
    <row r="236" spans="1:4" x14ac:dyDescent="0.2">
      <c r="A236" s="2" t="s">
        <v>17</v>
      </c>
      <c r="B236" s="2">
        <v>2400</v>
      </c>
      <c r="C236" s="2">
        <v>2400</v>
      </c>
      <c r="D236" s="2">
        <v>2400</v>
      </c>
    </row>
    <row r="237" spans="1:4" x14ac:dyDescent="0.2">
      <c r="A237" s="2" t="s">
        <v>514</v>
      </c>
      <c r="B237" s="2">
        <v>120</v>
      </c>
      <c r="C237" s="2">
        <v>120</v>
      </c>
      <c r="D237" s="2">
        <v>120</v>
      </c>
    </row>
    <row r="238" spans="1:4" ht="15" x14ac:dyDescent="0.35">
      <c r="A238" s="2" t="s">
        <v>18</v>
      </c>
      <c r="B238" s="10">
        <v>1500</v>
      </c>
      <c r="C238" s="10">
        <v>1500</v>
      </c>
      <c r="D238" s="10">
        <v>1500</v>
      </c>
    </row>
    <row r="239" spans="1:4" x14ac:dyDescent="0.2">
      <c r="A239" s="2" t="s">
        <v>1073</v>
      </c>
      <c r="B239" s="2">
        <f>SUM(B228:B238)</f>
        <v>34822.400000000001</v>
      </c>
      <c r="C239" s="2">
        <f>SUM(C228:C238)</f>
        <v>19947.400000000001</v>
      </c>
      <c r="D239" s="2">
        <f>SUM(D228:D238)</f>
        <v>38522.400000000001</v>
      </c>
    </row>
    <row r="241" spans="1:10" ht="15" x14ac:dyDescent="0.35">
      <c r="A241" s="43" t="s">
        <v>19</v>
      </c>
      <c r="B241" s="199" t="s">
        <v>1757</v>
      </c>
      <c r="C241" s="199" t="s">
        <v>1838</v>
      </c>
      <c r="D241" s="199" t="s">
        <v>1977</v>
      </c>
      <c r="E241" s="2">
        <v>29356</v>
      </c>
      <c r="F241" s="2">
        <v>20000</v>
      </c>
      <c r="G241" s="2">
        <v>15000</v>
      </c>
      <c r="H241" s="2">
        <v>15000</v>
      </c>
      <c r="I241" s="2">
        <v>15000</v>
      </c>
      <c r="J241" s="2">
        <v>15000</v>
      </c>
    </row>
    <row r="242" spans="1:10" x14ac:dyDescent="0.2">
      <c r="A242" s="2" t="s">
        <v>586</v>
      </c>
      <c r="B242" s="2">
        <v>20000</v>
      </c>
      <c r="C242" s="2">
        <v>20000</v>
      </c>
      <c r="D242" s="2">
        <v>15000</v>
      </c>
    </row>
    <row r="244" spans="1:10" ht="15" x14ac:dyDescent="0.35">
      <c r="A244" s="43" t="s">
        <v>1007</v>
      </c>
      <c r="B244" s="199" t="s">
        <v>1757</v>
      </c>
      <c r="C244" s="199" t="s">
        <v>1838</v>
      </c>
      <c r="D244" s="199" t="s">
        <v>1977</v>
      </c>
      <c r="E244" s="2">
        <v>11625</v>
      </c>
      <c r="F244" s="2">
        <v>18800</v>
      </c>
      <c r="G244" s="2">
        <v>16300</v>
      </c>
      <c r="H244" s="2">
        <v>16300</v>
      </c>
      <c r="I244" s="2">
        <v>16300</v>
      </c>
      <c r="J244" s="2">
        <v>16300</v>
      </c>
    </row>
    <row r="245" spans="1:10" x14ac:dyDescent="0.2">
      <c r="A245" s="2" t="s">
        <v>1008</v>
      </c>
      <c r="B245" s="2">
        <v>5000</v>
      </c>
      <c r="C245" s="2">
        <v>5000</v>
      </c>
      <c r="D245" s="2">
        <v>2500</v>
      </c>
    </row>
    <row r="246" spans="1:10" x14ac:dyDescent="0.2">
      <c r="A246" s="2" t="s">
        <v>1665</v>
      </c>
      <c r="B246" s="2">
        <v>5000</v>
      </c>
      <c r="C246" s="2">
        <v>5000</v>
      </c>
      <c r="D246" s="2">
        <v>5000</v>
      </c>
    </row>
    <row r="247" spans="1:10" x14ac:dyDescent="0.2">
      <c r="A247" s="2" t="s">
        <v>127</v>
      </c>
      <c r="B247" s="2">
        <v>8500</v>
      </c>
      <c r="C247" s="2">
        <v>8500</v>
      </c>
      <c r="D247" s="2">
        <v>8500</v>
      </c>
    </row>
    <row r="248" spans="1:10" ht="15" x14ac:dyDescent="0.35">
      <c r="A248" s="2" t="s">
        <v>274</v>
      </c>
      <c r="B248" s="10">
        <v>300</v>
      </c>
      <c r="C248" s="10">
        <v>300</v>
      </c>
      <c r="D248" s="10">
        <v>300</v>
      </c>
    </row>
    <row r="249" spans="1:10" x14ac:dyDescent="0.2">
      <c r="A249" s="2" t="s">
        <v>1073</v>
      </c>
      <c r="B249" s="2">
        <f>SUM(B245:B248)</f>
        <v>18800</v>
      </c>
      <c r="C249" s="2">
        <f>SUM(C245:C248)</f>
        <v>18800</v>
      </c>
      <c r="D249" s="2">
        <f>SUM(D245:D248)</f>
        <v>16300</v>
      </c>
    </row>
    <row r="251" spans="1:10" ht="15" x14ac:dyDescent="0.35">
      <c r="A251" s="43" t="s">
        <v>1281</v>
      </c>
      <c r="B251" s="199" t="s">
        <v>1757</v>
      </c>
      <c r="C251" s="199" t="s">
        <v>1838</v>
      </c>
      <c r="D251" s="199" t="s">
        <v>1977</v>
      </c>
      <c r="E251" s="2">
        <v>0</v>
      </c>
      <c r="F251" s="2">
        <v>1</v>
      </c>
      <c r="G251" s="2">
        <v>1</v>
      </c>
      <c r="H251" s="2">
        <v>1</v>
      </c>
      <c r="I251" s="2">
        <v>1</v>
      </c>
      <c r="J251" s="2">
        <v>1</v>
      </c>
    </row>
    <row r="252" spans="1:10" x14ac:dyDescent="0.2">
      <c r="A252" s="2" t="s">
        <v>574</v>
      </c>
      <c r="B252" s="2">
        <v>1</v>
      </c>
      <c r="C252" s="2">
        <v>1</v>
      </c>
      <c r="D252" s="2">
        <v>0</v>
      </c>
    </row>
    <row r="254" spans="1:10" ht="15" x14ac:dyDescent="0.35">
      <c r="A254" s="43" t="s">
        <v>1684</v>
      </c>
      <c r="B254" s="196"/>
      <c r="C254" s="196"/>
      <c r="D254" s="184"/>
      <c r="E254" s="2">
        <v>35473</v>
      </c>
      <c r="F254" s="2">
        <v>0</v>
      </c>
      <c r="G254" s="2">
        <v>0</v>
      </c>
      <c r="H254" s="2">
        <v>0</v>
      </c>
      <c r="I254" s="2">
        <v>0</v>
      </c>
      <c r="J254" s="2">
        <v>0</v>
      </c>
    </row>
    <row r="255" spans="1:10" x14ac:dyDescent="0.2">
      <c r="A255" s="2" t="s">
        <v>1029</v>
      </c>
    </row>
    <row r="258" spans="1:10" ht="15" x14ac:dyDescent="0.35">
      <c r="A258" s="43" t="s">
        <v>686</v>
      </c>
      <c r="B258" s="199" t="s">
        <v>1757</v>
      </c>
      <c r="C258" s="199" t="s">
        <v>1838</v>
      </c>
      <c r="D258" s="199" t="s">
        <v>1977</v>
      </c>
      <c r="E258" s="2">
        <v>18819</v>
      </c>
      <c r="F258" s="2">
        <v>3500</v>
      </c>
      <c r="G258" s="2">
        <v>3500</v>
      </c>
      <c r="H258" s="2">
        <v>3500</v>
      </c>
      <c r="I258" s="2">
        <v>3500</v>
      </c>
      <c r="J258" s="2">
        <v>3500</v>
      </c>
    </row>
    <row r="259" spans="1:10" ht="15" x14ac:dyDescent="0.35">
      <c r="A259" s="2" t="s">
        <v>1226</v>
      </c>
      <c r="B259" s="10">
        <v>3500</v>
      </c>
      <c r="C259" s="10">
        <v>3500</v>
      </c>
      <c r="D259" s="10">
        <v>3500</v>
      </c>
    </row>
    <row r="260" spans="1:10" x14ac:dyDescent="0.2">
      <c r="A260" s="2" t="s">
        <v>1073</v>
      </c>
      <c r="B260" s="2">
        <f>+B259</f>
        <v>3500</v>
      </c>
      <c r="C260" s="2">
        <f>SUM(C259:C259)</f>
        <v>3500</v>
      </c>
      <c r="D260" s="2">
        <f>SUM(D259:D259)</f>
        <v>3500</v>
      </c>
    </row>
    <row r="262" spans="1:10" ht="15" x14ac:dyDescent="0.35">
      <c r="A262" s="43" t="s">
        <v>1233</v>
      </c>
      <c r="B262" s="199" t="s">
        <v>1757</v>
      </c>
      <c r="C262" s="199" t="s">
        <v>1838</v>
      </c>
      <c r="D262" s="199" t="s">
        <v>1977</v>
      </c>
      <c r="E262" s="2">
        <v>300</v>
      </c>
      <c r="F262" s="2">
        <v>300</v>
      </c>
      <c r="G262" s="2">
        <v>300</v>
      </c>
      <c r="H262" s="2">
        <v>300</v>
      </c>
      <c r="I262" s="2">
        <v>300</v>
      </c>
      <c r="J262" s="2">
        <v>55300</v>
      </c>
    </row>
    <row r="263" spans="1:10" ht="15" x14ac:dyDescent="0.35">
      <c r="A263" s="2" t="s">
        <v>497</v>
      </c>
      <c r="B263" s="18"/>
      <c r="C263" s="18"/>
      <c r="D263" s="18"/>
      <c r="E263" s="10"/>
      <c r="F263" s="10"/>
      <c r="G263" s="10"/>
      <c r="H263" s="10"/>
      <c r="I263" s="10"/>
      <c r="J263" s="10"/>
    </row>
    <row r="264" spans="1:10" x14ac:dyDescent="0.2">
      <c r="A264" s="2" t="s">
        <v>875</v>
      </c>
      <c r="B264" s="7">
        <v>300</v>
      </c>
      <c r="C264" s="7">
        <v>300</v>
      </c>
      <c r="D264" s="7">
        <v>300</v>
      </c>
      <c r="E264" s="7"/>
      <c r="F264" s="7"/>
      <c r="G264" s="7"/>
      <c r="H264" s="7"/>
      <c r="I264" s="7"/>
      <c r="J264" s="7"/>
    </row>
    <row r="265" spans="1:10" x14ac:dyDescent="0.2">
      <c r="A265" s="2" t="s">
        <v>1033</v>
      </c>
      <c r="B265" s="7">
        <v>0</v>
      </c>
      <c r="C265" s="7">
        <v>0</v>
      </c>
      <c r="D265" s="7">
        <v>0</v>
      </c>
      <c r="E265" s="7"/>
      <c r="F265" s="7"/>
      <c r="G265" s="7"/>
      <c r="H265" s="7"/>
      <c r="I265" s="7"/>
      <c r="J265" s="7"/>
    </row>
    <row r="266" spans="1:10" x14ac:dyDescent="0.2">
      <c r="A266" s="2" t="s">
        <v>529</v>
      </c>
      <c r="B266" s="18">
        <v>0</v>
      </c>
      <c r="C266" s="18">
        <v>0</v>
      </c>
      <c r="D266" s="18">
        <v>0</v>
      </c>
      <c r="E266" s="18"/>
      <c r="F266" s="18"/>
      <c r="G266" s="18"/>
      <c r="H266" s="18"/>
      <c r="I266" s="18"/>
      <c r="J266" s="18"/>
    </row>
    <row r="267" spans="1:10" x14ac:dyDescent="0.2">
      <c r="A267" s="2" t="s">
        <v>221</v>
      </c>
      <c r="B267" s="7">
        <f>SUM(B264:B266)</f>
        <v>300</v>
      </c>
      <c r="C267" s="7">
        <f>SUM(C264:C266)</f>
        <v>300</v>
      </c>
      <c r="D267" s="7">
        <f>SUM(D264:D266)</f>
        <v>300</v>
      </c>
      <c r="E267" s="7"/>
      <c r="F267" s="7"/>
      <c r="G267" s="7"/>
      <c r="H267" s="7"/>
      <c r="I267" s="7"/>
      <c r="J267" s="7"/>
    </row>
    <row r="268" spans="1:10" x14ac:dyDescent="0.2">
      <c r="A268" s="2" t="s">
        <v>282</v>
      </c>
      <c r="B268" s="2">
        <v>35000</v>
      </c>
      <c r="C268" s="2">
        <v>35000</v>
      </c>
      <c r="D268" s="2">
        <v>35000</v>
      </c>
    </row>
    <row r="269" spans="1:10" x14ac:dyDescent="0.2">
      <c r="A269" s="2" t="s">
        <v>1666</v>
      </c>
      <c r="B269" s="2">
        <v>10000</v>
      </c>
      <c r="C269" s="2">
        <v>10000</v>
      </c>
      <c r="D269" s="2">
        <v>10000</v>
      </c>
    </row>
    <row r="270" spans="1:10" ht="15" x14ac:dyDescent="0.35">
      <c r="A270" s="2" t="s">
        <v>283</v>
      </c>
      <c r="B270" s="10">
        <v>10000</v>
      </c>
      <c r="C270" s="10">
        <v>10000</v>
      </c>
      <c r="D270" s="10">
        <v>10000</v>
      </c>
    </row>
    <row r="271" spans="1:10" x14ac:dyDescent="0.2">
      <c r="A271" s="2" t="s">
        <v>1073</v>
      </c>
      <c r="B271" s="2">
        <f>SUM(B267:B270)</f>
        <v>55300</v>
      </c>
      <c r="C271" s="2">
        <f>SUM(C267:C270)</f>
        <v>55300</v>
      </c>
      <c r="D271" s="2">
        <f>SUM(D267:D270)</f>
        <v>55300</v>
      </c>
    </row>
    <row r="273" spans="1:10" x14ac:dyDescent="0.2">
      <c r="A273" s="15" t="s">
        <v>345</v>
      </c>
    </row>
    <row r="274" spans="1:10" x14ac:dyDescent="0.2">
      <c r="A274" s="2" t="s">
        <v>1151</v>
      </c>
      <c r="E274" s="2">
        <f t="shared" ref="E274:J274" si="2">SUM(E6:E267)</f>
        <v>2285197</v>
      </c>
      <c r="F274" s="2">
        <f t="shared" si="2"/>
        <v>2140167</v>
      </c>
      <c r="G274" s="2">
        <f t="shared" si="2"/>
        <v>2129981</v>
      </c>
      <c r="H274" s="2">
        <f t="shared" si="2"/>
        <v>2129981</v>
      </c>
      <c r="I274" s="2">
        <f t="shared" si="2"/>
        <v>2169461</v>
      </c>
      <c r="J274" s="2">
        <f t="shared" si="2"/>
        <v>2224461</v>
      </c>
    </row>
    <row r="276" spans="1:10" x14ac:dyDescent="0.2">
      <c r="A276" s="2" t="s">
        <v>519</v>
      </c>
      <c r="E276" s="2">
        <f>SUM(E6:E94)</f>
        <v>1436117</v>
      </c>
      <c r="F276" s="2">
        <f>SUM(F6:F94)</f>
        <v>1592114</v>
      </c>
      <c r="G276" s="2">
        <f>SUM(G6:G94)</f>
        <v>1501075</v>
      </c>
      <c r="H276" s="2">
        <f>SUM(H6:H99)</f>
        <v>1501075</v>
      </c>
      <c r="I276" s="2">
        <f>SUM(I6:I99)</f>
        <v>1540555</v>
      </c>
      <c r="J276" s="2">
        <f>SUM(J6:J94)</f>
        <v>1540555</v>
      </c>
    </row>
    <row r="277" spans="1:10" x14ac:dyDescent="0.2">
      <c r="A277" s="2" t="s">
        <v>809</v>
      </c>
      <c r="E277" s="2">
        <f t="shared" ref="E277:J277" si="3">SUM(E100:E244)</f>
        <v>794488</v>
      </c>
      <c r="F277" s="2">
        <f t="shared" si="3"/>
        <v>544252</v>
      </c>
      <c r="G277" s="2">
        <f t="shared" si="3"/>
        <v>625105</v>
      </c>
      <c r="H277" s="2">
        <f t="shared" si="3"/>
        <v>625105</v>
      </c>
      <c r="I277" s="2">
        <f t="shared" ref="I277" si="4">SUM(I100:I244)</f>
        <v>625105</v>
      </c>
      <c r="J277" s="2">
        <f t="shared" si="3"/>
        <v>625105</v>
      </c>
    </row>
    <row r="278" spans="1:10" ht="15" x14ac:dyDescent="0.35">
      <c r="A278" s="2" t="s">
        <v>810</v>
      </c>
      <c r="E278" s="10">
        <f t="shared" ref="E278:J278" si="5">SUM(E251:E267)</f>
        <v>54592</v>
      </c>
      <c r="F278" s="10">
        <f t="shared" si="5"/>
        <v>3801</v>
      </c>
      <c r="G278" s="10">
        <f t="shared" si="5"/>
        <v>3801</v>
      </c>
      <c r="H278" s="10">
        <f t="shared" si="5"/>
        <v>3801</v>
      </c>
      <c r="I278" s="10">
        <f t="shared" ref="I278" si="6">SUM(I251:I267)</f>
        <v>3801</v>
      </c>
      <c r="J278" s="10">
        <f t="shared" si="5"/>
        <v>58801</v>
      </c>
    </row>
    <row r="279" spans="1:10" x14ac:dyDescent="0.2">
      <c r="A279" s="2" t="s">
        <v>1073</v>
      </c>
      <c r="E279" s="2">
        <f t="shared" ref="E279:J279" si="7">SUM(E276:E278)</f>
        <v>2285197</v>
      </c>
      <c r="F279" s="2">
        <f t="shared" si="7"/>
        <v>2140167</v>
      </c>
      <c r="G279" s="2">
        <f t="shared" si="7"/>
        <v>2129981</v>
      </c>
      <c r="H279" s="2">
        <f t="shared" ref="H279:I279" si="8">SUM(H276:H278)</f>
        <v>2129981</v>
      </c>
      <c r="I279" s="2">
        <f t="shared" si="8"/>
        <v>2169461</v>
      </c>
      <c r="J279" s="2">
        <f t="shared" si="7"/>
        <v>2224461</v>
      </c>
    </row>
    <row r="282" spans="1:10" x14ac:dyDescent="0.2">
      <c r="G282" s="2">
        <f>+G279-F279</f>
        <v>-10186</v>
      </c>
    </row>
  </sheetData>
  <mergeCells count="1">
    <mergeCell ref="A1:J1"/>
  </mergeCells>
  <phoneticPr fontId="0" type="noConversion"/>
  <printOptions gridLines="1"/>
  <pageMargins left="0.75" right="0.16" top="0.51" bottom="0.22" header="0.5" footer="0.24"/>
  <pageSetup scale="86" fitToHeight="12" orientation="landscape" r:id="rId1"/>
  <headerFooter alignWithMargins="0"/>
  <rowBreaks count="2" manualBreakCount="2">
    <brk id="122" max="9" man="1"/>
    <brk id="198" max="9"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J332"/>
  <sheetViews>
    <sheetView view="pageBreakPreview" zoomScaleNormal="100" zoomScaleSheetLayoutView="100" workbookViewId="0">
      <pane ySplit="5" topLeftCell="A47" activePane="bottomLeft" state="frozen"/>
      <selection activeCell="D43" sqref="D43"/>
      <selection pane="bottomLeft" activeCell="A223" sqref="A223"/>
    </sheetView>
  </sheetViews>
  <sheetFormatPr defaultColWidth="8.85546875" defaultRowHeight="12.75" x14ac:dyDescent="0.2"/>
  <cols>
    <col min="1" max="1" width="58.85546875" style="183" customWidth="1"/>
    <col min="2" max="3" width="9.5703125" style="183" bestFit="1" customWidth="1"/>
    <col min="4" max="4" width="9.5703125" style="2" bestFit="1" customWidth="1"/>
    <col min="5" max="6" width="9.140625" style="183" bestFit="1" customWidth="1"/>
    <col min="7" max="7" width="11.7109375" style="183" bestFit="1" customWidth="1"/>
    <col min="8" max="8" width="12.42578125" style="2" customWidth="1"/>
    <col min="9" max="9" width="9.5703125" style="183" bestFit="1" customWidth="1"/>
    <col min="10" max="10" width="9.42578125" style="183" bestFit="1" customWidth="1"/>
    <col min="11" max="16384" width="8.85546875" style="183"/>
  </cols>
  <sheetData>
    <row r="1" spans="1:10" x14ac:dyDescent="0.2">
      <c r="A1" s="254" t="e">
        <f>#REF!</f>
        <v>#REF!</v>
      </c>
      <c r="B1" s="255"/>
      <c r="C1" s="255"/>
      <c r="D1" s="255"/>
      <c r="E1" s="255"/>
      <c r="F1" s="255"/>
      <c r="G1" s="255"/>
      <c r="H1" s="255"/>
      <c r="I1" s="255"/>
      <c r="J1" s="255"/>
    </row>
    <row r="2" spans="1:10" ht="18.75" x14ac:dyDescent="0.3">
      <c r="A2" s="91" t="s">
        <v>1578</v>
      </c>
      <c r="B2" s="91"/>
      <c r="C2" s="91"/>
      <c r="D2" s="91"/>
      <c r="E2" s="91"/>
      <c r="F2" s="91"/>
    </row>
    <row r="3" spans="1:10" x14ac:dyDescent="0.2">
      <c r="B3" s="2"/>
      <c r="C3" s="2"/>
      <c r="E3" s="2"/>
      <c r="F3" s="2"/>
    </row>
    <row r="4" spans="1:10" x14ac:dyDescent="0.2">
      <c r="B4" s="2"/>
      <c r="C4" s="2"/>
      <c r="E4" s="15" t="s">
        <v>204</v>
      </c>
      <c r="F4" s="15" t="s">
        <v>205</v>
      </c>
      <c r="G4" s="15" t="s">
        <v>61</v>
      </c>
      <c r="H4" s="15" t="s">
        <v>358</v>
      </c>
      <c r="I4" s="15" t="s">
        <v>270</v>
      </c>
      <c r="J4" s="15" t="s">
        <v>301</v>
      </c>
    </row>
    <row r="5" spans="1:10" ht="15" x14ac:dyDescent="0.35">
      <c r="B5" s="2"/>
      <c r="C5" s="2"/>
      <c r="E5" s="196" t="s">
        <v>1757</v>
      </c>
      <c r="F5" s="196" t="s">
        <v>1838</v>
      </c>
      <c r="G5" s="196" t="s">
        <v>1977</v>
      </c>
      <c r="H5" s="196" t="s">
        <v>1977</v>
      </c>
      <c r="I5" s="196" t="s">
        <v>1977</v>
      </c>
      <c r="J5" s="196" t="s">
        <v>1977</v>
      </c>
    </row>
    <row r="6" spans="1:10" ht="13.5" x14ac:dyDescent="0.25">
      <c r="A6" s="205" t="s">
        <v>1282</v>
      </c>
      <c r="B6" s="2"/>
      <c r="C6" s="2"/>
      <c r="E6" s="2">
        <v>75106</v>
      </c>
      <c r="F6" s="2">
        <v>78221</v>
      </c>
      <c r="G6" s="2">
        <v>76614</v>
      </c>
      <c r="H6" s="2">
        <v>76614</v>
      </c>
      <c r="I6" s="2">
        <v>78486</v>
      </c>
      <c r="J6" s="2">
        <v>78486</v>
      </c>
    </row>
    <row r="7" spans="1:10" x14ac:dyDescent="0.2">
      <c r="A7" s="22" t="s">
        <v>387</v>
      </c>
      <c r="B7" s="2">
        <v>52</v>
      </c>
      <c r="C7" s="2">
        <v>1487</v>
      </c>
      <c r="D7" s="2">
        <f>+C7*B7</f>
        <v>77324</v>
      </c>
      <c r="E7" s="2"/>
      <c r="F7" s="2"/>
      <c r="G7" s="2"/>
      <c r="I7" s="2"/>
      <c r="J7" s="2"/>
    </row>
    <row r="8" spans="1:10" ht="15" x14ac:dyDescent="0.35">
      <c r="A8" s="203" t="s">
        <v>824</v>
      </c>
      <c r="B8" s="2"/>
      <c r="C8" s="2"/>
      <c r="D8" s="10">
        <v>1162</v>
      </c>
      <c r="E8" s="2"/>
      <c r="F8" s="10"/>
      <c r="G8" s="10"/>
      <c r="H8" s="10"/>
      <c r="I8" s="10"/>
      <c r="J8" s="10"/>
    </row>
    <row r="9" spans="1:10" x14ac:dyDescent="0.2">
      <c r="A9" s="203" t="s">
        <v>1073</v>
      </c>
      <c r="B9" s="2"/>
      <c r="C9" s="2"/>
      <c r="D9" s="2">
        <f>SUM(D7:D8)</f>
        <v>78486</v>
      </c>
      <c r="E9" s="2"/>
      <c r="F9" s="2"/>
      <c r="G9" s="2"/>
      <c r="I9" s="2"/>
      <c r="J9" s="2"/>
    </row>
    <row r="10" spans="1:10" x14ac:dyDescent="0.2">
      <c r="A10" s="203"/>
      <c r="B10" s="2"/>
      <c r="C10" s="2"/>
      <c r="E10" s="2"/>
      <c r="F10" s="2"/>
      <c r="G10" s="2"/>
      <c r="I10" s="2"/>
      <c r="J10" s="2"/>
    </row>
    <row r="11" spans="1:10" x14ac:dyDescent="0.2">
      <c r="A11" s="203"/>
      <c r="B11" s="2"/>
      <c r="C11" s="2"/>
      <c r="E11" s="2"/>
      <c r="F11" s="2"/>
      <c r="G11" s="2"/>
      <c r="I11" s="2"/>
      <c r="J11" s="2"/>
    </row>
    <row r="12" spans="1:10" ht="13.5" x14ac:dyDescent="0.25">
      <c r="A12" s="205" t="s">
        <v>1591</v>
      </c>
      <c r="B12" s="2"/>
      <c r="C12" s="2"/>
      <c r="E12" s="2">
        <v>44990</v>
      </c>
      <c r="F12" s="2">
        <v>46746</v>
      </c>
      <c r="G12" s="2">
        <v>45916</v>
      </c>
      <c r="H12" s="2">
        <v>45916</v>
      </c>
      <c r="I12" s="2">
        <v>47060</v>
      </c>
      <c r="J12" s="2">
        <v>47060</v>
      </c>
    </row>
    <row r="13" spans="1:10" x14ac:dyDescent="0.2">
      <c r="A13" s="203" t="s">
        <v>1775</v>
      </c>
      <c r="B13" s="2">
        <v>52</v>
      </c>
      <c r="C13" s="2">
        <v>905</v>
      </c>
      <c r="D13" s="2">
        <f>+C13*B13</f>
        <v>47060</v>
      </c>
      <c r="E13" s="2"/>
      <c r="F13" s="2"/>
      <c r="G13" s="2"/>
      <c r="I13" s="2"/>
      <c r="J13" s="2"/>
    </row>
    <row r="14" spans="1:10" ht="15" x14ac:dyDescent="0.35">
      <c r="A14" s="203" t="s">
        <v>824</v>
      </c>
      <c r="B14" s="2"/>
      <c r="C14" s="2"/>
      <c r="D14" s="10">
        <v>0</v>
      </c>
      <c r="E14" s="203"/>
      <c r="F14" s="203"/>
      <c r="G14" s="203"/>
      <c r="H14" s="227"/>
      <c r="I14" s="231"/>
      <c r="J14" s="233"/>
    </row>
    <row r="15" spans="1:10" x14ac:dyDescent="0.2">
      <c r="A15" s="203" t="s">
        <v>1073</v>
      </c>
      <c r="B15" s="2"/>
      <c r="C15" s="2"/>
      <c r="D15" s="2">
        <f>SUM(D13:D14)</f>
        <v>47060</v>
      </c>
      <c r="E15" s="2"/>
      <c r="F15" s="2"/>
      <c r="G15" s="2"/>
      <c r="I15" s="2"/>
      <c r="J15" s="2"/>
    </row>
    <row r="16" spans="1:10" x14ac:dyDescent="0.2">
      <c r="A16" s="203"/>
      <c r="B16" s="2"/>
      <c r="C16" s="2"/>
      <c r="E16" s="2"/>
      <c r="F16" s="2"/>
      <c r="G16" s="2"/>
      <c r="I16" s="2"/>
      <c r="J16" s="2"/>
    </row>
    <row r="17" spans="1:10" x14ac:dyDescent="0.2">
      <c r="A17" s="203"/>
      <c r="B17" s="2"/>
      <c r="C17" s="2"/>
      <c r="E17" s="2"/>
      <c r="F17" s="2"/>
      <c r="G17" s="2"/>
      <c r="I17" s="2"/>
      <c r="J17" s="2"/>
    </row>
    <row r="18" spans="1:10" ht="13.5" x14ac:dyDescent="0.25">
      <c r="A18" s="205" t="s">
        <v>949</v>
      </c>
      <c r="B18" s="2"/>
      <c r="C18" s="2"/>
      <c r="E18" s="2">
        <v>23528</v>
      </c>
      <c r="F18" s="2">
        <v>38649</v>
      </c>
      <c r="G18" s="2">
        <v>43869</v>
      </c>
      <c r="H18" s="2">
        <v>43869</v>
      </c>
      <c r="I18" s="2">
        <v>43869</v>
      </c>
      <c r="J18" s="2">
        <v>43869</v>
      </c>
    </row>
    <row r="19" spans="1:10" x14ac:dyDescent="0.2">
      <c r="A19" s="203" t="s">
        <v>1998</v>
      </c>
      <c r="B19" s="2">
        <v>280</v>
      </c>
      <c r="C19" s="11">
        <v>12.49</v>
      </c>
      <c r="D19" s="2">
        <f t="shared" ref="D19:D24" si="0">ROUND(B19*C19,0)</f>
        <v>3497</v>
      </c>
      <c r="E19" s="2"/>
      <c r="F19" s="2"/>
      <c r="G19" s="2"/>
      <c r="I19" s="2"/>
      <c r="J19" s="2"/>
    </row>
    <row r="20" spans="1:10" x14ac:dyDescent="0.2">
      <c r="A20" s="203" t="s">
        <v>1999</v>
      </c>
      <c r="B20" s="2">
        <v>720</v>
      </c>
      <c r="C20" s="11">
        <v>15.45</v>
      </c>
      <c r="D20" s="2">
        <f t="shared" si="0"/>
        <v>11124</v>
      </c>
      <c r="E20" s="2"/>
      <c r="F20" s="2"/>
      <c r="G20" s="2"/>
      <c r="I20" s="2"/>
      <c r="J20" s="2"/>
    </row>
    <row r="21" spans="1:10" x14ac:dyDescent="0.2">
      <c r="A21" s="203" t="s">
        <v>1529</v>
      </c>
      <c r="B21" s="2">
        <v>200</v>
      </c>
      <c r="C21" s="11">
        <v>20.55</v>
      </c>
      <c r="D21" s="2">
        <f t="shared" si="0"/>
        <v>4110</v>
      </c>
      <c r="E21" s="2"/>
      <c r="F21" s="2"/>
      <c r="G21" s="2"/>
      <c r="I21" s="2"/>
      <c r="J21" s="2"/>
    </row>
    <row r="22" spans="1:10" x14ac:dyDescent="0.2">
      <c r="A22" s="203" t="s">
        <v>2000</v>
      </c>
      <c r="B22" s="2">
        <v>1300</v>
      </c>
      <c r="C22" s="11">
        <v>16.47</v>
      </c>
      <c r="D22" s="2">
        <f t="shared" si="0"/>
        <v>21411</v>
      </c>
      <c r="E22" s="2"/>
      <c r="F22" s="2"/>
      <c r="G22" s="2"/>
      <c r="I22" s="2"/>
      <c r="J22" s="2"/>
    </row>
    <row r="23" spans="1:10" x14ac:dyDescent="0.2">
      <c r="A23" s="203" t="s">
        <v>2001</v>
      </c>
      <c r="B23" s="2">
        <v>240</v>
      </c>
      <c r="C23" s="11">
        <v>13.03</v>
      </c>
      <c r="D23" s="2">
        <f t="shared" si="0"/>
        <v>3127</v>
      </c>
      <c r="E23" s="2"/>
      <c r="F23" s="2"/>
      <c r="G23" s="2"/>
      <c r="I23" s="2"/>
      <c r="J23" s="2"/>
    </row>
    <row r="24" spans="1:10" ht="15" x14ac:dyDescent="0.35">
      <c r="A24" s="203" t="s">
        <v>2002</v>
      </c>
      <c r="B24" s="2">
        <v>48</v>
      </c>
      <c r="C24" s="11">
        <v>12.49</v>
      </c>
      <c r="D24" s="10">
        <f t="shared" si="0"/>
        <v>600</v>
      </c>
      <c r="E24" s="2"/>
      <c r="F24" s="2"/>
      <c r="G24" s="2"/>
      <c r="I24" s="2"/>
      <c r="J24" s="2"/>
    </row>
    <row r="25" spans="1:10" x14ac:dyDescent="0.2">
      <c r="A25" s="203" t="s">
        <v>1073</v>
      </c>
      <c r="B25" s="2"/>
      <c r="C25" s="2"/>
      <c r="D25" s="2">
        <f>SUM(D19:D24)</f>
        <v>43869</v>
      </c>
      <c r="E25" s="2"/>
      <c r="F25" s="2"/>
      <c r="G25" s="2"/>
      <c r="I25" s="2"/>
      <c r="J25" s="2"/>
    </row>
    <row r="26" spans="1:10" x14ac:dyDescent="0.2">
      <c r="A26" s="203"/>
      <c r="B26" s="203"/>
      <c r="C26" s="203"/>
      <c r="E26" s="203"/>
      <c r="F26" s="203"/>
      <c r="G26" s="203"/>
      <c r="H26" s="227"/>
      <c r="I26" s="231"/>
      <c r="J26" s="233"/>
    </row>
    <row r="27" spans="1:10" s="200" customFormat="1" ht="13.5" x14ac:dyDescent="0.25">
      <c r="A27" s="205" t="s">
        <v>4</v>
      </c>
      <c r="B27" s="203"/>
      <c r="C27" s="203"/>
      <c r="D27" s="2"/>
      <c r="E27" s="2">
        <v>0</v>
      </c>
      <c r="F27" s="2">
        <v>599</v>
      </c>
      <c r="G27" s="2">
        <v>599</v>
      </c>
      <c r="H27" s="2">
        <v>599</v>
      </c>
      <c r="I27" s="2">
        <v>599</v>
      </c>
      <c r="J27" s="2">
        <v>599</v>
      </c>
    </row>
    <row r="28" spans="1:10" x14ac:dyDescent="0.2">
      <c r="A28" s="203" t="s">
        <v>1409</v>
      </c>
      <c r="B28" s="2">
        <v>38</v>
      </c>
      <c r="C28" s="11">
        <v>15.75</v>
      </c>
      <c r="D28" s="2">
        <f>+ROUND(C28*B28,0)</f>
        <v>599</v>
      </c>
      <c r="E28" s="2"/>
      <c r="F28" s="2"/>
      <c r="G28" s="2"/>
      <c r="I28" s="2"/>
      <c r="J28" s="2"/>
    </row>
    <row r="29" spans="1:10" x14ac:dyDescent="0.2">
      <c r="A29" s="203"/>
      <c r="B29" s="2"/>
      <c r="C29" s="11"/>
      <c r="E29" s="2"/>
      <c r="F29" s="2"/>
      <c r="G29" s="2"/>
      <c r="I29" s="2"/>
      <c r="J29" s="2"/>
    </row>
    <row r="30" spans="1:10" ht="13.5" x14ac:dyDescent="0.25">
      <c r="A30" s="205" t="s">
        <v>5</v>
      </c>
      <c r="B30" s="203"/>
      <c r="C30" s="203"/>
      <c r="E30" s="2">
        <v>10956</v>
      </c>
      <c r="F30" s="2">
        <v>12570</v>
      </c>
      <c r="G30" s="2">
        <v>12783</v>
      </c>
      <c r="H30" s="2">
        <v>12783</v>
      </c>
      <c r="I30" s="2">
        <v>13013</v>
      </c>
      <c r="J30" s="2">
        <v>13013</v>
      </c>
    </row>
    <row r="31" spans="1:10" hidden="1" x14ac:dyDescent="0.2">
      <c r="A31" s="12" t="s">
        <v>1271</v>
      </c>
      <c r="B31" s="2">
        <f>+D9</f>
        <v>78486</v>
      </c>
      <c r="C31" s="13">
        <v>7.6499999999999999E-2</v>
      </c>
      <c r="D31" s="2">
        <f>ROUND(B31*C31,0)+6</f>
        <v>6010</v>
      </c>
      <c r="E31" s="2"/>
      <c r="F31" s="2"/>
      <c r="G31" s="2"/>
      <c r="I31" s="2"/>
      <c r="J31" s="2"/>
    </row>
    <row r="32" spans="1:10" hidden="1" x14ac:dyDescent="0.2">
      <c r="A32" s="12" t="s">
        <v>688</v>
      </c>
      <c r="B32" s="2">
        <f>+D15</f>
        <v>47060</v>
      </c>
      <c r="C32" s="13">
        <v>7.6499999999999999E-2</v>
      </c>
      <c r="D32" s="2">
        <f>ROUND(B32*C32,0)</f>
        <v>3600</v>
      </c>
      <c r="E32" s="2"/>
      <c r="F32" s="2"/>
      <c r="G32" s="2"/>
      <c r="I32" s="2"/>
      <c r="J32" s="2"/>
    </row>
    <row r="33" spans="1:10" hidden="1" x14ac:dyDescent="0.2">
      <c r="A33" s="12" t="s">
        <v>155</v>
      </c>
      <c r="B33" s="2">
        <f>+D25</f>
        <v>43869</v>
      </c>
      <c r="C33" s="13">
        <v>7.6499999999999999E-2</v>
      </c>
      <c r="D33" s="2">
        <f>ROUND(B33*C33,0)</f>
        <v>3356</v>
      </c>
      <c r="E33" s="2"/>
      <c r="F33" s="2"/>
      <c r="G33" s="2"/>
      <c r="I33" s="2"/>
      <c r="J33" s="2"/>
    </row>
    <row r="34" spans="1:10" ht="15" hidden="1" x14ac:dyDescent="0.35">
      <c r="A34" s="12" t="s">
        <v>156</v>
      </c>
      <c r="B34" s="2">
        <f>+D28</f>
        <v>599</v>
      </c>
      <c r="C34" s="13">
        <v>7.6499999999999999E-2</v>
      </c>
      <c r="D34" s="10">
        <f>ROUND(B34*C34,0)</f>
        <v>46</v>
      </c>
      <c r="E34" s="2"/>
      <c r="F34" s="2"/>
      <c r="G34" s="2"/>
      <c r="I34" s="2"/>
      <c r="J34" s="2"/>
    </row>
    <row r="35" spans="1:10" hidden="1" x14ac:dyDescent="0.2">
      <c r="A35" s="203" t="s">
        <v>1073</v>
      </c>
      <c r="B35" s="203"/>
      <c r="C35" s="203"/>
      <c r="D35" s="2">
        <f>SUM(D31:D34)+1</f>
        <v>13013</v>
      </c>
      <c r="E35" s="2"/>
      <c r="F35" s="2"/>
      <c r="G35" s="2"/>
      <c r="I35" s="2"/>
      <c r="J35" s="2"/>
    </row>
    <row r="36" spans="1:10" x14ac:dyDescent="0.2">
      <c r="A36" s="203"/>
      <c r="B36" s="203"/>
      <c r="C36" s="203"/>
      <c r="E36" s="2"/>
      <c r="F36" s="2"/>
      <c r="G36" s="2"/>
      <c r="I36" s="2"/>
      <c r="J36" s="2"/>
    </row>
    <row r="37" spans="1:10" ht="13.5" x14ac:dyDescent="0.25">
      <c r="A37" s="205" t="s">
        <v>36</v>
      </c>
      <c r="B37" s="203"/>
      <c r="C37" s="203"/>
      <c r="E37" s="2">
        <v>13351</v>
      </c>
      <c r="F37" s="2">
        <v>17570</v>
      </c>
      <c r="G37" s="2">
        <v>17228</v>
      </c>
      <c r="H37" s="2">
        <v>17228</v>
      </c>
      <c r="I37" s="2">
        <v>17652</v>
      </c>
      <c r="J37" s="2">
        <v>17652</v>
      </c>
    </row>
    <row r="38" spans="1:10" hidden="1" x14ac:dyDescent="0.2">
      <c r="A38" s="12" t="s">
        <v>1271</v>
      </c>
      <c r="B38" s="2">
        <f>+D9</f>
        <v>78486</v>
      </c>
      <c r="C38" s="190">
        <v>0.1406</v>
      </c>
      <c r="D38" s="2">
        <f>ROUND(B38*C38,0)</f>
        <v>11035</v>
      </c>
      <c r="E38" s="2"/>
      <c r="F38" s="2"/>
      <c r="G38" s="2"/>
      <c r="I38" s="2"/>
      <c r="J38" s="2"/>
    </row>
    <row r="39" spans="1:10" ht="15" hidden="1" x14ac:dyDescent="0.35">
      <c r="A39" s="12" t="s">
        <v>688</v>
      </c>
      <c r="B39" s="2">
        <f>+D15</f>
        <v>47060</v>
      </c>
      <c r="C39" s="190">
        <v>0.1406</v>
      </c>
      <c r="D39" s="10">
        <f>ROUND(B39*C39,0)</f>
        <v>6617</v>
      </c>
      <c r="E39" s="2"/>
      <c r="F39" s="2"/>
      <c r="G39" s="2"/>
      <c r="I39" s="2"/>
      <c r="J39" s="2"/>
    </row>
    <row r="40" spans="1:10" hidden="1" x14ac:dyDescent="0.2">
      <c r="A40" s="203" t="s">
        <v>1073</v>
      </c>
      <c r="B40" s="2"/>
      <c r="C40" s="13"/>
      <c r="D40" s="2">
        <f>SUM(D38:D39)</f>
        <v>17652</v>
      </c>
      <c r="E40" s="2"/>
      <c r="F40" s="2"/>
      <c r="G40" s="2"/>
      <c r="I40" s="2"/>
      <c r="J40" s="2"/>
    </row>
    <row r="41" spans="1:10" x14ac:dyDescent="0.2">
      <c r="A41" s="203"/>
      <c r="B41" s="203"/>
      <c r="C41" s="203"/>
      <c r="E41" s="2"/>
      <c r="F41" s="2"/>
      <c r="G41" s="2"/>
      <c r="I41" s="2"/>
      <c r="J41" s="2"/>
    </row>
    <row r="42" spans="1:10" ht="13.5" x14ac:dyDescent="0.25">
      <c r="A42" s="205" t="s">
        <v>37</v>
      </c>
      <c r="B42" s="203"/>
      <c r="C42" s="203"/>
      <c r="E42" s="2">
        <v>38924</v>
      </c>
      <c r="F42" s="2">
        <v>39500</v>
      </c>
      <c r="G42" s="2">
        <v>39000</v>
      </c>
      <c r="H42" s="2">
        <v>39000</v>
      </c>
      <c r="I42" s="2">
        <v>38000</v>
      </c>
      <c r="J42" s="2">
        <v>38000</v>
      </c>
    </row>
    <row r="43" spans="1:10" hidden="1" x14ac:dyDescent="0.2">
      <c r="A43" s="203" t="s">
        <v>365</v>
      </c>
      <c r="B43" s="2">
        <v>2</v>
      </c>
      <c r="C43" s="2">
        <v>19000</v>
      </c>
      <c r="D43" s="2">
        <f>ROUND(B43*C43,0)</f>
        <v>38000</v>
      </c>
      <c r="E43" s="2"/>
      <c r="F43" s="2"/>
      <c r="G43" s="2"/>
      <c r="I43" s="2"/>
      <c r="J43" s="2"/>
    </row>
    <row r="44" spans="1:10" x14ac:dyDescent="0.2">
      <c r="A44" s="203"/>
      <c r="B44" s="2"/>
      <c r="C44" s="203"/>
      <c r="E44" s="2"/>
      <c r="F44" s="2"/>
      <c r="G44" s="2"/>
      <c r="I44" s="2"/>
      <c r="J44" s="2"/>
    </row>
    <row r="45" spans="1:10" ht="13.5" x14ac:dyDescent="0.25">
      <c r="A45" s="205" t="s">
        <v>936</v>
      </c>
      <c r="B45" s="2"/>
      <c r="C45" s="203"/>
      <c r="E45" s="2">
        <v>2485</v>
      </c>
      <c r="F45" s="2">
        <v>2520</v>
      </c>
      <c r="G45" s="2">
        <v>2475</v>
      </c>
      <c r="H45" s="2">
        <v>2475</v>
      </c>
      <c r="I45" s="2">
        <v>2475</v>
      </c>
      <c r="J45" s="2">
        <v>2475</v>
      </c>
    </row>
    <row r="46" spans="1:10" x14ac:dyDescent="0.2">
      <c r="A46" s="203" t="s">
        <v>365</v>
      </c>
      <c r="B46" s="2">
        <v>2</v>
      </c>
      <c r="C46" s="2">
        <v>1375</v>
      </c>
      <c r="D46" s="2">
        <f>ROUND(B46*C46,0)</f>
        <v>2750</v>
      </c>
      <c r="E46" s="2"/>
      <c r="F46" s="2"/>
      <c r="G46" s="2"/>
      <c r="I46" s="2"/>
      <c r="J46" s="2"/>
    </row>
    <row r="47" spans="1:10" ht="15" x14ac:dyDescent="0.35">
      <c r="A47" s="203" t="s">
        <v>198</v>
      </c>
      <c r="B47" s="2"/>
      <c r="C47" s="2"/>
      <c r="D47" s="10">
        <f>+C46*-0.1*B46</f>
        <v>-275</v>
      </c>
      <c r="E47" s="2"/>
      <c r="F47" s="2"/>
      <c r="G47" s="2"/>
      <c r="I47" s="2"/>
      <c r="J47" s="2"/>
    </row>
    <row r="48" spans="1:10" x14ac:dyDescent="0.2">
      <c r="A48" s="203" t="s">
        <v>683</v>
      </c>
      <c r="B48" s="2"/>
      <c r="C48" s="2"/>
      <c r="D48" s="2">
        <f>SUM(D46:D47)</f>
        <v>2475</v>
      </c>
      <c r="E48" s="2"/>
      <c r="F48" s="2"/>
      <c r="G48" s="2"/>
      <c r="I48" s="2"/>
      <c r="J48" s="2"/>
    </row>
    <row r="49" spans="1:10" x14ac:dyDescent="0.2">
      <c r="A49" s="203"/>
      <c r="B49" s="2"/>
      <c r="C49" s="203"/>
      <c r="E49" s="2"/>
      <c r="F49" s="2"/>
      <c r="G49" s="2"/>
      <c r="I49" s="2"/>
      <c r="J49" s="2"/>
    </row>
    <row r="50" spans="1:10" ht="13.5" x14ac:dyDescent="0.25">
      <c r="A50" s="205" t="s">
        <v>122</v>
      </c>
      <c r="B50" s="2"/>
      <c r="C50" s="203"/>
      <c r="E50" s="2">
        <v>266</v>
      </c>
      <c r="F50" s="2">
        <v>270</v>
      </c>
      <c r="G50" s="2">
        <v>270</v>
      </c>
      <c r="H50" s="2">
        <v>270</v>
      </c>
      <c r="I50" s="2">
        <v>270</v>
      </c>
      <c r="J50" s="2">
        <v>270</v>
      </c>
    </row>
    <row r="51" spans="1:10" x14ac:dyDescent="0.2">
      <c r="A51" s="203" t="s">
        <v>365</v>
      </c>
      <c r="B51" s="2">
        <v>2</v>
      </c>
      <c r="C51" s="2">
        <v>135</v>
      </c>
      <c r="D51" s="2">
        <f>ROUND(B51*C51,0)</f>
        <v>270</v>
      </c>
      <c r="E51" s="2"/>
      <c r="F51" s="2"/>
      <c r="G51" s="2"/>
      <c r="I51" s="2"/>
      <c r="J51" s="2"/>
    </row>
    <row r="52" spans="1:10" x14ac:dyDescent="0.2">
      <c r="A52" s="203"/>
      <c r="B52" s="2"/>
      <c r="C52" s="203"/>
      <c r="E52" s="2"/>
      <c r="F52" s="2"/>
      <c r="G52" s="2"/>
      <c r="I52" s="2"/>
      <c r="J52" s="2"/>
    </row>
    <row r="53" spans="1:10" ht="13.5" x14ac:dyDescent="0.25">
      <c r="A53" s="205" t="s">
        <v>123</v>
      </c>
      <c r="B53" s="2"/>
      <c r="C53" s="203"/>
      <c r="E53" s="2">
        <v>1383</v>
      </c>
      <c r="F53" s="2">
        <v>1100</v>
      </c>
      <c r="G53" s="2">
        <v>1050</v>
      </c>
      <c r="H53" s="2">
        <v>1050</v>
      </c>
      <c r="I53" s="2">
        <v>1050</v>
      </c>
      <c r="J53" s="2">
        <v>1050</v>
      </c>
    </row>
    <row r="54" spans="1:10" x14ac:dyDescent="0.2">
      <c r="A54" s="203" t="s">
        <v>365</v>
      </c>
      <c r="B54" s="2">
        <v>2</v>
      </c>
      <c r="C54" s="2">
        <v>525</v>
      </c>
      <c r="D54" s="2">
        <f>ROUND(B54*C54,0)</f>
        <v>1050</v>
      </c>
      <c r="E54" s="2"/>
      <c r="F54" s="2"/>
      <c r="G54" s="2"/>
      <c r="I54" s="2"/>
      <c r="J54" s="2"/>
    </row>
    <row r="55" spans="1:10" x14ac:dyDescent="0.2">
      <c r="A55" s="203"/>
      <c r="B55" s="203"/>
      <c r="C55" s="203"/>
      <c r="E55" s="2"/>
      <c r="F55" s="2"/>
      <c r="G55" s="2"/>
      <c r="I55" s="2"/>
      <c r="J55" s="2"/>
    </row>
    <row r="56" spans="1:10" ht="13.5" x14ac:dyDescent="0.25">
      <c r="A56" s="205" t="s">
        <v>124</v>
      </c>
      <c r="B56" s="203"/>
      <c r="C56" s="203"/>
      <c r="E56" s="2">
        <v>2628</v>
      </c>
      <c r="F56" s="2">
        <v>4251</v>
      </c>
      <c r="G56" s="2">
        <v>3943</v>
      </c>
      <c r="H56" s="2">
        <v>3943</v>
      </c>
      <c r="I56" s="2">
        <v>4014</v>
      </c>
      <c r="J56" s="2">
        <v>4014</v>
      </c>
    </row>
    <row r="57" spans="1:10" x14ac:dyDescent="0.2">
      <c r="A57" s="12" t="s">
        <v>1004</v>
      </c>
      <c r="B57" s="2">
        <f>+D7+D8</f>
        <v>78486</v>
      </c>
      <c r="C57" s="13">
        <v>2.3599999999999999E-2</v>
      </c>
      <c r="D57" s="2">
        <f>ROUND(B57*C57,0)</f>
        <v>1852</v>
      </c>
      <c r="E57" s="2"/>
      <c r="F57" s="2"/>
      <c r="G57" s="2"/>
      <c r="I57" s="2"/>
      <c r="J57" s="2"/>
    </row>
    <row r="58" spans="1:10" x14ac:dyDescent="0.2">
      <c r="A58" s="12" t="s">
        <v>1559</v>
      </c>
      <c r="B58" s="2">
        <f>+B32</f>
        <v>47060</v>
      </c>
      <c r="C58" s="13">
        <v>2.3599999999999999E-2</v>
      </c>
      <c r="D58" s="2">
        <f>ROUND(B58*C58,0)</f>
        <v>1111</v>
      </c>
      <c r="E58" s="2"/>
      <c r="F58" s="2"/>
      <c r="G58" s="2"/>
      <c r="I58" s="2"/>
      <c r="J58" s="2"/>
    </row>
    <row r="59" spans="1:10" x14ac:dyDescent="0.2">
      <c r="A59" s="12" t="s">
        <v>485</v>
      </c>
      <c r="B59" s="2">
        <f>+D22</f>
        <v>21411</v>
      </c>
      <c r="C59" s="13">
        <v>2.3599999999999999E-2</v>
      </c>
      <c r="D59" s="2">
        <f>ROUND(B59*C59,0)</f>
        <v>505</v>
      </c>
      <c r="E59" s="2"/>
      <c r="F59" s="2"/>
      <c r="G59" s="2"/>
      <c r="I59" s="2"/>
      <c r="J59" s="2"/>
    </row>
    <row r="60" spans="1:10" x14ac:dyDescent="0.2">
      <c r="A60" s="12" t="s">
        <v>1309</v>
      </c>
      <c r="B60" s="2">
        <f>+D21+D20+D19+D23+D24</f>
        <v>22458</v>
      </c>
      <c r="C60" s="13">
        <v>2.3599999999999999E-2</v>
      </c>
      <c r="D60" s="2">
        <f>ROUND(B60*C60,0)</f>
        <v>530</v>
      </c>
      <c r="E60" s="2"/>
      <c r="F60" s="2"/>
      <c r="G60" s="2"/>
      <c r="I60" s="2"/>
      <c r="J60" s="2"/>
    </row>
    <row r="61" spans="1:10" ht="15" x14ac:dyDescent="0.35">
      <c r="A61" s="12" t="s">
        <v>1606</v>
      </c>
      <c r="B61" s="2">
        <f>+D28</f>
        <v>599</v>
      </c>
      <c r="C61" s="13">
        <v>2.3599999999999999E-2</v>
      </c>
      <c r="D61" s="10">
        <f>ROUND(B61*C61,0)</f>
        <v>14</v>
      </c>
      <c r="E61" s="2"/>
      <c r="F61" s="2"/>
      <c r="G61" s="2"/>
      <c r="I61" s="2"/>
      <c r="J61" s="2"/>
    </row>
    <row r="62" spans="1:10" x14ac:dyDescent="0.2">
      <c r="A62" s="203" t="s">
        <v>1073</v>
      </c>
      <c r="B62" s="203"/>
      <c r="C62" s="203"/>
      <c r="D62" s="2">
        <f>SUM(D57:D61)+2</f>
        <v>4014</v>
      </c>
      <c r="E62" s="2"/>
      <c r="F62" s="2"/>
      <c r="G62" s="2"/>
      <c r="I62" s="2"/>
      <c r="J62" s="2"/>
    </row>
    <row r="63" spans="1:10" x14ac:dyDescent="0.2">
      <c r="A63" s="203"/>
      <c r="B63" s="203"/>
      <c r="C63" s="203"/>
      <c r="E63" s="2"/>
      <c r="F63" s="2"/>
      <c r="G63" s="2"/>
      <c r="I63" s="2"/>
      <c r="J63" s="2"/>
    </row>
    <row r="64" spans="1:10" ht="13.5" x14ac:dyDescent="0.25">
      <c r="A64" s="205" t="s">
        <v>293</v>
      </c>
      <c r="B64" s="203"/>
      <c r="C64" s="203"/>
      <c r="E64" s="2">
        <v>121</v>
      </c>
      <c r="F64" s="2">
        <v>114</v>
      </c>
      <c r="G64" s="2">
        <v>114</v>
      </c>
      <c r="H64" s="2">
        <v>114</v>
      </c>
      <c r="I64" s="2">
        <v>114</v>
      </c>
      <c r="J64" s="2">
        <v>114</v>
      </c>
    </row>
    <row r="65" spans="1:10" x14ac:dyDescent="0.2">
      <c r="A65" s="203" t="s">
        <v>1780</v>
      </c>
      <c r="B65" s="2">
        <v>1</v>
      </c>
      <c r="C65" s="2">
        <v>20</v>
      </c>
      <c r="D65" s="2">
        <f>ROUND(B65*C65,0)</f>
        <v>20</v>
      </c>
      <c r="E65" s="2"/>
      <c r="F65" s="2"/>
      <c r="G65" s="2"/>
      <c r="I65" s="2"/>
      <c r="J65" s="2"/>
    </row>
    <row r="66" spans="1:10" x14ac:dyDescent="0.2">
      <c r="A66" s="12" t="s">
        <v>1559</v>
      </c>
      <c r="B66" s="2">
        <v>1</v>
      </c>
      <c r="C66" s="2">
        <v>20</v>
      </c>
      <c r="D66" s="2">
        <f>ROUND(B66*C66,0)</f>
        <v>20</v>
      </c>
      <c r="E66" s="2"/>
      <c r="F66" s="2"/>
      <c r="G66" s="2"/>
      <c r="I66" s="2"/>
      <c r="J66" s="2"/>
    </row>
    <row r="67" spans="1:10" x14ac:dyDescent="0.2">
      <c r="A67" s="12" t="s">
        <v>1522</v>
      </c>
      <c r="B67" s="85">
        <v>0.5</v>
      </c>
      <c r="C67" s="2">
        <v>20</v>
      </c>
      <c r="D67" s="2">
        <f>ROUND(B67*C67,0)</f>
        <v>10</v>
      </c>
      <c r="E67" s="2"/>
      <c r="F67" s="2"/>
      <c r="G67" s="2"/>
      <c r="I67" s="2"/>
      <c r="J67" s="2"/>
    </row>
    <row r="68" spans="1:10" x14ac:dyDescent="0.2">
      <c r="A68" s="12" t="s">
        <v>155</v>
      </c>
      <c r="B68" s="2">
        <f>+D19+D20+D21+D23+D24</f>
        <v>22458</v>
      </c>
      <c r="C68" s="13">
        <v>1.4E-3</v>
      </c>
      <c r="D68" s="2">
        <f>ROUND(B68*C68,0)+13</f>
        <v>44</v>
      </c>
      <c r="E68" s="2"/>
      <c r="F68" s="2"/>
      <c r="G68" s="2"/>
      <c r="I68" s="2"/>
      <c r="J68" s="2"/>
    </row>
    <row r="69" spans="1:10" ht="15" x14ac:dyDescent="0.35">
      <c r="A69" s="12" t="s">
        <v>1779</v>
      </c>
      <c r="B69" s="2">
        <v>1</v>
      </c>
      <c r="C69" s="2">
        <v>20</v>
      </c>
      <c r="D69" s="10">
        <f>ROUND(B69*C69,0)</f>
        <v>20</v>
      </c>
      <c r="E69" s="2"/>
      <c r="F69" s="2"/>
      <c r="G69" s="2"/>
      <c r="I69" s="2"/>
      <c r="J69" s="2"/>
    </row>
    <row r="70" spans="1:10" x14ac:dyDescent="0.2">
      <c r="A70" s="203" t="s">
        <v>1073</v>
      </c>
      <c r="B70" s="203"/>
      <c r="C70" s="203"/>
      <c r="D70" s="2">
        <f>SUM(D65:D69)</f>
        <v>114</v>
      </c>
      <c r="E70" s="2"/>
      <c r="F70" s="2"/>
      <c r="G70" s="2"/>
      <c r="I70" s="2"/>
      <c r="J70" s="2"/>
    </row>
    <row r="71" spans="1:10" x14ac:dyDescent="0.2">
      <c r="A71" s="203"/>
      <c r="B71" s="203"/>
      <c r="C71" s="203"/>
      <c r="E71" s="2"/>
      <c r="F71" s="2"/>
      <c r="G71" s="2"/>
      <c r="I71" s="2"/>
      <c r="J71" s="2"/>
    </row>
    <row r="72" spans="1:10" ht="13.5" x14ac:dyDescent="0.25">
      <c r="A72" s="205" t="s">
        <v>294</v>
      </c>
      <c r="B72" s="203"/>
      <c r="C72" s="203"/>
      <c r="E72" s="2">
        <v>2344</v>
      </c>
      <c r="F72" s="2">
        <v>1000</v>
      </c>
      <c r="G72" s="2">
        <v>1000</v>
      </c>
      <c r="H72" s="2">
        <v>1000</v>
      </c>
      <c r="I72" s="2">
        <v>1000</v>
      </c>
      <c r="J72" s="2">
        <v>1000</v>
      </c>
    </row>
    <row r="73" spans="1:10" x14ac:dyDescent="0.2">
      <c r="A73" s="203" t="s">
        <v>363</v>
      </c>
      <c r="B73" s="203"/>
      <c r="C73" s="203"/>
      <c r="D73" s="2" t="s">
        <v>345</v>
      </c>
      <c r="E73" s="2"/>
      <c r="F73" s="2"/>
      <c r="G73" s="2"/>
      <c r="I73" s="2"/>
      <c r="J73" s="2"/>
    </row>
    <row r="74" spans="1:10" x14ac:dyDescent="0.2">
      <c r="A74" s="203" t="s">
        <v>513</v>
      </c>
      <c r="B74" s="203"/>
      <c r="C74" s="2"/>
      <c r="D74" s="2">
        <v>1000</v>
      </c>
      <c r="E74" s="2"/>
      <c r="F74" s="2"/>
      <c r="G74" s="2"/>
      <c r="I74" s="2"/>
      <c r="J74" s="2"/>
    </row>
    <row r="75" spans="1:10" x14ac:dyDescent="0.2">
      <c r="A75" s="203" t="s">
        <v>345</v>
      </c>
      <c r="B75" s="203"/>
      <c r="C75" s="2" t="s">
        <v>345</v>
      </c>
      <c r="D75" s="2" t="s">
        <v>345</v>
      </c>
      <c r="E75" s="2"/>
      <c r="F75" s="2"/>
      <c r="G75" s="2"/>
      <c r="I75" s="2"/>
      <c r="J75" s="2"/>
    </row>
    <row r="76" spans="1:10" ht="13.5" x14ac:dyDescent="0.25">
      <c r="A76" s="205" t="s">
        <v>1185</v>
      </c>
      <c r="B76" s="203"/>
      <c r="C76" s="2"/>
      <c r="E76" s="2">
        <v>3581</v>
      </c>
      <c r="F76" s="2">
        <v>3500</v>
      </c>
      <c r="G76" s="2">
        <v>3500</v>
      </c>
      <c r="H76" s="2">
        <v>3500</v>
      </c>
      <c r="I76" s="2">
        <v>3500</v>
      </c>
      <c r="J76" s="2">
        <v>3500</v>
      </c>
    </row>
    <row r="77" spans="1:10" x14ac:dyDescent="0.2">
      <c r="A77" s="203" t="s">
        <v>443</v>
      </c>
      <c r="B77" s="5"/>
      <c r="C77" s="2"/>
      <c r="D77" s="2">
        <v>3500</v>
      </c>
      <c r="E77" s="2"/>
      <c r="F77" s="2"/>
      <c r="G77" s="2"/>
      <c r="I77" s="2"/>
      <c r="J77" s="2"/>
    </row>
    <row r="78" spans="1:10" x14ac:dyDescent="0.2">
      <c r="A78" s="5"/>
      <c r="B78" s="5"/>
      <c r="C78" s="2"/>
      <c r="E78" s="2"/>
      <c r="F78" s="2"/>
      <c r="G78" s="2"/>
      <c r="I78" s="2"/>
      <c r="J78" s="2"/>
    </row>
    <row r="79" spans="1:10" ht="13.5" x14ac:dyDescent="0.25">
      <c r="A79" s="205" t="s">
        <v>502</v>
      </c>
      <c r="B79" s="203"/>
      <c r="C79" s="203"/>
      <c r="D79" s="2" t="s">
        <v>345</v>
      </c>
      <c r="E79" s="2">
        <v>500</v>
      </c>
      <c r="F79" s="2">
        <v>500</v>
      </c>
      <c r="G79" s="2">
        <v>500</v>
      </c>
      <c r="H79" s="2">
        <v>500</v>
      </c>
      <c r="I79" s="2">
        <v>500</v>
      </c>
      <c r="J79" s="2">
        <v>500</v>
      </c>
    </row>
    <row r="80" spans="1:10" x14ac:dyDescent="0.2">
      <c r="A80" s="203" t="s">
        <v>1404</v>
      </c>
      <c r="B80" s="2" t="s">
        <v>345</v>
      </c>
      <c r="C80" s="2" t="s">
        <v>345</v>
      </c>
      <c r="D80" s="2">
        <v>500</v>
      </c>
      <c r="E80" s="2"/>
      <c r="F80" s="2"/>
      <c r="G80" s="2"/>
      <c r="I80" s="2"/>
      <c r="J80" s="2"/>
    </row>
    <row r="81" spans="1:10" x14ac:dyDescent="0.2">
      <c r="A81" s="203"/>
      <c r="B81" s="203"/>
      <c r="C81" s="203"/>
      <c r="E81" s="2"/>
      <c r="F81" s="2"/>
      <c r="G81" s="2"/>
      <c r="I81" s="2"/>
      <c r="J81" s="2"/>
    </row>
    <row r="82" spans="1:10" ht="13.5" x14ac:dyDescent="0.25">
      <c r="A82" s="205" t="s">
        <v>901</v>
      </c>
      <c r="B82" s="203"/>
      <c r="C82" s="203"/>
      <c r="E82" s="2">
        <v>760</v>
      </c>
      <c r="F82" s="2">
        <v>300</v>
      </c>
      <c r="G82" s="2">
        <v>300</v>
      </c>
      <c r="H82" s="2">
        <v>300</v>
      </c>
      <c r="I82" s="2">
        <v>300</v>
      </c>
      <c r="J82" s="2">
        <v>300</v>
      </c>
    </row>
    <row r="83" spans="1:10" x14ac:dyDescent="0.2">
      <c r="A83" s="203" t="s">
        <v>375</v>
      </c>
      <c r="B83" s="203"/>
      <c r="C83" s="2"/>
      <c r="D83" s="2">
        <v>300</v>
      </c>
      <c r="E83" s="203"/>
      <c r="F83" s="203"/>
      <c r="G83" s="203"/>
      <c r="H83" s="227"/>
      <c r="I83" s="231"/>
      <c r="J83" s="233"/>
    </row>
    <row r="84" spans="1:10" x14ac:dyDescent="0.2">
      <c r="A84" s="203" t="s">
        <v>345</v>
      </c>
      <c r="B84" s="203"/>
      <c r="C84" s="2" t="s">
        <v>345</v>
      </c>
      <c r="D84" s="2" t="s">
        <v>345</v>
      </c>
      <c r="E84" s="2"/>
      <c r="F84" s="2"/>
      <c r="G84" s="2"/>
      <c r="I84" s="2"/>
      <c r="J84" s="2"/>
    </row>
    <row r="85" spans="1:10" ht="13.5" x14ac:dyDescent="0.25">
      <c r="A85" s="205" t="s">
        <v>970</v>
      </c>
      <c r="B85" s="203"/>
      <c r="C85" s="2"/>
      <c r="E85" s="2">
        <v>443</v>
      </c>
      <c r="F85" s="2">
        <v>700</v>
      </c>
      <c r="G85" s="2">
        <v>500</v>
      </c>
      <c r="H85" s="2">
        <v>500</v>
      </c>
      <c r="I85" s="2">
        <v>500</v>
      </c>
      <c r="J85" s="2">
        <v>500</v>
      </c>
    </row>
    <row r="86" spans="1:10" x14ac:dyDescent="0.2">
      <c r="A86" s="203" t="s">
        <v>668</v>
      </c>
      <c r="B86" s="203"/>
      <c r="C86" s="2"/>
      <c r="D86" s="2">
        <v>500</v>
      </c>
      <c r="E86" s="2"/>
      <c r="F86" s="2"/>
      <c r="G86" s="2"/>
      <c r="I86" s="2"/>
      <c r="J86" s="2"/>
    </row>
    <row r="87" spans="1:10" ht="15" x14ac:dyDescent="0.35">
      <c r="A87" s="203" t="s">
        <v>1031</v>
      </c>
      <c r="B87" s="203"/>
      <c r="C87" s="2"/>
      <c r="D87" s="10">
        <v>0</v>
      </c>
      <c r="E87" s="2"/>
      <c r="F87" s="2"/>
      <c r="G87" s="2"/>
      <c r="I87" s="2"/>
      <c r="J87" s="2"/>
    </row>
    <row r="88" spans="1:10" x14ac:dyDescent="0.2">
      <c r="A88" s="203"/>
      <c r="B88" s="203"/>
      <c r="C88" s="2"/>
      <c r="D88" s="2">
        <f>SUM(D86:D87)</f>
        <v>500</v>
      </c>
      <c r="E88" s="2"/>
      <c r="F88" s="2"/>
      <c r="G88" s="2"/>
      <c r="I88" s="2"/>
      <c r="J88" s="2"/>
    </row>
    <row r="89" spans="1:10" ht="13.5" x14ac:dyDescent="0.25">
      <c r="A89" s="205" t="s">
        <v>551</v>
      </c>
      <c r="B89" s="203"/>
      <c r="C89" s="2"/>
      <c r="E89" s="2">
        <v>27485</v>
      </c>
      <c r="F89" s="2">
        <v>27000</v>
      </c>
      <c r="G89" s="2">
        <v>29250</v>
      </c>
      <c r="H89" s="2">
        <v>29250</v>
      </c>
      <c r="I89" s="2">
        <v>29250</v>
      </c>
      <c r="J89" s="2">
        <v>29250</v>
      </c>
    </row>
    <row r="90" spans="1:10" x14ac:dyDescent="0.2">
      <c r="A90" s="203" t="s">
        <v>428</v>
      </c>
      <c r="B90" s="203"/>
      <c r="C90" s="2"/>
      <c r="D90" s="2">
        <v>10400</v>
      </c>
      <c r="E90" s="2"/>
      <c r="F90" s="2"/>
      <c r="G90" s="2"/>
      <c r="I90" s="2"/>
      <c r="J90" s="2"/>
    </row>
    <row r="91" spans="1:10" x14ac:dyDescent="0.2">
      <c r="A91" s="203" t="s">
        <v>45</v>
      </c>
      <c r="B91" s="203"/>
      <c r="C91" s="2"/>
      <c r="D91" s="2">
        <v>200</v>
      </c>
      <c r="E91" s="2"/>
      <c r="F91" s="2"/>
      <c r="G91" s="2"/>
      <c r="I91" s="2"/>
      <c r="J91" s="2"/>
    </row>
    <row r="92" spans="1:10" x14ac:dyDescent="0.2">
      <c r="A92" s="203" t="s">
        <v>260</v>
      </c>
      <c r="B92" s="203"/>
      <c r="C92" s="2"/>
      <c r="D92" s="2">
        <v>3250</v>
      </c>
      <c r="E92" s="2"/>
      <c r="F92" s="2"/>
      <c r="G92" s="2"/>
      <c r="I92" s="2"/>
      <c r="J92" s="2"/>
    </row>
    <row r="93" spans="1:10" x14ac:dyDescent="0.2">
      <c r="A93" s="203" t="s">
        <v>1997</v>
      </c>
      <c r="B93" s="203"/>
      <c r="C93" s="2"/>
      <c r="D93" s="2">
        <v>1200</v>
      </c>
      <c r="E93" s="2"/>
      <c r="F93" s="2"/>
      <c r="G93" s="2"/>
      <c r="I93" s="2"/>
      <c r="J93" s="2"/>
    </row>
    <row r="94" spans="1:10" x14ac:dyDescent="0.2">
      <c r="A94" s="203" t="s">
        <v>261</v>
      </c>
      <c r="B94" s="203"/>
      <c r="C94" s="2"/>
      <c r="D94" s="2">
        <v>1350</v>
      </c>
      <c r="E94" s="2"/>
      <c r="F94" s="2"/>
      <c r="G94" s="2"/>
      <c r="I94" s="2"/>
      <c r="J94" s="2"/>
    </row>
    <row r="95" spans="1:10" x14ac:dyDescent="0.2">
      <c r="A95" s="203" t="s">
        <v>1766</v>
      </c>
      <c r="B95" s="203"/>
      <c r="C95" s="2"/>
      <c r="D95" s="2">
        <v>450</v>
      </c>
      <c r="E95" s="2"/>
      <c r="F95" s="2"/>
      <c r="G95" s="2"/>
      <c r="I95" s="2"/>
      <c r="J95" s="2"/>
    </row>
    <row r="96" spans="1:10" x14ac:dyDescent="0.2">
      <c r="A96" s="203" t="s">
        <v>1405</v>
      </c>
      <c r="B96" s="203"/>
      <c r="C96" s="2"/>
      <c r="D96" s="2">
        <v>200</v>
      </c>
      <c r="E96" s="2"/>
      <c r="F96" s="2"/>
      <c r="G96" s="2"/>
      <c r="I96" s="2"/>
      <c r="J96" s="2"/>
    </row>
    <row r="97" spans="1:10" ht="15" x14ac:dyDescent="0.35">
      <c r="A97" s="203" t="s">
        <v>1523</v>
      </c>
      <c r="B97" s="203"/>
      <c r="C97" s="10"/>
      <c r="D97" s="2">
        <v>12000</v>
      </c>
      <c r="E97" s="2"/>
      <c r="F97" s="2"/>
      <c r="G97" s="2"/>
      <c r="I97" s="2"/>
      <c r="J97" s="2"/>
    </row>
    <row r="98" spans="1:10" ht="15" x14ac:dyDescent="0.35">
      <c r="A98" s="203" t="s">
        <v>1389</v>
      </c>
      <c r="B98" s="203"/>
      <c r="C98" s="10"/>
      <c r="D98" s="17">
        <v>200</v>
      </c>
      <c r="E98" s="2"/>
      <c r="F98" s="2"/>
      <c r="G98" s="2"/>
      <c r="I98" s="2"/>
      <c r="J98" s="2"/>
    </row>
    <row r="99" spans="1:10" x14ac:dyDescent="0.2">
      <c r="A99" s="203" t="s">
        <v>1073</v>
      </c>
      <c r="B99" s="203"/>
      <c r="C99" s="2"/>
      <c r="D99" s="2">
        <f>SUM(D90:D98)</f>
        <v>29250</v>
      </c>
      <c r="E99" s="2"/>
      <c r="F99" s="2"/>
      <c r="G99" s="2"/>
      <c r="I99" s="2"/>
      <c r="J99" s="2"/>
    </row>
    <row r="100" spans="1:10" x14ac:dyDescent="0.2">
      <c r="A100" s="203"/>
      <c r="B100" s="203"/>
      <c r="C100" s="2"/>
      <c r="E100" s="2"/>
      <c r="F100" s="2"/>
      <c r="G100" s="2"/>
      <c r="I100" s="2"/>
      <c r="J100" s="2"/>
    </row>
    <row r="101" spans="1:10" ht="13.5" x14ac:dyDescent="0.25">
      <c r="A101" s="205" t="s">
        <v>333</v>
      </c>
      <c r="B101" s="203"/>
      <c r="C101" s="2"/>
      <c r="E101" s="2">
        <v>7622</v>
      </c>
      <c r="F101" s="2">
        <v>9750</v>
      </c>
      <c r="G101" s="2">
        <v>8100</v>
      </c>
      <c r="H101" s="2">
        <v>8100</v>
      </c>
      <c r="I101" s="2">
        <v>8100</v>
      </c>
      <c r="J101" s="2">
        <v>8100</v>
      </c>
    </row>
    <row r="102" spans="1:10" x14ac:dyDescent="0.2">
      <c r="A102" s="203" t="s">
        <v>229</v>
      </c>
      <c r="B102" s="2"/>
      <c r="C102" s="11"/>
      <c r="D102" s="2">
        <v>1700</v>
      </c>
      <c r="E102" s="2"/>
      <c r="F102" s="2"/>
      <c r="G102" s="2"/>
      <c r="I102" s="2"/>
      <c r="J102" s="2"/>
    </row>
    <row r="103" spans="1:10" ht="15" x14ac:dyDescent="0.35">
      <c r="A103" s="203" t="s">
        <v>1594</v>
      </c>
      <c r="B103" s="2"/>
      <c r="C103" s="11"/>
      <c r="D103" s="10">
        <v>6400</v>
      </c>
      <c r="E103" s="2"/>
      <c r="F103" s="2"/>
      <c r="G103" s="2"/>
      <c r="I103" s="2"/>
      <c r="J103" s="2"/>
    </row>
    <row r="104" spans="1:10" x14ac:dyDescent="0.2">
      <c r="A104" s="203"/>
      <c r="B104" s="2"/>
      <c r="C104" s="11"/>
      <c r="D104" s="2">
        <f>SUM(D102:D103)</f>
        <v>8100</v>
      </c>
      <c r="E104" s="2"/>
      <c r="F104" s="2"/>
      <c r="G104" s="2"/>
      <c r="I104" s="2"/>
      <c r="J104" s="2"/>
    </row>
    <row r="105" spans="1:10" x14ac:dyDescent="0.2">
      <c r="A105" s="203"/>
      <c r="B105" s="2"/>
      <c r="C105" s="11"/>
      <c r="E105" s="2"/>
      <c r="F105" s="2"/>
      <c r="G105" s="2"/>
      <c r="I105" s="2"/>
      <c r="J105" s="2"/>
    </row>
    <row r="106" spans="1:10" ht="13.5" x14ac:dyDescent="0.25">
      <c r="A106" s="205" t="s">
        <v>230</v>
      </c>
      <c r="B106" s="203"/>
      <c r="C106" s="203"/>
      <c r="E106" s="2">
        <v>11882</v>
      </c>
      <c r="F106" s="2">
        <v>10500</v>
      </c>
      <c r="G106" s="2">
        <v>11200</v>
      </c>
      <c r="H106" s="2">
        <v>11200</v>
      </c>
      <c r="I106" s="2">
        <v>11200</v>
      </c>
      <c r="J106" s="2">
        <v>11200</v>
      </c>
    </row>
    <row r="107" spans="1:10" x14ac:dyDescent="0.2">
      <c r="A107" s="203" t="s">
        <v>1679</v>
      </c>
      <c r="B107" s="203"/>
      <c r="C107" s="203"/>
      <c r="D107" s="2">
        <v>1300</v>
      </c>
      <c r="E107" s="2"/>
      <c r="F107" s="2"/>
      <c r="G107" s="2"/>
      <c r="I107" s="2"/>
      <c r="J107" s="2"/>
    </row>
    <row r="108" spans="1:10" x14ac:dyDescent="0.2">
      <c r="A108" s="203" t="s">
        <v>1125</v>
      </c>
      <c r="B108" s="203"/>
      <c r="C108" s="203"/>
      <c r="D108" s="2">
        <v>2100</v>
      </c>
      <c r="E108" s="2"/>
      <c r="F108" s="2"/>
      <c r="G108" s="2"/>
      <c r="I108" s="2"/>
      <c r="J108" s="2"/>
    </row>
    <row r="109" spans="1:10" x14ac:dyDescent="0.2">
      <c r="A109" s="203" t="s">
        <v>1608</v>
      </c>
      <c r="B109" s="203"/>
      <c r="C109" s="203"/>
      <c r="D109" s="2">
        <v>3500</v>
      </c>
      <c r="E109" s="2"/>
      <c r="F109" s="2"/>
      <c r="G109" s="2"/>
      <c r="I109" s="2"/>
      <c r="J109" s="2"/>
    </row>
    <row r="110" spans="1:10" x14ac:dyDescent="0.2">
      <c r="A110" s="203" t="s">
        <v>1678</v>
      </c>
      <c r="B110" s="203"/>
      <c r="C110" s="203"/>
      <c r="D110" s="2">
        <v>1300</v>
      </c>
      <c r="E110" s="2"/>
      <c r="F110" s="2"/>
      <c r="G110" s="2"/>
      <c r="I110" s="2"/>
      <c r="J110" s="2"/>
    </row>
    <row r="111" spans="1:10" x14ac:dyDescent="0.2">
      <c r="A111" s="203" t="s">
        <v>1126</v>
      </c>
      <c r="B111" s="203"/>
      <c r="C111" s="203"/>
      <c r="D111" s="2">
        <v>1600</v>
      </c>
      <c r="E111" s="2"/>
      <c r="F111" s="17"/>
      <c r="G111" s="17"/>
      <c r="H111" s="17"/>
      <c r="I111" s="17"/>
      <c r="J111" s="17"/>
    </row>
    <row r="112" spans="1:10" x14ac:dyDescent="0.2">
      <c r="A112" s="203" t="s">
        <v>1127</v>
      </c>
      <c r="B112" s="25"/>
      <c r="C112" s="203"/>
      <c r="D112" s="17">
        <v>1400</v>
      </c>
      <c r="E112" s="2"/>
      <c r="F112" s="2"/>
      <c r="G112" s="2"/>
      <c r="I112" s="2"/>
      <c r="J112" s="2"/>
    </row>
    <row r="113" spans="1:10" x14ac:dyDescent="0.2">
      <c r="A113" s="203"/>
      <c r="B113" s="203"/>
      <c r="C113" s="203"/>
      <c r="D113" s="2">
        <f>SUM(D107:D112)</f>
        <v>11200</v>
      </c>
      <c r="E113" s="2"/>
      <c r="F113" s="2"/>
      <c r="G113" s="2"/>
      <c r="I113" s="2"/>
      <c r="J113" s="2"/>
    </row>
    <row r="114" spans="1:10" x14ac:dyDescent="0.2">
      <c r="A114" s="203" t="s">
        <v>345</v>
      </c>
      <c r="B114" s="203"/>
      <c r="C114" s="203"/>
      <c r="D114" s="2" t="s">
        <v>345</v>
      </c>
      <c r="E114" s="2"/>
      <c r="F114" s="2"/>
      <c r="G114" s="2"/>
      <c r="I114" s="2"/>
      <c r="J114" s="2"/>
    </row>
    <row r="115" spans="1:10" ht="13.5" x14ac:dyDescent="0.25">
      <c r="A115" s="205" t="s">
        <v>13</v>
      </c>
      <c r="B115" s="203"/>
      <c r="C115" s="203"/>
      <c r="E115" s="2">
        <v>542</v>
      </c>
      <c r="F115" s="2">
        <v>608</v>
      </c>
      <c r="G115" s="2">
        <v>608</v>
      </c>
      <c r="H115" s="2">
        <v>608</v>
      </c>
      <c r="I115" s="2">
        <v>608</v>
      </c>
      <c r="J115" s="2">
        <v>608</v>
      </c>
    </row>
    <row r="116" spans="1:10" x14ac:dyDescent="0.2">
      <c r="A116" s="203" t="s">
        <v>550</v>
      </c>
      <c r="B116" s="203"/>
      <c r="C116" s="203"/>
      <c r="D116" s="2">
        <f>304+304</f>
        <v>608</v>
      </c>
      <c r="E116" s="2"/>
      <c r="F116" s="2"/>
      <c r="G116" s="2"/>
      <c r="I116" s="2"/>
      <c r="J116" s="2"/>
    </row>
    <row r="117" spans="1:10" x14ac:dyDescent="0.2">
      <c r="A117" s="203"/>
      <c r="B117" s="203"/>
      <c r="C117" s="203"/>
      <c r="E117" s="2"/>
      <c r="F117" s="2"/>
      <c r="G117" s="2"/>
      <c r="I117" s="2"/>
      <c r="J117" s="2"/>
    </row>
    <row r="118" spans="1:10" ht="13.5" x14ac:dyDescent="0.25">
      <c r="A118" s="205" t="s">
        <v>14</v>
      </c>
      <c r="B118" s="203"/>
      <c r="C118" s="203"/>
      <c r="E118" s="2">
        <v>295</v>
      </c>
      <c r="F118" s="2">
        <v>450</v>
      </c>
      <c r="G118" s="2">
        <v>570</v>
      </c>
      <c r="H118" s="2">
        <v>570</v>
      </c>
      <c r="I118" s="2">
        <v>570</v>
      </c>
      <c r="J118" s="2">
        <v>570</v>
      </c>
    </row>
    <row r="119" spans="1:10" x14ac:dyDescent="0.2">
      <c r="A119" s="203" t="s">
        <v>441</v>
      </c>
      <c r="B119" s="2">
        <v>200</v>
      </c>
      <c r="C119" s="11">
        <v>2.85</v>
      </c>
      <c r="D119" s="2">
        <f>ROUND(B119*C119,0)</f>
        <v>570</v>
      </c>
      <c r="E119" s="203"/>
      <c r="F119" s="2"/>
      <c r="G119" s="2"/>
      <c r="I119" s="2"/>
      <c r="J119" s="2"/>
    </row>
    <row r="120" spans="1:10" x14ac:dyDescent="0.2">
      <c r="A120" s="203"/>
      <c r="B120" s="203"/>
      <c r="C120" s="203"/>
      <c r="E120" s="2"/>
      <c r="F120" s="2"/>
      <c r="G120" s="2"/>
      <c r="I120" s="2"/>
      <c r="J120" s="2"/>
    </row>
    <row r="121" spans="1:10" ht="13.5" x14ac:dyDescent="0.25">
      <c r="A121" s="205" t="s">
        <v>800</v>
      </c>
      <c r="B121" s="203"/>
      <c r="C121" s="203"/>
      <c r="D121" s="7" t="s">
        <v>345</v>
      </c>
      <c r="E121" s="2">
        <v>6437</v>
      </c>
      <c r="F121" s="2">
        <v>6170</v>
      </c>
      <c r="G121" s="2">
        <v>6470</v>
      </c>
      <c r="H121" s="2">
        <v>6470</v>
      </c>
      <c r="I121" s="2">
        <v>6470</v>
      </c>
      <c r="J121" s="2">
        <v>6470</v>
      </c>
    </row>
    <row r="122" spans="1:10" x14ac:dyDescent="0.2">
      <c r="A122" s="203" t="s">
        <v>811</v>
      </c>
      <c r="B122" s="203"/>
      <c r="C122" s="2"/>
      <c r="D122" s="2">
        <v>3250</v>
      </c>
      <c r="E122" s="2"/>
      <c r="F122" s="17"/>
      <c r="G122" s="17"/>
      <c r="H122" s="17"/>
      <c r="I122" s="17"/>
      <c r="J122" s="17"/>
    </row>
    <row r="123" spans="1:10" x14ac:dyDescent="0.2">
      <c r="A123" s="203" t="s">
        <v>1607</v>
      </c>
      <c r="B123" s="203"/>
      <c r="C123" s="2"/>
      <c r="D123" s="2">
        <v>2200</v>
      </c>
      <c r="E123" s="2"/>
      <c r="F123" s="17"/>
      <c r="G123" s="17"/>
      <c r="H123" s="17"/>
      <c r="I123" s="17"/>
      <c r="J123" s="17"/>
    </row>
    <row r="124" spans="1:10" ht="15" x14ac:dyDescent="0.35">
      <c r="A124" s="203" t="s">
        <v>262</v>
      </c>
      <c r="B124" s="203"/>
      <c r="C124" s="10"/>
      <c r="D124" s="17">
        <v>1019.76</v>
      </c>
      <c r="E124" s="2"/>
      <c r="F124" s="2"/>
      <c r="G124" s="2"/>
      <c r="I124" s="2"/>
      <c r="J124" s="2"/>
    </row>
    <row r="125" spans="1:10" x14ac:dyDescent="0.2">
      <c r="A125" s="203" t="s">
        <v>1073</v>
      </c>
      <c r="B125" s="203"/>
      <c r="C125" s="2"/>
      <c r="D125" s="2">
        <f>SUM(D122:D124)</f>
        <v>6469.76</v>
      </c>
      <c r="E125" s="2"/>
      <c r="F125" s="2"/>
      <c r="G125" s="2"/>
      <c r="I125" s="2"/>
      <c r="J125" s="2"/>
    </row>
    <row r="126" spans="1:10" x14ac:dyDescent="0.2">
      <c r="A126" s="203"/>
      <c r="B126" s="203"/>
      <c r="C126" s="2"/>
      <c r="E126" s="2"/>
      <c r="F126" s="2"/>
      <c r="G126" s="2"/>
      <c r="I126" s="2"/>
      <c r="J126" s="2"/>
    </row>
    <row r="127" spans="1:10" ht="13.5" x14ac:dyDescent="0.25">
      <c r="A127" s="205" t="s">
        <v>1022</v>
      </c>
      <c r="B127" s="203"/>
      <c r="C127" s="2"/>
      <c r="E127" s="2">
        <v>405</v>
      </c>
      <c r="F127" s="2">
        <v>405</v>
      </c>
      <c r="G127" s="2">
        <v>405</v>
      </c>
      <c r="H127" s="2">
        <v>405</v>
      </c>
      <c r="I127" s="2">
        <v>405</v>
      </c>
      <c r="J127" s="2">
        <v>405</v>
      </c>
    </row>
    <row r="128" spans="1:10" x14ac:dyDescent="0.2">
      <c r="A128" s="203" t="s">
        <v>1406</v>
      </c>
      <c r="B128" s="2" t="s">
        <v>345</v>
      </c>
      <c r="C128" s="2"/>
      <c r="D128" s="2">
        <v>130</v>
      </c>
      <c r="E128" s="2"/>
      <c r="F128" s="2"/>
      <c r="G128" s="2"/>
      <c r="I128" s="2"/>
      <c r="J128" s="2"/>
    </row>
    <row r="129" spans="1:10" x14ac:dyDescent="0.2">
      <c r="A129" s="203" t="s">
        <v>35</v>
      </c>
      <c r="B129" s="2"/>
      <c r="C129" s="2"/>
      <c r="D129" s="2">
        <v>100</v>
      </c>
      <c r="E129" s="2"/>
      <c r="F129" s="2"/>
      <c r="G129" s="2"/>
      <c r="I129" s="2"/>
      <c r="J129" s="2"/>
    </row>
    <row r="130" spans="1:10" ht="15" x14ac:dyDescent="0.35">
      <c r="A130" s="203" t="s">
        <v>1631</v>
      </c>
      <c r="B130" s="2"/>
      <c r="C130" s="10"/>
      <c r="D130" s="10">
        <v>175</v>
      </c>
      <c r="E130" s="2"/>
      <c r="F130" s="2"/>
      <c r="G130" s="2"/>
      <c r="I130" s="2"/>
      <c r="J130" s="2"/>
    </row>
    <row r="131" spans="1:10" x14ac:dyDescent="0.2">
      <c r="A131" s="203" t="s">
        <v>1073</v>
      </c>
      <c r="B131" s="2"/>
      <c r="C131" s="2"/>
      <c r="D131" s="2">
        <f>SUM(D128:D130)</f>
        <v>405</v>
      </c>
      <c r="E131" s="2"/>
      <c r="F131" s="2"/>
      <c r="G131" s="2"/>
      <c r="I131" s="2"/>
      <c r="J131" s="2"/>
    </row>
    <row r="132" spans="1:10" x14ac:dyDescent="0.2">
      <c r="A132" s="203" t="s">
        <v>345</v>
      </c>
      <c r="B132" s="203"/>
      <c r="C132" s="2"/>
      <c r="D132" s="2" t="s">
        <v>345</v>
      </c>
      <c r="E132" s="2"/>
      <c r="F132" s="2"/>
      <c r="G132" s="2"/>
      <c r="I132" s="2"/>
      <c r="J132" s="2"/>
    </row>
    <row r="133" spans="1:10" ht="13.5" x14ac:dyDescent="0.25">
      <c r="A133" s="16" t="s">
        <v>1189</v>
      </c>
      <c r="B133" s="203"/>
      <c r="C133" s="2"/>
      <c r="E133" s="2">
        <v>4031</v>
      </c>
      <c r="F133" s="2">
        <v>5542</v>
      </c>
      <c r="G133" s="2">
        <v>4904</v>
      </c>
      <c r="H133" s="2">
        <v>4904</v>
      </c>
      <c r="I133" s="2">
        <v>4904</v>
      </c>
      <c r="J133" s="2">
        <v>4904</v>
      </c>
    </row>
    <row r="134" spans="1:10" x14ac:dyDescent="0.2">
      <c r="A134" s="203" t="s">
        <v>906</v>
      </c>
      <c r="B134" s="203"/>
      <c r="C134" s="2"/>
      <c r="D134" s="2">
        <v>4904</v>
      </c>
      <c r="E134" s="2"/>
      <c r="F134" s="2"/>
      <c r="G134" s="2"/>
      <c r="I134" s="2"/>
      <c r="J134" s="2"/>
    </row>
    <row r="135" spans="1:10" x14ac:dyDescent="0.2">
      <c r="A135" s="203"/>
      <c r="B135" s="203"/>
      <c r="C135" s="2"/>
      <c r="E135" s="2"/>
      <c r="F135" s="2"/>
      <c r="G135" s="2"/>
      <c r="I135" s="2"/>
      <c r="J135" s="2"/>
    </row>
    <row r="136" spans="1:10" ht="13.5" x14ac:dyDescent="0.25">
      <c r="A136" s="205" t="s">
        <v>125</v>
      </c>
      <c r="B136" s="203"/>
      <c r="C136" s="2"/>
      <c r="E136" s="2">
        <v>358</v>
      </c>
      <c r="F136" s="2">
        <v>550</v>
      </c>
      <c r="G136" s="2">
        <v>550</v>
      </c>
      <c r="H136" s="2">
        <v>550</v>
      </c>
      <c r="I136" s="2">
        <v>550</v>
      </c>
      <c r="J136" s="2">
        <v>550</v>
      </c>
    </row>
    <row r="137" spans="1:10" x14ac:dyDescent="0.2">
      <c r="A137" s="203" t="s">
        <v>541</v>
      </c>
      <c r="B137" s="203"/>
      <c r="C137" s="2"/>
      <c r="D137" s="2">
        <v>550</v>
      </c>
      <c r="E137" s="2"/>
      <c r="F137" s="2"/>
      <c r="G137" s="2"/>
      <c r="I137" s="2"/>
      <c r="J137" s="2"/>
    </row>
    <row r="138" spans="1:10" x14ac:dyDescent="0.2">
      <c r="A138" s="203" t="s">
        <v>345</v>
      </c>
      <c r="B138" s="203"/>
      <c r="C138" s="2"/>
      <c r="D138" s="2" t="s">
        <v>345</v>
      </c>
      <c r="E138" s="2"/>
      <c r="F138" s="2"/>
      <c r="G138" s="2"/>
      <c r="I138" s="2"/>
      <c r="J138" s="2"/>
    </row>
    <row r="139" spans="1:10" ht="13.5" x14ac:dyDescent="0.25">
      <c r="A139" s="205" t="s">
        <v>921</v>
      </c>
      <c r="B139" s="203"/>
      <c r="C139" s="7"/>
      <c r="D139" s="7" t="s">
        <v>345</v>
      </c>
      <c r="E139" s="2">
        <v>38992</v>
      </c>
      <c r="F139" s="2">
        <v>21230</v>
      </c>
      <c r="G139" s="2">
        <v>28240</v>
      </c>
      <c r="H139" s="2">
        <v>26740</v>
      </c>
      <c r="I139" s="2">
        <v>26740</v>
      </c>
      <c r="J139" s="2">
        <v>26740</v>
      </c>
    </row>
    <row r="140" spans="1:10" x14ac:dyDescent="0.2">
      <c r="A140" s="53" t="s">
        <v>536</v>
      </c>
      <c r="B140" s="5"/>
      <c r="C140" s="2"/>
      <c r="D140" s="2">
        <v>16000</v>
      </c>
      <c r="E140" s="2"/>
      <c r="F140" s="2"/>
      <c r="G140" s="2"/>
      <c r="I140" s="2"/>
      <c r="J140" s="2"/>
    </row>
    <row r="141" spans="1:10" x14ac:dyDescent="0.2">
      <c r="A141" s="53" t="s">
        <v>83</v>
      </c>
      <c r="B141" s="5"/>
      <c r="C141" s="2"/>
      <c r="D141" s="2">
        <v>2240</v>
      </c>
      <c r="E141" s="2"/>
      <c r="F141" s="2"/>
      <c r="G141" s="2"/>
      <c r="I141" s="2"/>
      <c r="J141" s="2"/>
    </row>
    <row r="142" spans="1:10" x14ac:dyDescent="0.2">
      <c r="A142" s="5" t="s">
        <v>434</v>
      </c>
      <c r="B142" s="5"/>
      <c r="C142" s="2"/>
      <c r="D142" s="2">
        <v>3000</v>
      </c>
      <c r="E142" s="2"/>
      <c r="F142" s="2"/>
      <c r="G142" s="2"/>
      <c r="I142" s="2"/>
      <c r="J142" s="2"/>
    </row>
    <row r="143" spans="1:10" x14ac:dyDescent="0.2">
      <c r="A143" s="203" t="s">
        <v>1727</v>
      </c>
      <c r="B143" s="203"/>
      <c r="C143" s="2" t="s">
        <v>345</v>
      </c>
      <c r="D143" s="2">
        <v>3500</v>
      </c>
      <c r="E143" s="2"/>
      <c r="F143" s="2"/>
      <c r="G143" s="2"/>
      <c r="I143" s="2"/>
      <c r="J143" s="2"/>
    </row>
    <row r="144" spans="1:10" ht="18" x14ac:dyDescent="0.4">
      <c r="A144" s="203" t="s">
        <v>579</v>
      </c>
      <c r="B144" s="203"/>
      <c r="C144" s="24"/>
      <c r="D144" s="10">
        <v>2000</v>
      </c>
      <c r="E144" s="2"/>
      <c r="F144" s="2"/>
      <c r="G144" s="2"/>
      <c r="I144" s="2"/>
      <c r="J144" s="2"/>
    </row>
    <row r="145" spans="1:10" x14ac:dyDescent="0.2">
      <c r="A145" s="203" t="s">
        <v>1073</v>
      </c>
      <c r="B145" s="203"/>
      <c r="C145" s="2"/>
      <c r="D145" s="2">
        <f>SUM(D140:D144)</f>
        <v>26740</v>
      </c>
      <c r="E145" s="2"/>
      <c r="F145" s="2"/>
      <c r="G145" s="2"/>
      <c r="I145" s="2"/>
      <c r="J145" s="2"/>
    </row>
    <row r="146" spans="1:10" x14ac:dyDescent="0.2">
      <c r="A146" s="203"/>
      <c r="B146" s="203"/>
      <c r="C146" s="2"/>
      <c r="E146" s="2"/>
      <c r="F146" s="2"/>
      <c r="G146" s="2"/>
      <c r="I146" s="2"/>
      <c r="J146" s="2"/>
    </row>
    <row r="147" spans="1:10" ht="13.5" x14ac:dyDescent="0.25">
      <c r="A147" s="205" t="s">
        <v>787</v>
      </c>
      <c r="B147" s="203"/>
      <c r="C147" s="2"/>
      <c r="E147" s="2">
        <v>2000</v>
      </c>
      <c r="F147" s="2">
        <v>2000</v>
      </c>
      <c r="G147" s="2">
        <v>2000</v>
      </c>
      <c r="H147" s="2">
        <v>2000</v>
      </c>
      <c r="I147" s="2">
        <v>2000</v>
      </c>
      <c r="J147" s="2">
        <v>2000</v>
      </c>
    </row>
    <row r="148" spans="1:10" x14ac:dyDescent="0.2">
      <c r="A148" s="203" t="s">
        <v>1777</v>
      </c>
      <c r="B148" s="203"/>
      <c r="C148" s="2"/>
      <c r="D148" s="2">
        <v>2000</v>
      </c>
      <c r="E148" s="2"/>
      <c r="F148" s="203"/>
      <c r="G148" s="203"/>
      <c r="H148" s="227"/>
      <c r="I148" s="231"/>
      <c r="J148" s="233"/>
    </row>
    <row r="149" spans="1:10" x14ac:dyDescent="0.2">
      <c r="A149" s="203"/>
      <c r="B149" s="203"/>
      <c r="C149" s="2"/>
      <c r="E149" s="2"/>
      <c r="F149" s="2"/>
      <c r="G149" s="2"/>
      <c r="I149" s="2"/>
      <c r="J149" s="2"/>
    </row>
    <row r="150" spans="1:10" x14ac:dyDescent="0.2">
      <c r="A150" s="203"/>
      <c r="B150" s="203"/>
      <c r="C150" s="2"/>
      <c r="E150" s="2"/>
      <c r="F150" s="2"/>
      <c r="G150" s="2"/>
      <c r="I150" s="2"/>
      <c r="J150" s="2"/>
    </row>
    <row r="151" spans="1:10" ht="13.5" x14ac:dyDescent="0.25">
      <c r="A151" s="205" t="s">
        <v>1270</v>
      </c>
      <c r="B151" s="203"/>
      <c r="C151" s="2"/>
      <c r="E151" s="2">
        <v>619</v>
      </c>
      <c r="F151" s="2">
        <v>1000</v>
      </c>
      <c r="G151" s="2">
        <v>1000</v>
      </c>
      <c r="H151" s="2">
        <v>1000</v>
      </c>
      <c r="I151" s="2">
        <v>1000</v>
      </c>
      <c r="J151" s="2">
        <v>1000</v>
      </c>
    </row>
    <row r="152" spans="1:10" x14ac:dyDescent="0.2">
      <c r="A152" s="203" t="s">
        <v>538</v>
      </c>
      <c r="B152" s="203"/>
      <c r="C152" s="2"/>
      <c r="D152" s="2">
        <v>750</v>
      </c>
      <c r="E152" s="2"/>
      <c r="F152" s="2"/>
      <c r="G152" s="2"/>
      <c r="I152" s="2"/>
      <c r="J152" s="2"/>
    </row>
    <row r="153" spans="1:10" ht="15" x14ac:dyDescent="0.35">
      <c r="A153" s="203" t="s">
        <v>64</v>
      </c>
      <c r="B153" s="203"/>
      <c r="C153" s="10"/>
      <c r="D153" s="10">
        <v>250</v>
      </c>
      <c r="E153" s="2"/>
      <c r="F153" s="2"/>
      <c r="G153" s="2"/>
      <c r="I153" s="2"/>
      <c r="J153" s="2"/>
    </row>
    <row r="154" spans="1:10" x14ac:dyDescent="0.2">
      <c r="A154" s="203" t="s">
        <v>1073</v>
      </c>
      <c r="B154" s="203"/>
      <c r="C154" s="2"/>
      <c r="D154" s="2">
        <f>SUM(D152:D153)</f>
        <v>1000</v>
      </c>
      <c r="E154" s="2"/>
      <c r="F154" s="203"/>
      <c r="G154" s="203"/>
      <c r="H154" s="227"/>
      <c r="I154" s="231"/>
      <c r="J154" s="233"/>
    </row>
    <row r="155" spans="1:10" x14ac:dyDescent="0.2">
      <c r="A155" s="203"/>
      <c r="B155" s="203"/>
      <c r="C155" s="2"/>
      <c r="E155" s="2"/>
      <c r="F155" s="2"/>
      <c r="G155" s="2"/>
      <c r="I155" s="2"/>
      <c r="J155" s="2"/>
    </row>
    <row r="156" spans="1:10" ht="13.5" x14ac:dyDescent="0.25">
      <c r="A156" s="205" t="s">
        <v>1116</v>
      </c>
      <c r="B156" s="203"/>
      <c r="C156" s="2"/>
      <c r="E156" s="2">
        <v>402</v>
      </c>
      <c r="F156" s="2">
        <v>400</v>
      </c>
      <c r="G156" s="2">
        <v>400</v>
      </c>
      <c r="H156" s="2">
        <v>400</v>
      </c>
      <c r="I156" s="2">
        <v>400</v>
      </c>
      <c r="J156" s="2">
        <v>400</v>
      </c>
    </row>
    <row r="157" spans="1:10" x14ac:dyDescent="0.2">
      <c r="A157" s="203" t="s">
        <v>977</v>
      </c>
      <c r="B157" s="203"/>
      <c r="C157" s="2"/>
      <c r="D157" s="2">
        <v>400</v>
      </c>
      <c r="E157" s="2"/>
      <c r="F157" s="2"/>
      <c r="G157" s="2"/>
      <c r="I157" s="2"/>
      <c r="J157" s="2"/>
    </row>
    <row r="158" spans="1:10" x14ac:dyDescent="0.2">
      <c r="A158" s="203"/>
      <c r="B158" s="203"/>
      <c r="C158" s="2"/>
      <c r="E158" s="2"/>
      <c r="F158" s="2"/>
      <c r="G158" s="2"/>
      <c r="I158" s="2"/>
      <c r="J158" s="2"/>
    </row>
    <row r="159" spans="1:10" ht="13.5" x14ac:dyDescent="0.25">
      <c r="A159" s="205" t="s">
        <v>978</v>
      </c>
      <c r="B159" s="203"/>
      <c r="C159" s="2"/>
      <c r="E159" s="2">
        <v>679</v>
      </c>
      <c r="F159" s="2">
        <v>500</v>
      </c>
      <c r="G159" s="2">
        <v>1000</v>
      </c>
      <c r="H159" s="2">
        <v>1000</v>
      </c>
      <c r="I159" s="2">
        <v>1000</v>
      </c>
      <c r="J159" s="2">
        <v>1000</v>
      </c>
    </row>
    <row r="160" spans="1:10" x14ac:dyDescent="0.2">
      <c r="A160" s="203" t="s">
        <v>1180</v>
      </c>
      <c r="B160" s="203"/>
      <c r="C160" s="2"/>
      <c r="D160" s="2">
        <v>1000</v>
      </c>
      <c r="E160" s="2"/>
      <c r="F160" s="2"/>
      <c r="G160" s="2"/>
      <c r="I160" s="2"/>
      <c r="J160" s="2"/>
    </row>
    <row r="161" spans="1:10" x14ac:dyDescent="0.2">
      <c r="A161" s="203" t="s">
        <v>345</v>
      </c>
      <c r="B161" s="203"/>
      <c r="C161" s="2"/>
      <c r="D161" s="2" t="s">
        <v>345</v>
      </c>
      <c r="E161" s="2"/>
      <c r="F161" s="2"/>
      <c r="G161" s="2"/>
      <c r="I161" s="2"/>
      <c r="J161" s="2"/>
    </row>
    <row r="162" spans="1:10" s="198" customFormat="1" ht="13.5" x14ac:dyDescent="0.25">
      <c r="A162" s="205" t="s">
        <v>1181</v>
      </c>
      <c r="B162" s="203"/>
      <c r="C162" s="2"/>
      <c r="D162" s="2"/>
      <c r="E162" s="2">
        <v>1</v>
      </c>
      <c r="F162" s="2">
        <v>0</v>
      </c>
      <c r="G162" s="2">
        <v>0</v>
      </c>
      <c r="H162" s="2">
        <v>0</v>
      </c>
      <c r="I162" s="2">
        <v>0</v>
      </c>
      <c r="J162" s="2">
        <v>0</v>
      </c>
    </row>
    <row r="163" spans="1:10" s="198" customFormat="1" x14ac:dyDescent="0.2">
      <c r="A163" s="203" t="s">
        <v>537</v>
      </c>
      <c r="B163" s="203"/>
      <c r="C163" s="2"/>
      <c r="D163" s="2">
        <v>0</v>
      </c>
      <c r="E163" s="2"/>
      <c r="F163" s="2"/>
      <c r="G163" s="2"/>
      <c r="H163" s="2"/>
      <c r="I163" s="2"/>
      <c r="J163" s="2"/>
    </row>
    <row r="164" spans="1:10" s="198" customFormat="1" x14ac:dyDescent="0.2">
      <c r="A164" s="203"/>
      <c r="B164" s="203"/>
      <c r="C164" s="2"/>
      <c r="D164" s="2"/>
      <c r="E164" s="2"/>
      <c r="F164" s="2"/>
      <c r="G164" s="2"/>
      <c r="H164" s="2"/>
      <c r="I164" s="2"/>
      <c r="J164" s="2"/>
    </row>
    <row r="165" spans="1:10" ht="13.5" x14ac:dyDescent="0.25">
      <c r="A165" s="205" t="s">
        <v>1983</v>
      </c>
      <c r="B165" s="203"/>
      <c r="C165" s="2"/>
      <c r="E165" s="2">
        <v>6737</v>
      </c>
      <c r="F165" s="2">
        <v>0</v>
      </c>
      <c r="G165" s="2">
        <v>0</v>
      </c>
      <c r="H165" s="2">
        <v>0</v>
      </c>
      <c r="I165" s="2">
        <v>0</v>
      </c>
      <c r="J165" s="2">
        <v>0</v>
      </c>
    </row>
    <row r="166" spans="1:10" x14ac:dyDescent="0.2">
      <c r="A166" s="203"/>
      <c r="B166" s="203"/>
      <c r="C166" s="2"/>
      <c r="D166" s="2">
        <v>0</v>
      </c>
      <c r="E166" s="2"/>
      <c r="F166" s="2"/>
      <c r="G166" s="2"/>
      <c r="I166" s="2"/>
      <c r="J166" s="2"/>
    </row>
    <row r="167" spans="1:10" x14ac:dyDescent="0.2">
      <c r="A167" s="203"/>
      <c r="B167" s="203"/>
      <c r="C167" s="203"/>
      <c r="D167" s="7" t="s">
        <v>345</v>
      </c>
      <c r="E167" s="2"/>
      <c r="F167" s="2"/>
      <c r="G167" s="2"/>
      <c r="I167" s="2"/>
      <c r="J167" s="2"/>
    </row>
    <row r="168" spans="1:10" ht="13.5" x14ac:dyDescent="0.25">
      <c r="A168" s="205" t="s">
        <v>648</v>
      </c>
      <c r="B168" s="203"/>
      <c r="C168" s="203"/>
      <c r="D168" s="203"/>
      <c r="E168" s="2">
        <v>74733</v>
      </c>
      <c r="F168" s="15">
        <v>79679</v>
      </c>
      <c r="G168" s="15">
        <v>79049</v>
      </c>
      <c r="H168" s="15">
        <v>79049</v>
      </c>
      <c r="I168" s="15">
        <v>79049</v>
      </c>
      <c r="J168" s="15">
        <v>79049</v>
      </c>
    </row>
    <row r="169" spans="1:10" ht="13.5" x14ac:dyDescent="0.25">
      <c r="A169" s="205"/>
      <c r="B169" s="18" t="s">
        <v>1757</v>
      </c>
      <c r="C169" s="18" t="s">
        <v>1838</v>
      </c>
      <c r="D169" s="18" t="s">
        <v>1977</v>
      </c>
      <c r="E169" s="2"/>
      <c r="F169" s="15"/>
      <c r="G169" s="15"/>
      <c r="H169" s="15"/>
      <c r="I169" s="15"/>
      <c r="J169" s="15"/>
    </row>
    <row r="170" spans="1:10" x14ac:dyDescent="0.2">
      <c r="A170" s="19" t="s">
        <v>1244</v>
      </c>
      <c r="B170" s="2">
        <v>29555</v>
      </c>
      <c r="C170" s="2">
        <v>29555</v>
      </c>
      <c r="D170" s="2">
        <v>38555</v>
      </c>
      <c r="E170" s="2"/>
      <c r="F170" s="203"/>
      <c r="G170" s="203"/>
      <c r="H170" s="227"/>
      <c r="I170" s="231"/>
      <c r="J170" s="233"/>
    </row>
    <row r="171" spans="1:10" x14ac:dyDescent="0.2">
      <c r="A171" s="203" t="s">
        <v>649</v>
      </c>
      <c r="B171" s="2">
        <v>165535</v>
      </c>
      <c r="C171" s="2">
        <v>139995</v>
      </c>
      <c r="D171" s="2">
        <v>141160</v>
      </c>
      <c r="E171" s="2"/>
      <c r="F171" s="203"/>
      <c r="G171" s="203"/>
      <c r="H171" s="227"/>
      <c r="I171" s="231"/>
      <c r="J171" s="233"/>
    </row>
    <row r="172" spans="1:10" x14ac:dyDescent="0.2">
      <c r="A172" s="203" t="s">
        <v>652</v>
      </c>
      <c r="B172" s="2">
        <v>71490</v>
      </c>
      <c r="C172" s="2">
        <v>63880</v>
      </c>
      <c r="D172" s="2">
        <v>60500</v>
      </c>
      <c r="E172" s="2"/>
      <c r="F172" s="203"/>
      <c r="G172" s="203"/>
      <c r="H172" s="227"/>
      <c r="I172" s="231"/>
      <c r="J172" s="233"/>
    </row>
    <row r="173" spans="1:10" x14ac:dyDescent="0.2">
      <c r="A173" s="203" t="s">
        <v>653</v>
      </c>
      <c r="B173" s="15">
        <v>54240</v>
      </c>
      <c r="C173" s="15">
        <v>44653</v>
      </c>
      <c r="D173" s="15">
        <v>52103</v>
      </c>
      <c r="E173" s="2"/>
      <c r="F173" s="15"/>
      <c r="G173" s="15"/>
      <c r="H173" s="15"/>
      <c r="I173" s="15"/>
      <c r="J173" s="15"/>
    </row>
    <row r="174" spans="1:10" x14ac:dyDescent="0.2">
      <c r="A174" s="203" t="s">
        <v>892</v>
      </c>
      <c r="B174" s="15">
        <v>79786</v>
      </c>
      <c r="C174" s="15">
        <v>74225</v>
      </c>
      <c r="D174" s="15">
        <v>77650</v>
      </c>
      <c r="E174" s="2"/>
      <c r="F174" s="15"/>
      <c r="G174" s="15"/>
      <c r="H174" s="15"/>
      <c r="I174" s="15"/>
      <c r="J174" s="15"/>
    </row>
    <row r="175" spans="1:10" x14ac:dyDescent="0.2">
      <c r="A175" s="203" t="s">
        <v>654</v>
      </c>
      <c r="B175" s="15">
        <v>44957</v>
      </c>
      <c r="C175" s="15">
        <v>43365</v>
      </c>
      <c r="D175" s="15">
        <v>35055</v>
      </c>
      <c r="E175" s="2"/>
      <c r="F175" s="15"/>
      <c r="G175" s="15"/>
      <c r="H175" s="15"/>
      <c r="I175" s="15"/>
      <c r="J175" s="15"/>
    </row>
    <row r="176" spans="1:10" x14ac:dyDescent="0.2">
      <c r="A176" s="203" t="s">
        <v>1018</v>
      </c>
      <c r="B176" s="15">
        <v>46356</v>
      </c>
      <c r="C176" s="15">
        <v>51052</v>
      </c>
      <c r="D176" s="15">
        <v>29736</v>
      </c>
      <c r="E176" s="2"/>
      <c r="F176" s="15"/>
      <c r="G176" s="15"/>
      <c r="H176" s="15"/>
      <c r="I176" s="15"/>
      <c r="J176" s="15"/>
    </row>
    <row r="177" spans="1:10" ht="15" x14ac:dyDescent="0.35">
      <c r="A177" s="203" t="s">
        <v>773</v>
      </c>
      <c r="B177" s="204">
        <v>22721</v>
      </c>
      <c r="C177" s="204">
        <v>16866</v>
      </c>
      <c r="D177" s="204">
        <v>16950</v>
      </c>
      <c r="E177" s="2"/>
      <c r="F177" s="204"/>
      <c r="G177" s="204"/>
      <c r="H177" s="228"/>
      <c r="I177" s="232"/>
      <c r="J177" s="234"/>
    </row>
    <row r="178" spans="1:10" x14ac:dyDescent="0.2">
      <c r="A178" s="203" t="s">
        <v>655</v>
      </c>
      <c r="B178" s="15">
        <f>SUM(B170:B177)</f>
        <v>514640</v>
      </c>
      <c r="C178" s="15">
        <f>SUM(C170:C177)</f>
        <v>463591</v>
      </c>
      <c r="D178" s="15">
        <f>SUM(D170:D177)</f>
        <v>451709</v>
      </c>
      <c r="E178" s="2"/>
      <c r="F178" s="15"/>
      <c r="G178" s="15"/>
      <c r="H178" s="15"/>
      <c r="I178" s="15"/>
      <c r="J178" s="15"/>
    </row>
    <row r="179" spans="1:10" ht="15" x14ac:dyDescent="0.35">
      <c r="A179" s="203" t="s">
        <v>656</v>
      </c>
      <c r="B179" s="204">
        <v>-440194</v>
      </c>
      <c r="C179" s="204">
        <v>-383912</v>
      </c>
      <c r="D179" s="204">
        <f>-372660</f>
        <v>-372660</v>
      </c>
      <c r="E179" s="2"/>
      <c r="F179" s="204"/>
      <c r="G179" s="204"/>
      <c r="H179" s="228"/>
      <c r="I179" s="232"/>
      <c r="J179" s="234"/>
    </row>
    <row r="180" spans="1:10" x14ac:dyDescent="0.2">
      <c r="A180" s="203" t="s">
        <v>657</v>
      </c>
      <c r="B180" s="15">
        <f>B178+B179</f>
        <v>74446</v>
      </c>
      <c r="C180" s="15">
        <f>C178+C179</f>
        <v>79679</v>
      </c>
      <c r="D180" s="15">
        <f>D178+D179</f>
        <v>79049</v>
      </c>
      <c r="E180" s="2"/>
      <c r="F180" s="15"/>
      <c r="G180" s="15"/>
      <c r="H180" s="15"/>
      <c r="I180" s="15"/>
      <c r="J180" s="15"/>
    </row>
    <row r="181" spans="1:10" ht="15" x14ac:dyDescent="0.35">
      <c r="A181" s="203" t="s">
        <v>1131</v>
      </c>
      <c r="B181" s="204">
        <v>0</v>
      </c>
      <c r="C181" s="204">
        <v>0</v>
      </c>
      <c r="D181" s="204">
        <v>0</v>
      </c>
      <c r="E181" s="2"/>
      <c r="F181" s="204"/>
      <c r="G181" s="204"/>
      <c r="H181" s="228"/>
      <c r="I181" s="232"/>
      <c r="J181" s="234"/>
    </row>
    <row r="182" spans="1:10" x14ac:dyDescent="0.2">
      <c r="A182" s="203" t="s">
        <v>1132</v>
      </c>
      <c r="B182" s="15">
        <f>+B180+B181</f>
        <v>74446</v>
      </c>
      <c r="C182" s="15">
        <f>+C180+C181</f>
        <v>79679</v>
      </c>
      <c r="D182" s="15">
        <f>+D180+D181</f>
        <v>79049</v>
      </c>
      <c r="E182" s="2"/>
      <c r="F182" s="15"/>
      <c r="G182" s="15"/>
      <c r="H182" s="15"/>
      <c r="I182" s="15"/>
      <c r="J182" s="15"/>
    </row>
    <row r="183" spans="1:10" x14ac:dyDescent="0.2">
      <c r="A183" s="203" t="s">
        <v>602</v>
      </c>
      <c r="B183" s="15"/>
      <c r="C183" s="15"/>
      <c r="D183" s="15"/>
      <c r="E183" s="2"/>
      <c r="F183" s="15"/>
      <c r="G183" s="15"/>
      <c r="H183" s="15"/>
      <c r="I183" s="15"/>
      <c r="J183" s="15"/>
    </row>
    <row r="184" spans="1:10" x14ac:dyDescent="0.2">
      <c r="A184" s="203" t="s">
        <v>1259</v>
      </c>
      <c r="B184" s="26">
        <v>0</v>
      </c>
      <c r="C184" s="26">
        <v>0</v>
      </c>
      <c r="D184" s="26">
        <v>0</v>
      </c>
      <c r="E184" s="2"/>
      <c r="F184" s="26"/>
      <c r="G184" s="26"/>
      <c r="H184" s="26"/>
      <c r="I184" s="26"/>
      <c r="J184" s="26"/>
    </row>
    <row r="185" spans="1:10" x14ac:dyDescent="0.2">
      <c r="A185" s="203"/>
      <c r="B185" s="15">
        <f>SUM(B182:B184)</f>
        <v>74446</v>
      </c>
      <c r="C185" s="15">
        <f>SUM(C182:C184)</f>
        <v>79679</v>
      </c>
      <c r="D185" s="15">
        <f>SUM(D182:D184)</f>
        <v>79049</v>
      </c>
      <c r="E185" s="2"/>
      <c r="F185" s="15"/>
      <c r="G185" s="15"/>
      <c r="H185" s="15"/>
      <c r="I185" s="15"/>
      <c r="J185" s="15"/>
    </row>
    <row r="186" spans="1:10" x14ac:dyDescent="0.2">
      <c r="A186" s="203"/>
      <c r="B186" s="2"/>
      <c r="C186" s="2"/>
      <c r="D186" s="26"/>
      <c r="E186" s="2"/>
      <c r="F186" s="15"/>
      <c r="G186" s="15"/>
      <c r="H186" s="15"/>
      <c r="I186" s="15"/>
      <c r="J186" s="15"/>
    </row>
    <row r="187" spans="1:10" ht="13.5" x14ac:dyDescent="0.25">
      <c r="A187" s="205" t="s">
        <v>680</v>
      </c>
      <c r="B187" s="27" t="s">
        <v>345</v>
      </c>
      <c r="C187" s="27" t="s">
        <v>345</v>
      </c>
      <c r="D187" s="15"/>
      <c r="E187" s="2">
        <v>3644</v>
      </c>
      <c r="F187" s="2">
        <v>50000</v>
      </c>
      <c r="G187" s="2">
        <v>50000</v>
      </c>
      <c r="H187" s="2">
        <v>50000</v>
      </c>
      <c r="I187" s="2">
        <v>50000</v>
      </c>
      <c r="J187" s="2">
        <v>50000</v>
      </c>
    </row>
    <row r="188" spans="1:10" x14ac:dyDescent="0.2">
      <c r="A188" s="203" t="s">
        <v>1407</v>
      </c>
      <c r="B188" s="2" t="s">
        <v>345</v>
      </c>
      <c r="C188" s="2" t="s">
        <v>345</v>
      </c>
      <c r="D188" s="2">
        <v>50000</v>
      </c>
      <c r="E188" s="2"/>
      <c r="F188" s="2"/>
      <c r="G188" s="2"/>
      <c r="I188" s="2"/>
      <c r="J188" s="2"/>
    </row>
    <row r="189" spans="1:10" x14ac:dyDescent="0.2">
      <c r="A189" s="203"/>
      <c r="B189" s="203"/>
      <c r="C189" s="203"/>
      <c r="E189" s="2"/>
      <c r="F189" s="2"/>
      <c r="G189" s="2"/>
      <c r="I189" s="2"/>
      <c r="J189" s="2"/>
    </row>
    <row r="190" spans="1:10" ht="13.5" x14ac:dyDescent="0.25">
      <c r="A190" s="205" t="s">
        <v>353</v>
      </c>
      <c r="B190" s="203"/>
      <c r="C190" s="203"/>
      <c r="E190" s="2">
        <v>1000</v>
      </c>
      <c r="F190" s="2">
        <v>1000</v>
      </c>
      <c r="G190" s="2">
        <v>1000</v>
      </c>
      <c r="H190" s="2">
        <v>1000</v>
      </c>
      <c r="I190" s="2">
        <v>1000</v>
      </c>
      <c r="J190" s="2">
        <v>1000</v>
      </c>
    </row>
    <row r="191" spans="1:10" x14ac:dyDescent="0.2">
      <c r="A191" s="203" t="s">
        <v>354</v>
      </c>
      <c r="B191" s="203"/>
      <c r="C191" s="203"/>
      <c r="D191" s="2">
        <v>1000</v>
      </c>
      <c r="E191" s="2"/>
      <c r="F191" s="2"/>
      <c r="G191" s="2"/>
      <c r="I191" s="2"/>
      <c r="J191" s="2"/>
    </row>
    <row r="192" spans="1:10" x14ac:dyDescent="0.2">
      <c r="A192" s="203"/>
      <c r="B192" s="203"/>
      <c r="C192" s="203"/>
      <c r="E192" s="2"/>
      <c r="F192" s="2"/>
      <c r="G192" s="2"/>
      <c r="I192" s="2"/>
      <c r="J192" s="2"/>
    </row>
    <row r="193" spans="1:10" ht="13.5" x14ac:dyDescent="0.25">
      <c r="A193" s="205" t="s">
        <v>571</v>
      </c>
      <c r="B193" s="203"/>
      <c r="C193" s="203"/>
      <c r="D193" s="7" t="s">
        <v>345</v>
      </c>
      <c r="E193" s="2">
        <v>11231</v>
      </c>
      <c r="F193" s="2">
        <v>13200</v>
      </c>
      <c r="G193" s="2">
        <v>13950</v>
      </c>
      <c r="H193" s="2">
        <v>13950</v>
      </c>
      <c r="I193" s="2">
        <v>13950</v>
      </c>
      <c r="J193" s="2">
        <v>13950</v>
      </c>
    </row>
    <row r="194" spans="1:10" x14ac:dyDescent="0.2">
      <c r="A194" s="203" t="s">
        <v>572</v>
      </c>
      <c r="B194" s="203"/>
      <c r="C194" s="2"/>
      <c r="D194" s="2">
        <v>1500</v>
      </c>
      <c r="E194" s="2"/>
      <c r="F194" s="203"/>
      <c r="G194" s="203"/>
      <c r="H194" s="227"/>
      <c r="I194" s="231"/>
      <c r="J194" s="233"/>
    </row>
    <row r="195" spans="1:10" x14ac:dyDescent="0.2">
      <c r="A195" s="203" t="s">
        <v>65</v>
      </c>
      <c r="B195" s="203"/>
      <c r="C195" s="2"/>
      <c r="D195" s="2">
        <v>0</v>
      </c>
      <c r="E195" s="2"/>
      <c r="F195" s="203"/>
      <c r="G195" s="203"/>
      <c r="H195" s="227"/>
      <c r="I195" s="231"/>
      <c r="J195" s="233"/>
    </row>
    <row r="196" spans="1:10" x14ac:dyDescent="0.2">
      <c r="A196" s="203" t="s">
        <v>66</v>
      </c>
      <c r="B196" s="203"/>
      <c r="C196" s="2"/>
      <c r="D196" s="2">
        <v>2000</v>
      </c>
      <c r="E196" s="2"/>
      <c r="F196" s="203"/>
      <c r="G196" s="203"/>
      <c r="H196" s="227"/>
      <c r="I196" s="231"/>
      <c r="J196" s="233"/>
    </row>
    <row r="197" spans="1:10" x14ac:dyDescent="0.2">
      <c r="A197" s="203" t="s">
        <v>67</v>
      </c>
      <c r="B197" s="203"/>
      <c r="C197" s="2"/>
      <c r="D197" s="2">
        <v>1300</v>
      </c>
      <c r="E197" s="2"/>
      <c r="F197" s="2"/>
      <c r="G197" s="2"/>
      <c r="I197" s="2"/>
      <c r="J197" s="2"/>
    </row>
    <row r="198" spans="1:10" x14ac:dyDescent="0.2">
      <c r="A198" s="203" t="s">
        <v>68</v>
      </c>
      <c r="B198" s="203"/>
      <c r="C198" s="2"/>
      <c r="D198" s="2">
        <v>1000</v>
      </c>
      <c r="E198" s="2"/>
      <c r="F198" s="2"/>
      <c r="G198" s="2"/>
      <c r="I198" s="2"/>
      <c r="J198" s="2"/>
    </row>
    <row r="199" spans="1:10" x14ac:dyDescent="0.2">
      <c r="A199" s="203" t="s">
        <v>1408</v>
      </c>
      <c r="B199" s="203"/>
      <c r="C199" s="2"/>
      <c r="D199" s="2">
        <v>1200</v>
      </c>
      <c r="E199" s="2"/>
      <c r="F199" s="2"/>
      <c r="G199" s="2"/>
      <c r="I199" s="2"/>
      <c r="J199" s="2"/>
    </row>
    <row r="200" spans="1:10" x14ac:dyDescent="0.2">
      <c r="A200" s="203" t="s">
        <v>2003</v>
      </c>
      <c r="B200" s="203"/>
      <c r="C200" s="2"/>
      <c r="D200" s="2">
        <v>750</v>
      </c>
      <c r="E200" s="2"/>
      <c r="F200" s="2"/>
      <c r="G200" s="2"/>
      <c r="I200" s="2"/>
      <c r="J200" s="2"/>
    </row>
    <row r="201" spans="1:10" x14ac:dyDescent="0.2">
      <c r="A201" s="203" t="s">
        <v>1632</v>
      </c>
      <c r="B201" s="203"/>
      <c r="C201" s="2"/>
      <c r="D201" s="2">
        <v>1200</v>
      </c>
      <c r="E201" s="2"/>
      <c r="F201" s="2"/>
      <c r="G201" s="2"/>
      <c r="I201" s="2"/>
      <c r="J201" s="2"/>
    </row>
    <row r="202" spans="1:10" ht="15" x14ac:dyDescent="0.35">
      <c r="A202" s="203" t="s">
        <v>956</v>
      </c>
      <c r="B202" s="203"/>
      <c r="C202" s="2"/>
      <c r="D202" s="10">
        <v>5000</v>
      </c>
      <c r="E202" s="2"/>
      <c r="F202" s="2"/>
      <c r="G202" s="2"/>
      <c r="I202" s="2"/>
      <c r="J202" s="2"/>
    </row>
    <row r="203" spans="1:10" x14ac:dyDescent="0.2">
      <c r="A203" s="5" t="s">
        <v>1341</v>
      </c>
      <c r="B203" s="203"/>
      <c r="C203" s="2"/>
      <c r="D203" s="2">
        <f>SUM(D194:D202)</f>
        <v>13950</v>
      </c>
      <c r="E203" s="2"/>
      <c r="F203" s="2"/>
      <c r="G203" s="2"/>
      <c r="I203" s="2"/>
      <c r="J203" s="2"/>
    </row>
    <row r="204" spans="1:10" x14ac:dyDescent="0.2">
      <c r="A204" s="5"/>
      <c r="B204" s="203"/>
      <c r="C204" s="2"/>
      <c r="E204" s="2"/>
      <c r="F204" s="2"/>
      <c r="G204" s="2"/>
      <c r="I204" s="2"/>
      <c r="J204" s="2"/>
    </row>
    <row r="205" spans="1:10" ht="13.5" x14ac:dyDescent="0.25">
      <c r="A205" s="205" t="s">
        <v>411</v>
      </c>
      <c r="B205" s="203"/>
      <c r="C205" s="203"/>
      <c r="E205" s="2">
        <v>0</v>
      </c>
      <c r="F205" s="2">
        <v>8000</v>
      </c>
      <c r="G205" s="2">
        <v>8000</v>
      </c>
      <c r="H205" s="2">
        <v>8000</v>
      </c>
      <c r="I205" s="2">
        <v>8000</v>
      </c>
      <c r="J205" s="2">
        <v>8000</v>
      </c>
    </row>
    <row r="206" spans="1:10" x14ac:dyDescent="0.2">
      <c r="A206" s="203" t="s">
        <v>412</v>
      </c>
      <c r="B206" s="203" t="s">
        <v>345</v>
      </c>
      <c r="C206" s="2"/>
      <c r="D206" s="2">
        <v>8000</v>
      </c>
      <c r="E206" s="2"/>
      <c r="F206" s="2"/>
      <c r="G206" s="2"/>
      <c r="I206" s="2"/>
      <c r="J206" s="2"/>
    </row>
    <row r="207" spans="1:10" x14ac:dyDescent="0.2">
      <c r="A207" s="203"/>
      <c r="B207" s="203"/>
      <c r="C207" s="203"/>
      <c r="D207" s="7" t="s">
        <v>345</v>
      </c>
      <c r="E207" s="2"/>
      <c r="F207" s="2"/>
      <c r="G207" s="2"/>
      <c r="I207" s="2"/>
      <c r="J207" s="2"/>
    </row>
    <row r="208" spans="1:10" ht="13.5" x14ac:dyDescent="0.25">
      <c r="A208" s="205" t="s">
        <v>413</v>
      </c>
      <c r="B208" s="203"/>
      <c r="C208" s="203"/>
      <c r="D208" s="203"/>
      <c r="E208" s="2">
        <v>22576</v>
      </c>
      <c r="F208" s="2">
        <v>27690</v>
      </c>
      <c r="G208" s="2">
        <v>27690</v>
      </c>
      <c r="H208" s="2">
        <v>27690</v>
      </c>
      <c r="I208" s="2">
        <v>27690</v>
      </c>
      <c r="J208" s="2">
        <v>27690</v>
      </c>
    </row>
    <row r="209" spans="1:10" ht="13.5" x14ac:dyDescent="0.25">
      <c r="A209" s="205"/>
      <c r="B209" s="18" t="s">
        <v>1757</v>
      </c>
      <c r="C209" s="18" t="s">
        <v>1838</v>
      </c>
      <c r="D209" s="18" t="s">
        <v>1977</v>
      </c>
      <c r="E209" s="2"/>
      <c r="F209" s="2"/>
      <c r="G209" s="2"/>
      <c r="I209" s="2"/>
      <c r="J209" s="2"/>
    </row>
    <row r="210" spans="1:10" x14ac:dyDescent="0.2">
      <c r="A210" s="203" t="s">
        <v>899</v>
      </c>
      <c r="B210" s="80">
        <v>40</v>
      </c>
      <c r="C210" s="80">
        <v>40</v>
      </c>
      <c r="D210" s="80">
        <v>40</v>
      </c>
      <c r="E210" s="2"/>
      <c r="F210" s="203"/>
      <c r="G210" s="203"/>
      <c r="H210" s="227"/>
      <c r="I210" s="231"/>
      <c r="J210" s="233"/>
    </row>
    <row r="211" spans="1:10" x14ac:dyDescent="0.2">
      <c r="A211" s="203" t="s">
        <v>1205</v>
      </c>
      <c r="B211" s="80">
        <v>50</v>
      </c>
      <c r="C211" s="80">
        <v>50</v>
      </c>
      <c r="D211" s="80">
        <v>60</v>
      </c>
      <c r="E211" s="2"/>
      <c r="F211" s="203"/>
      <c r="G211" s="203"/>
      <c r="H211" s="227"/>
      <c r="I211" s="231"/>
      <c r="J211" s="233"/>
    </row>
    <row r="212" spans="1:10" x14ac:dyDescent="0.2">
      <c r="A212" s="203" t="s">
        <v>1016</v>
      </c>
      <c r="B212" s="80">
        <v>400</v>
      </c>
      <c r="C212" s="80">
        <v>300</v>
      </c>
      <c r="D212" s="80">
        <v>350</v>
      </c>
      <c r="E212" s="2"/>
      <c r="F212" s="203"/>
      <c r="G212" s="203"/>
      <c r="H212" s="227"/>
      <c r="I212" s="231"/>
      <c r="J212" s="233"/>
    </row>
    <row r="213" spans="1:10" x14ac:dyDescent="0.2">
      <c r="A213" s="203" t="s">
        <v>241</v>
      </c>
      <c r="B213" s="80">
        <v>500</v>
      </c>
      <c r="C213" s="80">
        <v>400</v>
      </c>
      <c r="D213" s="80">
        <v>500</v>
      </c>
      <c r="E213" s="2"/>
      <c r="F213" s="2"/>
      <c r="G213" s="2"/>
      <c r="I213" s="2"/>
      <c r="J213" s="2"/>
    </row>
    <row r="214" spans="1:10" x14ac:dyDescent="0.2">
      <c r="A214" s="203" t="s">
        <v>861</v>
      </c>
      <c r="B214" s="80">
        <v>6750</v>
      </c>
      <c r="C214" s="80">
        <v>8500</v>
      </c>
      <c r="D214" s="80">
        <v>8000</v>
      </c>
      <c r="E214" s="2"/>
      <c r="F214" s="2"/>
      <c r="G214" s="2"/>
      <c r="I214" s="2"/>
      <c r="J214" s="2"/>
    </row>
    <row r="215" spans="1:10" x14ac:dyDescent="0.2">
      <c r="A215" s="203" t="s">
        <v>1179</v>
      </c>
      <c r="B215" s="80">
        <v>7100</v>
      </c>
      <c r="C215" s="80">
        <v>7400</v>
      </c>
      <c r="D215" s="80">
        <v>7700</v>
      </c>
      <c r="E215" s="2"/>
      <c r="F215" s="2"/>
      <c r="G215" s="2"/>
      <c r="I215" s="2"/>
      <c r="J215" s="2"/>
    </row>
    <row r="216" spans="1:10" x14ac:dyDescent="0.2">
      <c r="A216" s="203" t="s">
        <v>862</v>
      </c>
      <c r="B216" s="80">
        <v>200</v>
      </c>
      <c r="C216" s="80">
        <v>300</v>
      </c>
      <c r="D216" s="80">
        <v>200</v>
      </c>
      <c r="E216" s="2"/>
      <c r="F216" s="2"/>
      <c r="G216" s="2"/>
      <c r="I216" s="2"/>
      <c r="J216" s="2"/>
    </row>
    <row r="217" spans="1:10" x14ac:dyDescent="0.2">
      <c r="A217" s="203" t="s">
        <v>1374</v>
      </c>
      <c r="B217" s="80">
        <v>2000</v>
      </c>
      <c r="C217" s="80">
        <v>2100</v>
      </c>
      <c r="D217" s="80">
        <v>2300</v>
      </c>
      <c r="E217" s="2"/>
      <c r="F217" s="2"/>
      <c r="G217" s="2"/>
      <c r="I217" s="2"/>
      <c r="J217" s="2"/>
    </row>
    <row r="218" spans="1:10" x14ac:dyDescent="0.2">
      <c r="A218" s="203" t="s">
        <v>954</v>
      </c>
      <c r="B218" s="80">
        <v>1000</v>
      </c>
      <c r="C218" s="80">
        <v>1200</v>
      </c>
      <c r="D218" s="80">
        <v>1200</v>
      </c>
      <c r="E218" s="2"/>
      <c r="F218" s="2"/>
      <c r="G218" s="2"/>
      <c r="I218" s="2"/>
      <c r="J218" s="2"/>
    </row>
    <row r="219" spans="1:10" x14ac:dyDescent="0.2">
      <c r="A219" s="203" t="s">
        <v>871</v>
      </c>
      <c r="B219" s="80">
        <v>500</v>
      </c>
      <c r="C219" s="80">
        <v>2000</v>
      </c>
      <c r="D219" s="80">
        <v>1200</v>
      </c>
      <c r="E219" s="2"/>
      <c r="F219" s="2"/>
      <c r="G219" s="2"/>
      <c r="I219" s="2"/>
      <c r="J219" s="2"/>
    </row>
    <row r="220" spans="1:10" x14ac:dyDescent="0.2">
      <c r="A220" s="203" t="s">
        <v>902</v>
      </c>
      <c r="B220" s="80">
        <v>250</v>
      </c>
      <c r="C220" s="80">
        <v>300</v>
      </c>
      <c r="D220" s="80">
        <v>850</v>
      </c>
      <c r="E220" s="2"/>
      <c r="F220" s="2"/>
      <c r="G220" s="2"/>
      <c r="I220" s="2"/>
      <c r="J220" s="2"/>
    </row>
    <row r="221" spans="1:10" x14ac:dyDescent="0.2">
      <c r="A221" s="203" t="s">
        <v>726</v>
      </c>
      <c r="B221" s="80">
        <v>400</v>
      </c>
      <c r="C221" s="80">
        <v>300</v>
      </c>
      <c r="D221" s="80">
        <v>300</v>
      </c>
      <c r="E221" s="2"/>
      <c r="F221" s="2"/>
      <c r="G221" s="2"/>
      <c r="I221" s="2"/>
      <c r="J221" s="2"/>
    </row>
    <row r="222" spans="1:10" ht="15" x14ac:dyDescent="0.25">
      <c r="A222" s="203" t="s">
        <v>276</v>
      </c>
      <c r="B222" s="115">
        <v>100</v>
      </c>
      <c r="C222" s="115">
        <v>100</v>
      </c>
      <c r="D222" s="115">
        <v>130</v>
      </c>
      <c r="E222" s="2"/>
      <c r="F222" s="2"/>
      <c r="G222" s="2"/>
      <c r="I222" s="2"/>
      <c r="J222" s="2"/>
    </row>
    <row r="223" spans="1:10" ht="15" x14ac:dyDescent="0.25">
      <c r="A223" s="203" t="s">
        <v>1375</v>
      </c>
      <c r="B223" s="115">
        <v>200</v>
      </c>
      <c r="C223" s="115">
        <v>200</v>
      </c>
      <c r="D223" s="115">
        <v>225</v>
      </c>
      <c r="E223" s="2"/>
      <c r="F223" s="2"/>
      <c r="G223" s="2"/>
      <c r="I223" s="2"/>
      <c r="J223" s="2"/>
    </row>
    <row r="224" spans="1:10" ht="15" x14ac:dyDescent="0.25">
      <c r="A224" s="203" t="s">
        <v>863</v>
      </c>
      <c r="B224" s="115">
        <v>1000</v>
      </c>
      <c r="C224" s="115">
        <v>1000</v>
      </c>
      <c r="D224" s="115">
        <v>1500</v>
      </c>
      <c r="E224" s="2"/>
      <c r="F224" s="2"/>
      <c r="G224" s="2"/>
      <c r="I224" s="2"/>
      <c r="J224" s="2"/>
    </row>
    <row r="225" spans="1:10" x14ac:dyDescent="0.2">
      <c r="A225" s="203" t="s">
        <v>864</v>
      </c>
      <c r="B225" s="80">
        <v>100</v>
      </c>
      <c r="C225" s="80">
        <v>100</v>
      </c>
      <c r="D225" s="80">
        <v>100</v>
      </c>
      <c r="E225" s="2"/>
      <c r="F225" s="2"/>
      <c r="G225" s="2"/>
      <c r="I225" s="2"/>
      <c r="J225" s="2"/>
    </row>
    <row r="226" spans="1:10" x14ac:dyDescent="0.2">
      <c r="A226" s="203" t="s">
        <v>1017</v>
      </c>
      <c r="B226" s="80">
        <v>0</v>
      </c>
      <c r="C226" s="80">
        <v>200</v>
      </c>
      <c r="D226" s="80">
        <v>200</v>
      </c>
      <c r="E226" s="2"/>
      <c r="F226" s="2"/>
      <c r="G226" s="2"/>
      <c r="I226" s="2"/>
      <c r="J226" s="2"/>
    </row>
    <row r="227" spans="1:10" x14ac:dyDescent="0.2">
      <c r="A227" s="203" t="s">
        <v>1376</v>
      </c>
      <c r="B227" s="80">
        <v>1400</v>
      </c>
      <c r="C227" s="80">
        <v>1500</v>
      </c>
      <c r="D227" s="80">
        <v>1600</v>
      </c>
      <c r="E227" s="2"/>
      <c r="F227" s="2"/>
      <c r="G227" s="2"/>
      <c r="I227" s="2"/>
      <c r="J227" s="2"/>
    </row>
    <row r="228" spans="1:10" x14ac:dyDescent="0.2">
      <c r="A228" s="203" t="s">
        <v>1377</v>
      </c>
      <c r="B228" s="80">
        <v>1000</v>
      </c>
      <c r="C228" s="80">
        <v>1200</v>
      </c>
      <c r="D228" s="80">
        <v>1350</v>
      </c>
      <c r="E228" s="2"/>
      <c r="F228" s="2"/>
      <c r="G228" s="2"/>
      <c r="I228" s="2"/>
      <c r="J228" s="2"/>
    </row>
    <row r="229" spans="1:10" x14ac:dyDescent="0.2">
      <c r="A229" s="203" t="s">
        <v>1029</v>
      </c>
      <c r="B229" s="80">
        <v>2000</v>
      </c>
      <c r="C229" s="80">
        <v>500</v>
      </c>
      <c r="D229" s="80">
        <f>3185+500</f>
        <v>3685</v>
      </c>
      <c r="E229" s="2"/>
      <c r="F229" s="2"/>
      <c r="G229" s="2"/>
      <c r="I229" s="2"/>
      <c r="J229" s="2"/>
    </row>
    <row r="230" spans="1:10" ht="15" x14ac:dyDescent="0.2">
      <c r="A230" s="203" t="s">
        <v>804</v>
      </c>
      <c r="B230" s="82">
        <v>18000</v>
      </c>
      <c r="C230" s="82">
        <v>18000</v>
      </c>
      <c r="D230" s="82">
        <v>18000</v>
      </c>
      <c r="E230" s="2"/>
      <c r="F230" s="2"/>
      <c r="G230" s="2"/>
      <c r="I230" s="2"/>
      <c r="J230" s="2"/>
    </row>
    <row r="231" spans="1:10" x14ac:dyDescent="0.2">
      <c r="A231" s="203" t="s">
        <v>655</v>
      </c>
      <c r="B231" s="80">
        <f>SUM(B210:B230)</f>
        <v>42990</v>
      </c>
      <c r="C231" s="80">
        <f>SUM(C210:C230)</f>
        <v>45690</v>
      </c>
      <c r="D231" s="80">
        <f>SUM(D210:D230)</f>
        <v>49490</v>
      </c>
      <c r="E231" s="2"/>
      <c r="F231" s="2"/>
      <c r="G231" s="2"/>
      <c r="I231" s="2"/>
      <c r="J231" s="2"/>
    </row>
    <row r="232" spans="1:10" x14ac:dyDescent="0.2">
      <c r="A232" s="203" t="s">
        <v>603</v>
      </c>
      <c r="B232" s="79">
        <v>-20414</v>
      </c>
      <c r="C232" s="79">
        <v>-18000</v>
      </c>
      <c r="D232" s="79">
        <v>-21800</v>
      </c>
      <c r="E232" s="2"/>
      <c r="F232" s="2"/>
      <c r="G232" s="2"/>
      <c r="I232" s="2"/>
      <c r="J232" s="2"/>
    </row>
    <row r="233" spans="1:10" ht="15" x14ac:dyDescent="0.35">
      <c r="A233" s="203" t="s">
        <v>1259</v>
      </c>
      <c r="B233" s="81">
        <v>0</v>
      </c>
      <c r="C233" s="81">
        <v>0</v>
      </c>
      <c r="D233" s="81">
        <v>0</v>
      </c>
      <c r="E233" s="2"/>
      <c r="F233" s="2"/>
      <c r="G233" s="2"/>
      <c r="I233" s="2"/>
      <c r="J233" s="2"/>
    </row>
    <row r="234" spans="1:10" x14ac:dyDescent="0.2">
      <c r="A234" s="203" t="s">
        <v>638</v>
      </c>
      <c r="B234" s="79">
        <f>SUM(B231:B233)</f>
        <v>22576</v>
      </c>
      <c r="C234" s="79">
        <f>SUM(C231:C233)</f>
        <v>27690</v>
      </c>
      <c r="D234" s="79">
        <f>SUM(D231:D233)</f>
        <v>27690</v>
      </c>
      <c r="E234" s="2"/>
      <c r="F234" s="2"/>
      <c r="G234" s="2"/>
      <c r="I234" s="2"/>
      <c r="J234" s="2"/>
    </row>
    <row r="235" spans="1:10" x14ac:dyDescent="0.2">
      <c r="A235" s="203"/>
      <c r="B235" s="2"/>
      <c r="C235" s="79"/>
      <c r="D235" s="79"/>
      <c r="E235" s="2"/>
      <c r="F235" s="2"/>
      <c r="G235" s="2"/>
      <c r="I235" s="2"/>
      <c r="J235" s="2"/>
    </row>
    <row r="236" spans="1:10" ht="13.5" x14ac:dyDescent="0.25">
      <c r="A236" s="205" t="s">
        <v>356</v>
      </c>
      <c r="B236" s="18" t="s">
        <v>1757</v>
      </c>
      <c r="C236" s="18" t="s">
        <v>1838</v>
      </c>
      <c r="D236" s="18" t="s">
        <v>1977</v>
      </c>
      <c r="E236" s="2">
        <v>0</v>
      </c>
      <c r="F236" s="2">
        <v>0</v>
      </c>
      <c r="G236" s="2">
        <v>0</v>
      </c>
      <c r="H236" s="2">
        <v>0</v>
      </c>
      <c r="I236" s="2">
        <v>0</v>
      </c>
      <c r="J236" s="2">
        <v>0</v>
      </c>
    </row>
    <row r="237" spans="1:10" x14ac:dyDescent="0.2">
      <c r="A237" s="203" t="s">
        <v>1478</v>
      </c>
      <c r="B237" s="2">
        <v>0</v>
      </c>
      <c r="C237" s="2">
        <v>0</v>
      </c>
      <c r="D237" s="2">
        <v>0</v>
      </c>
      <c r="E237" s="2"/>
      <c r="F237" s="2"/>
      <c r="G237" s="2"/>
      <c r="I237" s="2"/>
      <c r="J237" s="2"/>
    </row>
    <row r="238" spans="1:10" x14ac:dyDescent="0.2">
      <c r="A238" s="203"/>
      <c r="B238" s="2"/>
      <c r="C238" s="2"/>
      <c r="E238" s="2"/>
      <c r="F238" s="2"/>
      <c r="G238" s="2"/>
      <c r="I238" s="2"/>
      <c r="J238" s="2"/>
    </row>
    <row r="239" spans="1:10" x14ac:dyDescent="0.2">
      <c r="A239" s="116" t="s">
        <v>778</v>
      </c>
      <c r="B239" s="18" t="s">
        <v>1757</v>
      </c>
      <c r="C239" s="18" t="s">
        <v>1838</v>
      </c>
      <c r="D239" s="18" t="s">
        <v>1977</v>
      </c>
      <c r="E239" s="2">
        <v>141</v>
      </c>
      <c r="F239" s="2">
        <v>41200</v>
      </c>
      <c r="G239" s="2">
        <v>94500</v>
      </c>
      <c r="H239" s="2">
        <v>32500</v>
      </c>
      <c r="I239" s="2">
        <v>32500</v>
      </c>
      <c r="J239" s="2">
        <v>32500</v>
      </c>
    </row>
    <row r="240" spans="1:10" x14ac:dyDescent="0.2">
      <c r="A240" s="22" t="s">
        <v>2004</v>
      </c>
      <c r="B240" s="2">
        <v>0</v>
      </c>
      <c r="C240" s="2">
        <v>0</v>
      </c>
      <c r="D240" s="2">
        <v>32500</v>
      </c>
      <c r="E240" s="2"/>
      <c r="F240" s="2"/>
      <c r="G240" s="2"/>
      <c r="I240" s="2"/>
      <c r="J240" s="2"/>
    </row>
    <row r="241" spans="1:10" x14ac:dyDescent="0.2">
      <c r="A241" s="22" t="s">
        <v>2005</v>
      </c>
      <c r="B241" s="2">
        <v>0</v>
      </c>
      <c r="C241" s="2">
        <v>0</v>
      </c>
      <c r="D241" s="2">
        <v>0</v>
      </c>
      <c r="E241" s="2"/>
      <c r="F241" s="2"/>
      <c r="G241" s="2"/>
      <c r="I241" s="2"/>
      <c r="J241" s="2"/>
    </row>
    <row r="242" spans="1:10" x14ac:dyDescent="0.2">
      <c r="A242" s="22" t="s">
        <v>1778</v>
      </c>
      <c r="B242" s="2">
        <v>37000</v>
      </c>
      <c r="C242" s="2">
        <v>0</v>
      </c>
      <c r="E242" s="2"/>
      <c r="F242" s="2"/>
      <c r="G242" s="2"/>
      <c r="I242" s="2"/>
      <c r="J242" s="2"/>
    </row>
    <row r="243" spans="1:10" x14ac:dyDescent="0.2">
      <c r="A243" s="22" t="s">
        <v>1873</v>
      </c>
      <c r="B243" s="2">
        <v>0</v>
      </c>
      <c r="C243" s="2">
        <v>26400</v>
      </c>
      <c r="E243" s="2"/>
      <c r="F243" s="2"/>
      <c r="G243" s="2"/>
      <c r="I243" s="2"/>
      <c r="J243" s="2"/>
    </row>
    <row r="244" spans="1:10" ht="15" x14ac:dyDescent="0.35">
      <c r="A244" s="22" t="s">
        <v>1874</v>
      </c>
      <c r="B244" s="10">
        <v>0</v>
      </c>
      <c r="C244" s="10">
        <v>14800</v>
      </c>
      <c r="D244" s="10" t="s">
        <v>1360</v>
      </c>
      <c r="E244" s="10"/>
      <c r="F244" s="2"/>
      <c r="G244" s="2"/>
      <c r="I244" s="2"/>
      <c r="J244" s="2"/>
    </row>
    <row r="245" spans="1:10" x14ac:dyDescent="0.2">
      <c r="A245" s="68"/>
      <c r="B245" s="2">
        <f>SUM(B240:B244)</f>
        <v>37000</v>
      </c>
      <c r="C245" s="2">
        <f>SUM(C240:C244)</f>
        <v>41200</v>
      </c>
      <c r="D245" s="2">
        <f>SUM(D240:D244)</f>
        <v>32500</v>
      </c>
      <c r="E245" s="2"/>
      <c r="F245" s="2"/>
      <c r="G245" s="2"/>
      <c r="I245" s="2"/>
      <c r="J245" s="2"/>
    </row>
    <row r="246" spans="1:10" x14ac:dyDescent="0.2">
      <c r="A246" s="68"/>
      <c r="B246" s="2"/>
      <c r="C246" s="2"/>
      <c r="E246" s="2"/>
      <c r="F246" s="2"/>
      <c r="G246" s="2"/>
      <c r="I246" s="2"/>
      <c r="J246" s="2"/>
    </row>
    <row r="247" spans="1:10" ht="13.5" x14ac:dyDescent="0.25">
      <c r="A247" s="205" t="s">
        <v>356</v>
      </c>
      <c r="B247" s="2"/>
      <c r="C247" s="2"/>
      <c r="E247" s="2">
        <v>0</v>
      </c>
      <c r="F247" s="2">
        <v>0</v>
      </c>
      <c r="G247" s="2"/>
      <c r="I247" s="2"/>
      <c r="J247" s="2"/>
    </row>
    <row r="248" spans="1:10" s="233" customFormat="1" ht="13.5" x14ac:dyDescent="0.25">
      <c r="A248" s="235"/>
      <c r="B248" s="2"/>
      <c r="C248" s="2"/>
      <c r="D248" s="2"/>
      <c r="E248" s="2"/>
      <c r="F248" s="2"/>
      <c r="G248" s="2"/>
      <c r="H248" s="2"/>
      <c r="I248" s="2"/>
      <c r="J248" s="2"/>
    </row>
    <row r="249" spans="1:10" s="233" customFormat="1" ht="13.5" x14ac:dyDescent="0.25">
      <c r="A249" s="235" t="s">
        <v>1232</v>
      </c>
      <c r="B249" s="18" t="s">
        <v>1757</v>
      </c>
      <c r="C249" s="18" t="s">
        <v>1838</v>
      </c>
      <c r="D249" s="18" t="s">
        <v>1977</v>
      </c>
      <c r="E249" s="2"/>
      <c r="F249" s="2"/>
      <c r="G249" s="2"/>
      <c r="H249" s="2"/>
      <c r="I249" s="2"/>
      <c r="J249" s="2"/>
    </row>
    <row r="250" spans="1:10" s="233" customFormat="1" x14ac:dyDescent="0.2">
      <c r="A250" s="233" t="s">
        <v>359</v>
      </c>
      <c r="B250" s="2">
        <v>5000</v>
      </c>
      <c r="C250" s="2">
        <v>5000</v>
      </c>
      <c r="D250" s="2">
        <v>5000</v>
      </c>
      <c r="E250" s="2"/>
      <c r="F250" s="2"/>
      <c r="G250" s="2"/>
      <c r="H250" s="2"/>
      <c r="I250" s="2"/>
      <c r="J250" s="2">
        <v>5000</v>
      </c>
    </row>
    <row r="251" spans="1:10" x14ac:dyDescent="0.2">
      <c r="A251" s="203"/>
      <c r="B251" s="2"/>
      <c r="C251" s="2"/>
      <c r="E251" s="2"/>
      <c r="F251" s="2"/>
      <c r="G251" s="2"/>
      <c r="I251" s="2"/>
      <c r="J251" s="2"/>
    </row>
    <row r="252" spans="1:10" x14ac:dyDescent="0.2">
      <c r="B252" s="2"/>
      <c r="C252" s="2"/>
      <c r="E252" s="2"/>
      <c r="F252" s="2"/>
      <c r="G252" s="2"/>
      <c r="I252" s="2"/>
      <c r="J252" s="2"/>
    </row>
    <row r="253" spans="1:10" x14ac:dyDescent="0.2">
      <c r="A253" s="183" t="s">
        <v>1151</v>
      </c>
      <c r="B253" s="203"/>
      <c r="C253" s="2"/>
      <c r="E253" s="2">
        <f t="shared" ref="E253:J253" si="1">SUM(E6:E251)</f>
        <v>443178</v>
      </c>
      <c r="F253" s="2">
        <f t="shared" si="1"/>
        <v>554984</v>
      </c>
      <c r="G253" s="2">
        <f t="shared" si="1"/>
        <v>618547</v>
      </c>
      <c r="H253" s="2">
        <f t="shared" si="1"/>
        <v>555047</v>
      </c>
      <c r="I253" s="2">
        <f t="shared" si="1"/>
        <v>557788</v>
      </c>
      <c r="J253" s="2">
        <f t="shared" si="1"/>
        <v>562788</v>
      </c>
    </row>
    <row r="254" spans="1:10" x14ac:dyDescent="0.2">
      <c r="B254" s="203"/>
      <c r="C254" s="2"/>
      <c r="E254" s="2"/>
      <c r="F254" s="2"/>
      <c r="G254" s="2"/>
      <c r="I254" s="2"/>
      <c r="J254" s="2"/>
    </row>
    <row r="255" spans="1:10" x14ac:dyDescent="0.2">
      <c r="A255" s="183" t="s">
        <v>829</v>
      </c>
      <c r="B255" s="203"/>
      <c r="C255" s="203"/>
      <c r="E255" s="2">
        <f t="shared" ref="E255:J255" si="2">SUM(E6:E68)</f>
        <v>213738</v>
      </c>
      <c r="F255" s="2">
        <f t="shared" si="2"/>
        <v>242110</v>
      </c>
      <c r="G255" s="2">
        <f t="shared" si="2"/>
        <v>243861</v>
      </c>
      <c r="H255" s="2">
        <f t="shared" si="2"/>
        <v>243861</v>
      </c>
      <c r="I255" s="2">
        <f t="shared" si="2"/>
        <v>246602</v>
      </c>
      <c r="J255" s="2">
        <f t="shared" si="2"/>
        <v>246602</v>
      </c>
    </row>
    <row r="256" spans="1:10" x14ac:dyDescent="0.2">
      <c r="A256" s="183" t="s">
        <v>809</v>
      </c>
      <c r="B256" s="203"/>
      <c r="C256" s="203"/>
      <c r="E256" s="2">
        <f t="shared" ref="E256:J256" si="3">SUM(E70:E232)</f>
        <v>229299</v>
      </c>
      <c r="F256" s="2">
        <f t="shared" si="3"/>
        <v>271674</v>
      </c>
      <c r="G256" s="2">
        <f t="shared" si="3"/>
        <v>280186</v>
      </c>
      <c r="H256" s="2">
        <f t="shared" si="3"/>
        <v>278686</v>
      </c>
      <c r="I256" s="2">
        <f t="shared" si="3"/>
        <v>278686</v>
      </c>
      <c r="J256" s="2">
        <f t="shared" si="3"/>
        <v>278686</v>
      </c>
    </row>
    <row r="257" spans="1:10" ht="15" x14ac:dyDescent="0.35">
      <c r="A257" s="183" t="s">
        <v>810</v>
      </c>
      <c r="B257" s="203"/>
      <c r="C257" s="203"/>
      <c r="E257" s="10">
        <f t="shared" ref="E257:J257" si="4">SUM(E234:E251)</f>
        <v>141</v>
      </c>
      <c r="F257" s="10">
        <f t="shared" si="4"/>
        <v>41200</v>
      </c>
      <c r="G257" s="10">
        <f t="shared" si="4"/>
        <v>94500</v>
      </c>
      <c r="H257" s="10">
        <f t="shared" si="4"/>
        <v>32500</v>
      </c>
      <c r="I257" s="10">
        <f t="shared" ref="I257" si="5">SUM(I234:I251)</f>
        <v>32500</v>
      </c>
      <c r="J257" s="10">
        <f t="shared" si="4"/>
        <v>37500</v>
      </c>
    </row>
    <row r="258" spans="1:10" x14ac:dyDescent="0.2">
      <c r="A258" s="183" t="s">
        <v>1073</v>
      </c>
      <c r="B258" s="203"/>
      <c r="C258" s="203"/>
      <c r="E258" s="2">
        <f t="shared" ref="E258:J258" si="6">SUM(E255:E257)</f>
        <v>443178</v>
      </c>
      <c r="F258" s="2">
        <f t="shared" si="6"/>
        <v>554984</v>
      </c>
      <c r="G258" s="2">
        <f t="shared" si="6"/>
        <v>618547</v>
      </c>
      <c r="H258" s="2">
        <f t="shared" ref="H258:I258" si="7">SUM(H255:H257)</f>
        <v>555047</v>
      </c>
      <c r="I258" s="2">
        <f t="shared" si="7"/>
        <v>557788</v>
      </c>
      <c r="J258" s="2">
        <f t="shared" si="6"/>
        <v>562788</v>
      </c>
    </row>
    <row r="259" spans="1:10" x14ac:dyDescent="0.2">
      <c r="B259" s="203"/>
      <c r="C259" s="203"/>
      <c r="E259" s="203"/>
      <c r="F259" s="203"/>
      <c r="G259" s="203"/>
      <c r="H259" s="227"/>
      <c r="I259" s="231"/>
      <c r="J259" s="2"/>
    </row>
    <row r="260" spans="1:10" x14ac:dyDescent="0.2">
      <c r="B260" s="203"/>
      <c r="C260" s="203"/>
      <c r="E260" s="203"/>
      <c r="F260" s="2"/>
      <c r="G260" s="203"/>
      <c r="H260" s="227"/>
      <c r="I260" s="231"/>
      <c r="J260" s="2"/>
    </row>
    <row r="261" spans="1:10" x14ac:dyDescent="0.2">
      <c r="B261" s="203"/>
      <c r="C261" s="203"/>
      <c r="E261" s="203"/>
      <c r="F261" s="203"/>
      <c r="G261" s="203"/>
      <c r="H261" s="227"/>
      <c r="I261" s="231"/>
      <c r="J261" s="2"/>
    </row>
    <row r="262" spans="1:10" x14ac:dyDescent="0.2">
      <c r="B262" s="203"/>
      <c r="C262" s="203"/>
      <c r="E262" s="203"/>
      <c r="F262" s="203"/>
      <c r="G262" s="203"/>
      <c r="H262" s="227"/>
      <c r="I262" s="231"/>
      <c r="J262" s="2"/>
    </row>
    <row r="263" spans="1:10" x14ac:dyDescent="0.2">
      <c r="H263" s="227"/>
      <c r="I263" s="231"/>
    </row>
    <row r="264" spans="1:10" x14ac:dyDescent="0.2">
      <c r="H264" s="227"/>
      <c r="I264" s="231"/>
    </row>
    <row r="265" spans="1:10" x14ac:dyDescent="0.2">
      <c r="H265" s="227"/>
      <c r="I265" s="231"/>
    </row>
    <row r="266" spans="1:10" x14ac:dyDescent="0.2">
      <c r="H266" s="227"/>
      <c r="I266" s="231"/>
    </row>
    <row r="267" spans="1:10" x14ac:dyDescent="0.2">
      <c r="H267" s="227"/>
      <c r="I267" s="231"/>
    </row>
    <row r="268" spans="1:10" x14ac:dyDescent="0.2">
      <c r="H268" s="227"/>
      <c r="I268" s="231"/>
    </row>
    <row r="269" spans="1:10" x14ac:dyDescent="0.2">
      <c r="H269" s="227"/>
      <c r="I269" s="231"/>
    </row>
    <row r="270" spans="1:10" x14ac:dyDescent="0.2">
      <c r="H270" s="227"/>
      <c r="I270" s="231"/>
    </row>
    <row r="271" spans="1:10" x14ac:dyDescent="0.2">
      <c r="H271" s="227"/>
      <c r="I271" s="231"/>
    </row>
    <row r="272" spans="1:10" x14ac:dyDescent="0.2">
      <c r="H272" s="227"/>
      <c r="I272" s="231"/>
    </row>
    <row r="273" spans="8:9" x14ac:dyDescent="0.2">
      <c r="H273" s="227"/>
      <c r="I273" s="231"/>
    </row>
    <row r="274" spans="8:9" x14ac:dyDescent="0.2">
      <c r="H274" s="227"/>
      <c r="I274" s="231"/>
    </row>
    <row r="275" spans="8:9" x14ac:dyDescent="0.2">
      <c r="H275" s="227"/>
      <c r="I275" s="231"/>
    </row>
    <row r="276" spans="8:9" x14ac:dyDescent="0.2">
      <c r="H276" s="227"/>
      <c r="I276" s="231"/>
    </row>
    <row r="277" spans="8:9" x14ac:dyDescent="0.2">
      <c r="H277" s="227"/>
      <c r="I277" s="231"/>
    </row>
    <row r="278" spans="8:9" x14ac:dyDescent="0.2">
      <c r="H278" s="227"/>
      <c r="I278" s="231"/>
    </row>
    <row r="279" spans="8:9" x14ac:dyDescent="0.2">
      <c r="H279" s="227"/>
      <c r="I279" s="231"/>
    </row>
    <row r="280" spans="8:9" x14ac:dyDescent="0.2">
      <c r="H280" s="227"/>
      <c r="I280" s="231"/>
    </row>
    <row r="281" spans="8:9" x14ac:dyDescent="0.2">
      <c r="H281" s="227"/>
      <c r="I281" s="231"/>
    </row>
    <row r="282" spans="8:9" x14ac:dyDescent="0.2">
      <c r="H282" s="227"/>
      <c r="I282" s="231"/>
    </row>
    <row r="283" spans="8:9" x14ac:dyDescent="0.2">
      <c r="H283" s="227"/>
      <c r="I283" s="231"/>
    </row>
    <row r="284" spans="8:9" x14ac:dyDescent="0.2">
      <c r="H284" s="227"/>
      <c r="I284" s="231"/>
    </row>
    <row r="285" spans="8:9" x14ac:dyDescent="0.2">
      <c r="H285" s="227"/>
      <c r="I285" s="231"/>
    </row>
    <row r="286" spans="8:9" x14ac:dyDescent="0.2">
      <c r="H286" s="227"/>
      <c r="I286" s="231"/>
    </row>
    <row r="287" spans="8:9" x14ac:dyDescent="0.2">
      <c r="H287" s="227"/>
      <c r="I287" s="231"/>
    </row>
    <row r="288" spans="8:9" x14ac:dyDescent="0.2">
      <c r="H288" s="227"/>
      <c r="I288" s="231"/>
    </row>
    <row r="289" spans="8:9" x14ac:dyDescent="0.2">
      <c r="H289" s="227"/>
      <c r="I289" s="231"/>
    </row>
    <row r="290" spans="8:9" x14ac:dyDescent="0.2">
      <c r="H290" s="227"/>
      <c r="I290" s="231"/>
    </row>
    <row r="291" spans="8:9" x14ac:dyDescent="0.2">
      <c r="H291" s="227"/>
      <c r="I291" s="231"/>
    </row>
    <row r="292" spans="8:9" x14ac:dyDescent="0.2">
      <c r="H292" s="227"/>
      <c r="I292" s="231"/>
    </row>
    <row r="293" spans="8:9" x14ac:dyDescent="0.2">
      <c r="H293" s="227"/>
      <c r="I293" s="231"/>
    </row>
    <row r="294" spans="8:9" x14ac:dyDescent="0.2">
      <c r="H294" s="227"/>
      <c r="I294" s="231"/>
    </row>
    <row r="295" spans="8:9" x14ac:dyDescent="0.2">
      <c r="H295" s="227"/>
      <c r="I295" s="231"/>
    </row>
    <row r="296" spans="8:9" x14ac:dyDescent="0.2">
      <c r="H296" s="183"/>
    </row>
    <row r="297" spans="8:9" x14ac:dyDescent="0.2">
      <c r="H297" s="183"/>
    </row>
    <row r="298" spans="8:9" x14ac:dyDescent="0.2">
      <c r="H298" s="183"/>
    </row>
    <row r="299" spans="8:9" x14ac:dyDescent="0.2">
      <c r="H299" s="183"/>
    </row>
    <row r="300" spans="8:9" x14ac:dyDescent="0.2">
      <c r="H300" s="183"/>
    </row>
    <row r="301" spans="8:9" x14ac:dyDescent="0.2">
      <c r="H301" s="183"/>
    </row>
    <row r="302" spans="8:9" x14ac:dyDescent="0.2">
      <c r="H302" s="183"/>
    </row>
    <row r="303" spans="8:9" x14ac:dyDescent="0.2">
      <c r="H303" s="183"/>
    </row>
    <row r="304" spans="8:9" x14ac:dyDescent="0.2">
      <c r="H304" s="183"/>
    </row>
    <row r="305" spans="8:8" x14ac:dyDescent="0.2">
      <c r="H305" s="183"/>
    </row>
    <row r="306" spans="8:8" x14ac:dyDescent="0.2">
      <c r="H306" s="183"/>
    </row>
    <row r="307" spans="8:8" x14ac:dyDescent="0.2">
      <c r="H307" s="183"/>
    </row>
    <row r="308" spans="8:8" x14ac:dyDescent="0.2">
      <c r="H308" s="183"/>
    </row>
    <row r="309" spans="8:8" x14ac:dyDescent="0.2">
      <c r="H309" s="183"/>
    </row>
    <row r="310" spans="8:8" x14ac:dyDescent="0.2">
      <c r="H310" s="183"/>
    </row>
    <row r="311" spans="8:8" x14ac:dyDescent="0.2">
      <c r="H311" s="183"/>
    </row>
    <row r="312" spans="8:8" x14ac:dyDescent="0.2">
      <c r="H312" s="183"/>
    </row>
    <row r="313" spans="8:8" x14ac:dyDescent="0.2">
      <c r="H313" s="183"/>
    </row>
    <row r="314" spans="8:8" x14ac:dyDescent="0.2">
      <c r="H314" s="183"/>
    </row>
    <row r="315" spans="8:8" x14ac:dyDescent="0.2">
      <c r="H315" s="183"/>
    </row>
    <row r="316" spans="8:8" x14ac:dyDescent="0.2">
      <c r="H316" s="183"/>
    </row>
    <row r="317" spans="8:8" x14ac:dyDescent="0.2">
      <c r="H317" s="183"/>
    </row>
    <row r="318" spans="8:8" x14ac:dyDescent="0.2">
      <c r="H318" s="183"/>
    </row>
    <row r="319" spans="8:8" x14ac:dyDescent="0.2">
      <c r="H319" s="183"/>
    </row>
    <row r="320" spans="8:8" x14ac:dyDescent="0.2">
      <c r="H320" s="183"/>
    </row>
    <row r="321" spans="8:8" x14ac:dyDescent="0.2">
      <c r="H321" s="183"/>
    </row>
    <row r="322" spans="8:8" x14ac:dyDescent="0.2">
      <c r="H322" s="183"/>
    </row>
    <row r="323" spans="8:8" x14ac:dyDescent="0.2">
      <c r="H323" s="183"/>
    </row>
    <row r="324" spans="8:8" x14ac:dyDescent="0.2">
      <c r="H324" s="183"/>
    </row>
    <row r="325" spans="8:8" x14ac:dyDescent="0.2">
      <c r="H325" s="183"/>
    </row>
    <row r="326" spans="8:8" x14ac:dyDescent="0.2">
      <c r="H326" s="183"/>
    </row>
    <row r="327" spans="8:8" x14ac:dyDescent="0.2">
      <c r="H327" s="183"/>
    </row>
    <row r="328" spans="8:8" x14ac:dyDescent="0.2">
      <c r="H328" s="183"/>
    </row>
    <row r="329" spans="8:8" x14ac:dyDescent="0.2">
      <c r="H329" s="183"/>
    </row>
    <row r="330" spans="8:8" x14ac:dyDescent="0.2">
      <c r="H330" s="183"/>
    </row>
    <row r="331" spans="8:8" x14ac:dyDescent="0.2">
      <c r="H331" s="183"/>
    </row>
    <row r="332" spans="8:8" x14ac:dyDescent="0.2">
      <c r="H332" s="183"/>
    </row>
  </sheetData>
  <mergeCells count="1">
    <mergeCell ref="A1:J1"/>
  </mergeCells>
  <phoneticPr fontId="0" type="noConversion"/>
  <printOptions gridLines="1"/>
  <pageMargins left="0.75" right="0.16" top="0.51" bottom="0.22" header="0.5" footer="0"/>
  <pageSetup scale="86" fitToHeight="16" orientation="landscape" r:id="rId1"/>
  <headerFooter alignWithMargins="0"/>
  <rowBreaks count="3" manualBreakCount="3">
    <brk id="55" max="9" man="1"/>
    <brk id="145" max="9" man="1"/>
    <brk id="189" max="9"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K380"/>
  <sheetViews>
    <sheetView view="pageBreakPreview" zoomScaleNormal="100" zoomScaleSheetLayoutView="100" workbookViewId="0">
      <pane ySplit="5" topLeftCell="A85" activePane="bottomLeft" state="frozen"/>
      <selection activeCell="D43" sqref="D43"/>
      <selection pane="bottomLeft" activeCell="C231" sqref="C231"/>
    </sheetView>
  </sheetViews>
  <sheetFormatPr defaultColWidth="8.85546875" defaultRowHeight="12.75" x14ac:dyDescent="0.2"/>
  <cols>
    <col min="1" max="1" width="53" style="183" customWidth="1"/>
    <col min="2" max="2" width="9.140625" style="183" bestFit="1" customWidth="1"/>
    <col min="3" max="3" width="9.28515625" style="183" bestFit="1" customWidth="1"/>
    <col min="4" max="4" width="11" style="183" customWidth="1"/>
    <col min="5" max="6" width="10.85546875" style="183" customWidth="1"/>
    <col min="7" max="7" width="12.5703125" style="183" customWidth="1"/>
    <col min="8" max="8" width="12.140625" style="2" customWidth="1"/>
    <col min="9" max="10" width="10.42578125" style="183" bestFit="1" customWidth="1"/>
    <col min="11" max="16384" width="8.85546875" style="183"/>
  </cols>
  <sheetData>
    <row r="1" spans="1:11" x14ac:dyDescent="0.2">
      <c r="A1" s="254" t="e">
        <f>#REF!</f>
        <v>#REF!</v>
      </c>
      <c r="B1" s="255"/>
      <c r="C1" s="255"/>
      <c r="D1" s="255"/>
      <c r="E1" s="255"/>
      <c r="F1" s="255"/>
      <c r="G1" s="255"/>
      <c r="H1" s="255"/>
      <c r="I1" s="255"/>
      <c r="J1" s="255"/>
    </row>
    <row r="2" spans="1:11" ht="18.75" x14ac:dyDescent="0.3">
      <c r="A2" s="139" t="s">
        <v>1579</v>
      </c>
      <c r="B2" s="139"/>
      <c r="C2" s="139"/>
      <c r="D2" s="139"/>
      <c r="E2" s="139"/>
      <c r="F2" s="186"/>
      <c r="G2" s="186"/>
      <c r="H2" s="140"/>
      <c r="I2" s="186"/>
      <c r="J2" s="186"/>
    </row>
    <row r="3" spans="1:11" x14ac:dyDescent="0.2">
      <c r="A3" s="186"/>
      <c r="B3" s="140"/>
      <c r="C3" s="140"/>
      <c r="D3" s="140"/>
      <c r="E3" s="140"/>
      <c r="F3" s="186"/>
      <c r="G3" s="186"/>
      <c r="H3" s="140"/>
      <c r="I3" s="141"/>
      <c r="J3" s="186"/>
    </row>
    <row r="4" spans="1:11" x14ac:dyDescent="0.2">
      <c r="A4" s="212" t="s">
        <v>2009</v>
      </c>
      <c r="B4" s="140"/>
      <c r="C4" s="140"/>
      <c r="D4" s="186"/>
      <c r="E4" s="15" t="s">
        <v>204</v>
      </c>
      <c r="F4" s="15" t="s">
        <v>205</v>
      </c>
      <c r="G4" s="15" t="s">
        <v>61</v>
      </c>
      <c r="H4" s="15" t="s">
        <v>358</v>
      </c>
      <c r="I4" s="15" t="s">
        <v>270</v>
      </c>
      <c r="J4" s="15" t="s">
        <v>301</v>
      </c>
    </row>
    <row r="5" spans="1:11" ht="15" x14ac:dyDescent="0.35">
      <c r="A5" s="186"/>
      <c r="B5" s="140"/>
      <c r="C5" s="140"/>
      <c r="D5" s="186"/>
      <c r="E5" s="196" t="s">
        <v>1757</v>
      </c>
      <c r="F5" s="196" t="s">
        <v>1838</v>
      </c>
      <c r="G5" s="196" t="s">
        <v>1977</v>
      </c>
      <c r="H5" s="196" t="s">
        <v>1977</v>
      </c>
      <c r="I5" s="196" t="s">
        <v>1977</v>
      </c>
      <c r="J5" s="196" t="s">
        <v>1977</v>
      </c>
    </row>
    <row r="6" spans="1:11" ht="15" x14ac:dyDescent="0.25">
      <c r="A6" s="142" t="s">
        <v>360</v>
      </c>
      <c r="B6" s="143"/>
      <c r="C6" s="144"/>
      <c r="D6" s="144"/>
      <c r="E6" s="144">
        <v>306434</v>
      </c>
      <c r="F6" s="140">
        <v>312962</v>
      </c>
      <c r="G6" s="140">
        <v>320640</v>
      </c>
      <c r="H6" s="140">
        <v>320640</v>
      </c>
      <c r="I6" s="140">
        <v>320640</v>
      </c>
      <c r="J6" s="140">
        <v>320640</v>
      </c>
      <c r="K6" s="2"/>
    </row>
    <row r="7" spans="1:11" x14ac:dyDescent="0.2">
      <c r="A7" s="145" t="s">
        <v>1846</v>
      </c>
      <c r="B7" s="140">
        <v>52</v>
      </c>
      <c r="C7" s="144">
        <v>1596</v>
      </c>
      <c r="D7" s="144">
        <f t="shared" ref="D7:D12" si="0">B7*C7</f>
        <v>82992</v>
      </c>
      <c r="E7" s="208"/>
      <c r="F7" s="144"/>
      <c r="G7" s="144"/>
      <c r="H7" s="144"/>
      <c r="I7" s="144"/>
      <c r="J7" s="144"/>
      <c r="K7" s="2"/>
    </row>
    <row r="8" spans="1:11" x14ac:dyDescent="0.2">
      <c r="A8" s="145" t="s">
        <v>1847</v>
      </c>
      <c r="B8" s="140">
        <v>52</v>
      </c>
      <c r="C8" s="144">
        <v>909</v>
      </c>
      <c r="D8" s="144">
        <f t="shared" si="0"/>
        <v>47268</v>
      </c>
      <c r="E8" s="208"/>
      <c r="F8" s="144"/>
      <c r="G8" s="144"/>
      <c r="H8" s="144"/>
      <c r="I8" s="144"/>
      <c r="J8" s="144"/>
      <c r="K8" s="2"/>
    </row>
    <row r="9" spans="1:11" x14ac:dyDescent="0.2">
      <c r="A9" s="145" t="s">
        <v>1848</v>
      </c>
      <c r="B9" s="140">
        <v>52</v>
      </c>
      <c r="C9" s="144">
        <v>892</v>
      </c>
      <c r="D9" s="144">
        <f t="shared" si="0"/>
        <v>46384</v>
      </c>
      <c r="E9" s="208"/>
      <c r="F9" s="197"/>
      <c r="G9" s="197"/>
      <c r="H9" s="202"/>
      <c r="I9" s="202"/>
      <c r="J9" s="202"/>
      <c r="K9" s="2"/>
    </row>
    <row r="10" spans="1:11" x14ac:dyDescent="0.2">
      <c r="A10" s="147" t="s">
        <v>1829</v>
      </c>
      <c r="B10" s="140">
        <v>52</v>
      </c>
      <c r="C10" s="144">
        <v>875</v>
      </c>
      <c r="D10" s="144">
        <f t="shared" si="0"/>
        <v>45500</v>
      </c>
      <c r="E10" s="208"/>
      <c r="F10" s="197"/>
      <c r="G10" s="197"/>
      <c r="H10" s="202"/>
      <c r="I10" s="202"/>
      <c r="J10" s="202"/>
      <c r="K10" s="2"/>
    </row>
    <row r="11" spans="1:11" x14ac:dyDescent="0.2">
      <c r="A11" s="145" t="s">
        <v>1849</v>
      </c>
      <c r="B11" s="140">
        <v>52</v>
      </c>
      <c r="C11" s="144">
        <v>944</v>
      </c>
      <c r="D11" s="144">
        <f t="shared" si="0"/>
        <v>49088</v>
      </c>
      <c r="E11" s="208"/>
      <c r="F11" s="197"/>
      <c r="G11" s="197"/>
      <c r="H11" s="202"/>
      <c r="I11" s="202"/>
      <c r="J11" s="202"/>
      <c r="K11" s="2"/>
    </row>
    <row r="12" spans="1:11" x14ac:dyDescent="0.2">
      <c r="A12" s="145" t="s">
        <v>2118</v>
      </c>
      <c r="B12" s="140">
        <v>52</v>
      </c>
      <c r="C12" s="144">
        <v>825</v>
      </c>
      <c r="D12" s="144">
        <f t="shared" si="0"/>
        <v>42900</v>
      </c>
      <c r="E12" s="208"/>
      <c r="F12" s="197"/>
      <c r="G12" s="197"/>
      <c r="H12" s="202"/>
      <c r="I12" s="202"/>
      <c r="J12" s="202"/>
      <c r="K12" s="2"/>
    </row>
    <row r="13" spans="1:11" s="203" customFormat="1" x14ac:dyDescent="0.2">
      <c r="A13" s="145" t="s">
        <v>2006</v>
      </c>
      <c r="B13" s="140"/>
      <c r="C13" s="144"/>
      <c r="D13" s="144">
        <v>5000</v>
      </c>
      <c r="E13" s="236"/>
      <c r="F13" s="202"/>
      <c r="G13" s="202"/>
      <c r="H13" s="202"/>
      <c r="I13" s="202"/>
      <c r="J13" s="202"/>
      <c r="K13" s="2"/>
    </row>
    <row r="14" spans="1:11" ht="15" x14ac:dyDescent="0.35">
      <c r="A14" s="145" t="s">
        <v>824</v>
      </c>
      <c r="B14" s="144"/>
      <c r="C14" s="144"/>
      <c r="D14" s="148">
        <v>1508</v>
      </c>
      <c r="E14" s="144"/>
      <c r="F14" s="144"/>
      <c r="G14" s="144"/>
      <c r="H14" s="144"/>
      <c r="I14" s="144"/>
      <c r="J14" s="144"/>
      <c r="K14" s="2"/>
    </row>
    <row r="15" spans="1:11" x14ac:dyDescent="0.2">
      <c r="A15" s="145" t="s">
        <v>1073</v>
      </c>
      <c r="B15" s="144"/>
      <c r="C15" s="140"/>
      <c r="D15" s="144">
        <f>SUM(D7:D14)</f>
        <v>320640</v>
      </c>
      <c r="E15" s="144"/>
      <c r="F15" s="144"/>
      <c r="G15" s="144"/>
      <c r="H15" s="144"/>
      <c r="I15" s="144"/>
      <c r="J15" s="144"/>
      <c r="K15" s="2"/>
    </row>
    <row r="16" spans="1:11" x14ac:dyDescent="0.2">
      <c r="A16" s="145"/>
      <c r="B16" s="144"/>
      <c r="C16" s="144"/>
      <c r="D16" s="144"/>
      <c r="E16" s="144"/>
      <c r="F16" s="145"/>
      <c r="G16" s="145"/>
      <c r="H16" s="145"/>
      <c r="I16" s="145"/>
      <c r="J16" s="145"/>
      <c r="K16" s="2"/>
    </row>
    <row r="17" spans="1:11" ht="13.5" x14ac:dyDescent="0.25">
      <c r="A17" s="142" t="s">
        <v>880</v>
      </c>
      <c r="B17" s="144"/>
      <c r="C17" s="144"/>
      <c r="D17" s="144"/>
      <c r="E17" s="144">
        <v>215544</v>
      </c>
      <c r="F17" s="144">
        <v>249158.32</v>
      </c>
      <c r="G17" s="144">
        <v>250994</v>
      </c>
      <c r="H17" s="144">
        <v>250994</v>
      </c>
      <c r="I17" s="144">
        <v>250994</v>
      </c>
      <c r="J17" s="144">
        <v>250994</v>
      </c>
      <c r="K17" s="2"/>
    </row>
    <row r="18" spans="1:11" x14ac:dyDescent="0.2">
      <c r="A18" s="145" t="s">
        <v>881</v>
      </c>
      <c r="B18" s="144" t="s">
        <v>345</v>
      </c>
      <c r="C18" s="144" t="s">
        <v>345</v>
      </c>
      <c r="D18" s="144"/>
      <c r="E18" s="208"/>
      <c r="F18" s="144"/>
      <c r="G18" s="144"/>
      <c r="H18" s="144"/>
      <c r="I18" s="144"/>
      <c r="J18" s="144"/>
      <c r="K18" s="2"/>
    </row>
    <row r="19" spans="1:11" x14ac:dyDescent="0.2">
      <c r="A19" s="202" t="s">
        <v>1968</v>
      </c>
      <c r="B19" s="140">
        <v>52</v>
      </c>
      <c r="C19" s="140">
        <v>681</v>
      </c>
      <c r="D19" s="182">
        <f>B19*C19</f>
        <v>35412</v>
      </c>
      <c r="E19" s="236"/>
      <c r="F19" s="144"/>
      <c r="G19" s="144"/>
      <c r="H19" s="144"/>
      <c r="I19" s="144"/>
      <c r="J19" s="144"/>
      <c r="K19" s="2"/>
    </row>
    <row r="20" spans="1:11" x14ac:dyDescent="0.2">
      <c r="A20" s="202" t="s">
        <v>1850</v>
      </c>
      <c r="B20" s="140">
        <v>52</v>
      </c>
      <c r="C20" s="140">
        <v>661</v>
      </c>
      <c r="D20" s="182">
        <f>B20*C20</f>
        <v>34372</v>
      </c>
      <c r="E20" s="236"/>
      <c r="F20" s="144"/>
      <c r="G20" s="144"/>
      <c r="H20" s="144"/>
      <c r="I20" s="144"/>
      <c r="J20" s="144"/>
      <c r="K20" s="2"/>
    </row>
    <row r="21" spans="1:11" x14ac:dyDescent="0.2">
      <c r="A21" s="202" t="s">
        <v>1830</v>
      </c>
      <c r="B21" s="140">
        <v>52</v>
      </c>
      <c r="C21" s="140">
        <v>681</v>
      </c>
      <c r="D21" s="182">
        <f>B21*C21</f>
        <v>35412</v>
      </c>
      <c r="E21" s="236"/>
      <c r="F21" s="144"/>
      <c r="G21" s="144"/>
      <c r="H21" s="144"/>
      <c r="I21" s="144"/>
      <c r="J21" s="144"/>
      <c r="K21" s="2"/>
    </row>
    <row r="22" spans="1:11" x14ac:dyDescent="0.2">
      <c r="A22" s="202" t="s">
        <v>824</v>
      </c>
      <c r="B22" s="202"/>
      <c r="C22" s="202"/>
      <c r="D22" s="182">
        <v>500</v>
      </c>
      <c r="E22" s="236"/>
      <c r="F22" s="144"/>
      <c r="G22" s="144"/>
      <c r="H22" s="144"/>
      <c r="I22" s="144"/>
      <c r="J22" s="144"/>
      <c r="K22" s="2"/>
    </row>
    <row r="23" spans="1:11" x14ac:dyDescent="0.2">
      <c r="A23" s="202" t="s">
        <v>1219</v>
      </c>
      <c r="B23" s="202" t="s">
        <v>345</v>
      </c>
      <c r="C23" s="144"/>
      <c r="D23" s="208"/>
      <c r="E23" s="236"/>
      <c r="F23" s="144"/>
      <c r="G23" s="144"/>
      <c r="H23" s="144"/>
      <c r="I23" s="144"/>
      <c r="J23" s="144"/>
      <c r="K23" s="2"/>
    </row>
    <row r="24" spans="1:11" x14ac:dyDescent="0.2">
      <c r="A24" s="202" t="s">
        <v>1851</v>
      </c>
      <c r="B24" s="202">
        <v>1040</v>
      </c>
      <c r="C24" s="210">
        <f>12*1.06</f>
        <v>12.72</v>
      </c>
      <c r="D24" s="209">
        <f t="shared" ref="D24:D39" si="1">B24*C24</f>
        <v>13228.800000000001</v>
      </c>
      <c r="E24" s="236"/>
      <c r="F24" s="149"/>
      <c r="G24" s="149"/>
      <c r="H24" s="149"/>
      <c r="I24" s="149"/>
      <c r="J24" s="149"/>
      <c r="K24" s="2"/>
    </row>
    <row r="25" spans="1:11" x14ac:dyDescent="0.2">
      <c r="A25" s="202" t="s">
        <v>1852</v>
      </c>
      <c r="B25" s="202">
        <v>1040</v>
      </c>
      <c r="C25" s="210">
        <f t="shared" ref="C25:C28" si="2">12*1.06</f>
        <v>12.72</v>
      </c>
      <c r="D25" s="209">
        <f t="shared" si="1"/>
        <v>13228.800000000001</v>
      </c>
      <c r="E25" s="236"/>
      <c r="F25" s="149"/>
      <c r="G25" s="149"/>
      <c r="H25" s="149"/>
      <c r="I25" s="149"/>
      <c r="J25" s="149"/>
      <c r="K25" s="2"/>
    </row>
    <row r="26" spans="1:11" x14ac:dyDescent="0.2">
      <c r="A26" s="202" t="s">
        <v>1495</v>
      </c>
      <c r="B26" s="202">
        <v>200</v>
      </c>
      <c r="C26" s="210">
        <f>12*1</f>
        <v>12</v>
      </c>
      <c r="D26" s="209">
        <f t="shared" si="1"/>
        <v>2400</v>
      </c>
      <c r="E26" s="236"/>
      <c r="F26" s="149"/>
      <c r="G26" s="149"/>
      <c r="H26" s="149"/>
      <c r="I26" s="149"/>
      <c r="J26" s="149"/>
      <c r="K26" s="2"/>
    </row>
    <row r="27" spans="1:11" x14ac:dyDescent="0.2">
      <c r="A27" s="202" t="s">
        <v>1969</v>
      </c>
      <c r="B27" s="202">
        <v>1040</v>
      </c>
      <c r="C27" s="210">
        <f t="shared" si="2"/>
        <v>12.72</v>
      </c>
      <c r="D27" s="209">
        <f t="shared" si="1"/>
        <v>13228.800000000001</v>
      </c>
      <c r="E27" s="236"/>
      <c r="F27" s="149"/>
      <c r="G27" s="149"/>
      <c r="H27" s="149"/>
      <c r="I27" s="149"/>
      <c r="J27" s="149"/>
      <c r="K27" s="2"/>
    </row>
    <row r="28" spans="1:11" x14ac:dyDescent="0.2">
      <c r="A28" s="202" t="s">
        <v>1970</v>
      </c>
      <c r="B28" s="202">
        <v>1040</v>
      </c>
      <c r="C28" s="210">
        <f t="shared" si="2"/>
        <v>12.72</v>
      </c>
      <c r="D28" s="209">
        <f t="shared" si="1"/>
        <v>13228.800000000001</v>
      </c>
      <c r="E28" s="236"/>
      <c r="F28" s="149"/>
      <c r="G28" s="149"/>
      <c r="H28" s="149"/>
      <c r="I28" s="149"/>
      <c r="J28" s="149"/>
      <c r="K28" s="2"/>
    </row>
    <row r="29" spans="1:11" x14ac:dyDescent="0.2">
      <c r="A29" s="202" t="s">
        <v>1969</v>
      </c>
      <c r="B29" s="202">
        <v>636</v>
      </c>
      <c r="C29" s="210">
        <f>12</f>
        <v>12</v>
      </c>
      <c r="D29" s="209">
        <f t="shared" si="1"/>
        <v>7632</v>
      </c>
      <c r="E29" s="236"/>
      <c r="F29" s="149"/>
      <c r="G29" s="149"/>
      <c r="H29" s="149"/>
      <c r="I29" s="149"/>
      <c r="J29" s="149"/>
      <c r="K29" s="2"/>
    </row>
    <row r="30" spans="1:11" x14ac:dyDescent="0.2">
      <c r="A30" s="202" t="s">
        <v>1969</v>
      </c>
      <c r="B30" s="202">
        <v>728</v>
      </c>
      <c r="C30" s="210">
        <f>12.62*1.06</f>
        <v>13.3772</v>
      </c>
      <c r="D30" s="209">
        <f t="shared" si="1"/>
        <v>9738.6016</v>
      </c>
      <c r="E30" s="236"/>
      <c r="F30" s="149"/>
      <c r="G30" s="149"/>
      <c r="H30" s="149"/>
      <c r="I30" s="149"/>
      <c r="J30" s="149"/>
      <c r="K30" s="2"/>
    </row>
    <row r="31" spans="1:11" x14ac:dyDescent="0.2">
      <c r="A31" s="202" t="s">
        <v>1970</v>
      </c>
      <c r="B31" s="202">
        <v>728</v>
      </c>
      <c r="C31" s="210">
        <f>14.16*1.06</f>
        <v>15.009600000000001</v>
      </c>
      <c r="D31" s="209">
        <f t="shared" si="1"/>
        <v>10926.988800000001</v>
      </c>
      <c r="E31" s="236"/>
      <c r="F31" s="149"/>
      <c r="G31" s="149"/>
      <c r="H31" s="149"/>
      <c r="I31" s="149"/>
      <c r="J31" s="149"/>
      <c r="K31" s="2"/>
    </row>
    <row r="32" spans="1:11" x14ac:dyDescent="0.2">
      <c r="A32" s="202" t="s">
        <v>1853</v>
      </c>
      <c r="B32" s="202">
        <v>0</v>
      </c>
      <c r="C32" s="210">
        <v>9.81</v>
      </c>
      <c r="D32" s="209">
        <f t="shared" si="1"/>
        <v>0</v>
      </c>
      <c r="E32" s="236"/>
      <c r="F32" s="149"/>
      <c r="G32" s="149"/>
      <c r="H32" s="149"/>
      <c r="I32" s="149"/>
      <c r="J32" s="149"/>
      <c r="K32" s="2"/>
    </row>
    <row r="33" spans="1:11" x14ac:dyDescent="0.2">
      <c r="A33" s="145" t="s">
        <v>1854</v>
      </c>
      <c r="B33" s="144">
        <v>636</v>
      </c>
      <c r="C33" s="210">
        <f>12*1.06</f>
        <v>12.72</v>
      </c>
      <c r="D33" s="209">
        <f t="shared" si="1"/>
        <v>8089.92</v>
      </c>
      <c r="E33" s="236"/>
      <c r="F33" s="149"/>
      <c r="G33" s="149"/>
      <c r="H33" s="149"/>
      <c r="I33" s="149"/>
      <c r="J33" s="149"/>
      <c r="K33" s="2"/>
    </row>
    <row r="34" spans="1:11" x14ac:dyDescent="0.2">
      <c r="A34" s="145" t="s">
        <v>1969</v>
      </c>
      <c r="B34" s="144">
        <v>0</v>
      </c>
      <c r="C34" s="210">
        <v>12</v>
      </c>
      <c r="D34" s="209">
        <f t="shared" si="1"/>
        <v>0</v>
      </c>
      <c r="E34" s="236"/>
      <c r="F34" s="149"/>
      <c r="G34" s="149"/>
      <c r="H34" s="149"/>
      <c r="I34" s="149"/>
      <c r="J34" s="149"/>
      <c r="K34" s="2"/>
    </row>
    <row r="35" spans="1:11" x14ac:dyDescent="0.2">
      <c r="A35" s="202" t="s">
        <v>2007</v>
      </c>
      <c r="B35" s="202">
        <v>0</v>
      </c>
      <c r="C35" s="210">
        <v>12</v>
      </c>
      <c r="D35" s="209">
        <f t="shared" si="1"/>
        <v>0</v>
      </c>
      <c r="E35" s="236"/>
      <c r="F35" s="149"/>
      <c r="G35" s="149"/>
      <c r="H35" s="149"/>
      <c r="I35" s="149"/>
      <c r="J35" s="149"/>
      <c r="K35" s="2"/>
    </row>
    <row r="36" spans="1:11" x14ac:dyDescent="0.2">
      <c r="A36" s="145" t="s">
        <v>1831</v>
      </c>
      <c r="B36" s="144">
        <v>1040</v>
      </c>
      <c r="C36" s="210">
        <f>15.6</f>
        <v>15.6</v>
      </c>
      <c r="D36" s="209">
        <f t="shared" si="1"/>
        <v>16224</v>
      </c>
      <c r="E36" s="236"/>
      <c r="F36" s="149"/>
      <c r="G36" s="149"/>
      <c r="H36" s="149"/>
      <c r="I36" s="149"/>
      <c r="J36" s="149"/>
      <c r="K36" s="2"/>
    </row>
    <row r="37" spans="1:11" x14ac:dyDescent="0.2">
      <c r="A37" s="145" t="s">
        <v>1855</v>
      </c>
      <c r="B37" s="144">
        <v>1040</v>
      </c>
      <c r="C37" s="210">
        <f>15.6*1.06</f>
        <v>16.536000000000001</v>
      </c>
      <c r="D37" s="209">
        <f t="shared" si="1"/>
        <v>17197.440000000002</v>
      </c>
      <c r="E37" s="236"/>
      <c r="F37" s="149"/>
      <c r="G37" s="149"/>
      <c r="H37" s="149"/>
      <c r="I37" s="149"/>
      <c r="J37" s="149"/>
      <c r="K37" s="2"/>
    </row>
    <row r="38" spans="1:11" x14ac:dyDescent="0.2">
      <c r="A38" s="145" t="s">
        <v>2008</v>
      </c>
      <c r="B38" s="144">
        <v>1040</v>
      </c>
      <c r="C38" s="210">
        <v>15.6</v>
      </c>
      <c r="D38" s="209">
        <f t="shared" si="1"/>
        <v>16224</v>
      </c>
      <c r="E38" s="236"/>
      <c r="F38" s="149"/>
      <c r="G38" s="149"/>
      <c r="H38" s="149"/>
      <c r="I38" s="149"/>
      <c r="J38" s="149"/>
      <c r="K38" s="2"/>
    </row>
    <row r="39" spans="1:11" x14ac:dyDescent="0.2">
      <c r="A39" s="145" t="s">
        <v>506</v>
      </c>
      <c r="B39" s="144">
        <v>300</v>
      </c>
      <c r="C39" s="210">
        <f>SUM(C27:C31)/5</f>
        <v>13.165360000000002</v>
      </c>
      <c r="D39" s="209">
        <f t="shared" si="1"/>
        <v>3949.6080000000006</v>
      </c>
      <c r="E39" s="236"/>
      <c r="F39" s="149"/>
      <c r="G39" s="149"/>
      <c r="H39" s="149"/>
      <c r="I39" s="149"/>
      <c r="J39" s="149"/>
      <c r="K39" s="2"/>
    </row>
    <row r="40" spans="1:11" s="203" customFormat="1" ht="15" x14ac:dyDescent="0.35">
      <c r="A40" s="145" t="s">
        <v>1532</v>
      </c>
      <c r="B40" s="202"/>
      <c r="C40" s="210">
        <v>0</v>
      </c>
      <c r="D40" s="211">
        <v>0</v>
      </c>
      <c r="E40" s="236"/>
      <c r="F40" s="149"/>
      <c r="G40" s="149"/>
      <c r="H40" s="149"/>
      <c r="I40" s="149"/>
      <c r="J40" s="149"/>
      <c r="K40" s="2"/>
    </row>
    <row r="41" spans="1:11" x14ac:dyDescent="0.2">
      <c r="A41" s="145" t="s">
        <v>1073</v>
      </c>
      <c r="B41" s="144"/>
      <c r="C41" s="144"/>
      <c r="D41" s="144">
        <f>SUM(D19:D40)</f>
        <v>250993.75839999999</v>
      </c>
      <c r="E41" s="144"/>
      <c r="F41" s="144"/>
      <c r="G41" s="144"/>
      <c r="H41" s="144"/>
      <c r="I41" s="144"/>
      <c r="J41" s="144"/>
      <c r="K41" s="2"/>
    </row>
    <row r="42" spans="1:11" x14ac:dyDescent="0.2">
      <c r="A42" s="145"/>
      <c r="B42" s="144" t="s">
        <v>345</v>
      </c>
      <c r="C42" s="144"/>
      <c r="D42" s="144"/>
      <c r="E42" s="144"/>
      <c r="F42" s="145"/>
      <c r="G42" s="145"/>
      <c r="H42" s="145"/>
      <c r="I42" s="145"/>
      <c r="J42" s="145"/>
      <c r="K42" s="2"/>
    </row>
    <row r="43" spans="1:11" ht="13.5" x14ac:dyDescent="0.25">
      <c r="A43" s="142" t="s">
        <v>507</v>
      </c>
      <c r="B43" s="145"/>
      <c r="C43" s="145"/>
      <c r="D43" s="144"/>
      <c r="E43" s="144">
        <v>40812</v>
      </c>
      <c r="F43" s="144">
        <v>41552</v>
      </c>
      <c r="G43" s="144">
        <v>43212</v>
      </c>
      <c r="H43" s="144">
        <v>43212</v>
      </c>
      <c r="I43" s="144">
        <v>43212</v>
      </c>
      <c r="J43" s="144">
        <v>43212</v>
      </c>
      <c r="K43" s="2"/>
    </row>
    <row r="44" spans="1:11" ht="15" x14ac:dyDescent="0.35">
      <c r="A44" s="145" t="s">
        <v>1745</v>
      </c>
      <c r="B44" s="140">
        <v>52</v>
      </c>
      <c r="C44" s="144">
        <v>831</v>
      </c>
      <c r="D44" s="148">
        <f>+C44*B44</f>
        <v>43212</v>
      </c>
      <c r="E44" s="144"/>
      <c r="F44" s="144"/>
      <c r="G44" s="144"/>
      <c r="H44" s="144"/>
      <c r="I44" s="144"/>
      <c r="J44" s="144"/>
      <c r="K44" s="2"/>
    </row>
    <row r="45" spans="1:11" x14ac:dyDescent="0.2">
      <c r="A45" s="145" t="s">
        <v>1073</v>
      </c>
      <c r="B45" s="144"/>
      <c r="C45" s="144"/>
      <c r="D45" s="144">
        <f>SUM(D44:D44)</f>
        <v>43212</v>
      </c>
      <c r="E45" s="144"/>
      <c r="F45" s="144"/>
      <c r="G45" s="144"/>
      <c r="H45" s="144"/>
      <c r="I45" s="144"/>
      <c r="J45" s="144"/>
      <c r="K45" s="2"/>
    </row>
    <row r="46" spans="1:11" x14ac:dyDescent="0.2">
      <c r="A46" s="145"/>
      <c r="B46" s="144"/>
      <c r="C46" s="150"/>
      <c r="D46" s="144"/>
      <c r="E46" s="144"/>
      <c r="F46" s="144"/>
      <c r="G46" s="144"/>
      <c r="H46" s="144"/>
      <c r="I46" s="144"/>
      <c r="J46" s="144"/>
      <c r="K46" s="2"/>
    </row>
    <row r="47" spans="1:11" ht="13.5" x14ac:dyDescent="0.25">
      <c r="A47" s="151" t="s">
        <v>2114</v>
      </c>
      <c r="B47" s="202"/>
      <c r="C47" s="202"/>
      <c r="D47" s="140"/>
      <c r="E47" s="140">
        <v>0</v>
      </c>
      <c r="F47" s="140">
        <v>100</v>
      </c>
      <c r="G47" s="140">
        <v>100</v>
      </c>
      <c r="H47" s="140">
        <v>100</v>
      </c>
      <c r="I47" s="140">
        <v>100</v>
      </c>
      <c r="J47" s="140">
        <v>100</v>
      </c>
      <c r="K47" s="2"/>
    </row>
    <row r="48" spans="1:11" x14ac:dyDescent="0.2">
      <c r="A48" s="145" t="s">
        <v>274</v>
      </c>
      <c r="B48" s="144"/>
      <c r="C48" s="150"/>
      <c r="D48" s="144">
        <v>100</v>
      </c>
      <c r="E48" s="144"/>
      <c r="F48" s="144"/>
      <c r="G48" s="144"/>
      <c r="H48" s="144"/>
      <c r="I48" s="144"/>
      <c r="J48" s="144"/>
      <c r="K48" s="2"/>
    </row>
    <row r="49" spans="1:11" x14ac:dyDescent="0.2">
      <c r="A49" s="145"/>
      <c r="B49" s="144"/>
      <c r="C49" s="150"/>
      <c r="D49" s="144"/>
      <c r="E49" s="144"/>
      <c r="F49" s="144"/>
      <c r="G49" s="144"/>
      <c r="H49" s="144"/>
      <c r="I49" s="144"/>
      <c r="J49" s="144"/>
      <c r="K49" s="2"/>
    </row>
    <row r="50" spans="1:11" ht="13.5" x14ac:dyDescent="0.25">
      <c r="A50" s="142" t="s">
        <v>1119</v>
      </c>
      <c r="B50" s="145"/>
      <c r="C50" s="145"/>
      <c r="D50" s="144"/>
      <c r="E50" s="144">
        <v>43535</v>
      </c>
      <c r="F50" s="144">
        <v>46182</v>
      </c>
      <c r="G50" s="144">
        <v>47036</v>
      </c>
      <c r="H50" s="144">
        <v>47036</v>
      </c>
      <c r="I50" s="144">
        <v>47036</v>
      </c>
      <c r="J50" s="144">
        <v>47036</v>
      </c>
      <c r="K50" s="2"/>
    </row>
    <row r="51" spans="1:11" hidden="1" x14ac:dyDescent="0.2">
      <c r="A51" s="152">
        <v>8103</v>
      </c>
      <c r="B51" s="144">
        <f>+D15</f>
        <v>320640</v>
      </c>
      <c r="C51" s="145">
        <v>7.6499999999999999E-2</v>
      </c>
      <c r="D51" s="2">
        <f>ROUND(B51*C51,0)</f>
        <v>24529</v>
      </c>
      <c r="E51" s="144"/>
      <c r="F51" s="144"/>
      <c r="G51" s="144"/>
      <c r="H51" s="144"/>
      <c r="I51" s="144"/>
      <c r="J51" s="144"/>
      <c r="K51" s="2"/>
    </row>
    <row r="52" spans="1:11" hidden="1" x14ac:dyDescent="0.2">
      <c r="A52" s="153" t="s">
        <v>688</v>
      </c>
      <c r="B52" s="144">
        <f>+D41</f>
        <v>250993.75839999999</v>
      </c>
      <c r="C52" s="145">
        <v>7.6499999999999999E-2</v>
      </c>
      <c r="D52" s="2">
        <f>ROUND(B52*C52,0)</f>
        <v>19201</v>
      </c>
      <c r="E52" s="144"/>
      <c r="F52" s="144"/>
      <c r="G52" s="144"/>
      <c r="H52" s="144"/>
      <c r="I52" s="144"/>
      <c r="J52" s="144"/>
      <c r="K52" s="2"/>
    </row>
    <row r="53" spans="1:11" ht="15" hidden="1" x14ac:dyDescent="0.35">
      <c r="A53" s="153" t="s">
        <v>155</v>
      </c>
      <c r="B53" s="144">
        <f>+D45</f>
        <v>43212</v>
      </c>
      <c r="C53" s="145">
        <v>7.6499999999999999E-2</v>
      </c>
      <c r="D53" s="10">
        <f>ROUND(B53*C53,0)</f>
        <v>3306</v>
      </c>
      <c r="E53" s="144"/>
      <c r="F53" s="144"/>
      <c r="G53" s="144"/>
      <c r="H53" s="144"/>
      <c r="I53" s="144"/>
      <c r="J53" s="144"/>
      <c r="K53" s="2"/>
    </row>
    <row r="54" spans="1:11" hidden="1" x14ac:dyDescent="0.2">
      <c r="A54" s="145" t="s">
        <v>1073</v>
      </c>
      <c r="B54" s="145"/>
      <c r="C54" s="145"/>
      <c r="D54" s="144">
        <f>SUM(D51:D53)</f>
        <v>47036</v>
      </c>
      <c r="E54" s="144"/>
      <c r="F54" s="144"/>
      <c r="G54" s="144"/>
      <c r="H54" s="144"/>
      <c r="I54" s="144"/>
      <c r="J54" s="144"/>
      <c r="K54" s="2"/>
    </row>
    <row r="55" spans="1:11" x14ac:dyDescent="0.2">
      <c r="A55" s="145"/>
      <c r="B55" s="145"/>
      <c r="C55" s="145"/>
      <c r="D55" s="144"/>
      <c r="E55" s="144"/>
      <c r="F55" s="144"/>
      <c r="G55" s="144"/>
      <c r="H55" s="144"/>
      <c r="I55" s="144"/>
      <c r="J55" s="144"/>
      <c r="K55" s="2"/>
    </row>
    <row r="56" spans="1:11" ht="13.5" x14ac:dyDescent="0.25">
      <c r="A56" s="142" t="s">
        <v>1120</v>
      </c>
      <c r="B56" s="145"/>
      <c r="C56" s="145"/>
      <c r="D56" s="144"/>
      <c r="E56" s="144">
        <v>49954</v>
      </c>
      <c r="F56" s="144">
        <v>64133.002800000002</v>
      </c>
      <c r="G56" s="144">
        <v>65948</v>
      </c>
      <c r="H56" s="144">
        <v>65948</v>
      </c>
      <c r="I56" s="144">
        <v>65948</v>
      </c>
      <c r="J56" s="144">
        <v>65948</v>
      </c>
      <c r="K56" s="2"/>
    </row>
    <row r="57" spans="1:11" hidden="1" x14ac:dyDescent="0.2">
      <c r="A57" s="152">
        <v>8103</v>
      </c>
      <c r="B57" s="144">
        <f>+B51</f>
        <v>320640</v>
      </c>
      <c r="C57" s="190">
        <v>0.1406</v>
      </c>
      <c r="D57" s="144">
        <f>+C57*B57</f>
        <v>45081.984000000004</v>
      </c>
      <c r="E57" s="144"/>
      <c r="F57" s="144"/>
      <c r="G57" s="144"/>
      <c r="H57" s="144"/>
      <c r="I57" s="144"/>
      <c r="J57" s="144"/>
      <c r="K57" s="2"/>
    </row>
    <row r="58" spans="1:11" hidden="1" x14ac:dyDescent="0.2">
      <c r="A58" s="145" t="s">
        <v>249</v>
      </c>
      <c r="B58" s="144">
        <f>D19+D20+D21</f>
        <v>105196</v>
      </c>
      <c r="C58" s="190">
        <v>0.1406</v>
      </c>
      <c r="D58" s="144">
        <f>+C58*B58</f>
        <v>14790.5576</v>
      </c>
      <c r="E58" s="144"/>
      <c r="F58" s="144"/>
      <c r="G58" s="144"/>
      <c r="H58" s="144"/>
      <c r="I58" s="144"/>
      <c r="J58" s="144"/>
      <c r="K58" s="2"/>
    </row>
    <row r="59" spans="1:11" ht="15" hidden="1" x14ac:dyDescent="0.35">
      <c r="A59" s="145" t="s">
        <v>250</v>
      </c>
      <c r="B59" s="144">
        <f>+D45</f>
        <v>43212</v>
      </c>
      <c r="C59" s="190">
        <v>0.1406</v>
      </c>
      <c r="D59" s="148">
        <f>+C59*B59</f>
        <v>6075.6072000000004</v>
      </c>
      <c r="E59" s="144"/>
      <c r="F59" s="144"/>
      <c r="G59" s="144"/>
      <c r="H59" s="144"/>
      <c r="I59" s="144"/>
      <c r="J59" s="144"/>
      <c r="K59" s="2"/>
    </row>
    <row r="60" spans="1:11" hidden="1" x14ac:dyDescent="0.2">
      <c r="A60" s="145" t="s">
        <v>1073</v>
      </c>
      <c r="B60" s="145"/>
      <c r="C60" s="145"/>
      <c r="D60" s="144">
        <f>SUM(D57:D59)</f>
        <v>65948.14880000001</v>
      </c>
      <c r="E60" s="144"/>
      <c r="F60" s="144"/>
      <c r="G60" s="144"/>
      <c r="H60" s="144"/>
      <c r="I60" s="144"/>
      <c r="J60" s="144"/>
      <c r="K60" s="2"/>
    </row>
    <row r="61" spans="1:11" x14ac:dyDescent="0.2">
      <c r="A61" s="145"/>
      <c r="B61" s="145"/>
      <c r="C61" s="145"/>
      <c r="D61" s="144"/>
      <c r="E61" s="144"/>
      <c r="F61" s="144"/>
      <c r="G61" s="144"/>
      <c r="H61" s="144"/>
      <c r="I61" s="144"/>
      <c r="J61" s="144"/>
      <c r="K61" s="2"/>
    </row>
    <row r="62" spans="1:11" ht="13.5" x14ac:dyDescent="0.25">
      <c r="A62" s="142" t="s">
        <v>938</v>
      </c>
      <c r="B62" s="145"/>
      <c r="C62" s="145"/>
      <c r="D62" s="144"/>
      <c r="E62" s="144">
        <v>120337</v>
      </c>
      <c r="F62" s="144">
        <v>126500</v>
      </c>
      <c r="G62" s="144">
        <v>125000</v>
      </c>
      <c r="H62" s="144">
        <v>125000</v>
      </c>
      <c r="I62" s="144">
        <v>125000</v>
      </c>
      <c r="J62" s="144">
        <v>125000</v>
      </c>
      <c r="K62" s="2"/>
    </row>
    <row r="63" spans="1:11" hidden="1" x14ac:dyDescent="0.2">
      <c r="A63" s="145" t="s">
        <v>365</v>
      </c>
      <c r="B63" s="144">
        <v>10</v>
      </c>
      <c r="C63" s="144">
        <v>12500</v>
      </c>
      <c r="D63" s="144">
        <f>+C63*B63</f>
        <v>125000</v>
      </c>
      <c r="E63" s="144"/>
      <c r="F63" s="144"/>
      <c r="G63" s="144"/>
      <c r="H63" s="144"/>
      <c r="I63" s="144"/>
      <c r="J63" s="144"/>
      <c r="K63" s="2"/>
    </row>
    <row r="64" spans="1:11" x14ac:dyDescent="0.2">
      <c r="A64" s="145"/>
      <c r="B64" s="145"/>
      <c r="C64" s="145"/>
      <c r="D64" s="144"/>
      <c r="E64" s="144"/>
      <c r="F64" s="144"/>
      <c r="G64" s="144"/>
      <c r="H64" s="144"/>
      <c r="I64" s="144"/>
      <c r="J64" s="144"/>
      <c r="K64" s="2"/>
    </row>
    <row r="65" spans="1:11" ht="13.5" x14ac:dyDescent="0.25">
      <c r="A65" s="142" t="s">
        <v>939</v>
      </c>
      <c r="B65" s="145"/>
      <c r="C65" s="145"/>
      <c r="D65" s="144"/>
      <c r="E65" s="144">
        <v>7554</v>
      </c>
      <c r="F65" s="144">
        <v>9225</v>
      </c>
      <c r="G65" s="144">
        <v>8640</v>
      </c>
      <c r="H65" s="144">
        <v>8640</v>
      </c>
      <c r="I65" s="144">
        <v>8640</v>
      </c>
      <c r="J65" s="144">
        <v>8640</v>
      </c>
      <c r="K65" s="2"/>
    </row>
    <row r="66" spans="1:11" hidden="1" x14ac:dyDescent="0.2">
      <c r="A66" s="145" t="s">
        <v>365</v>
      </c>
      <c r="B66" s="144">
        <v>10</v>
      </c>
      <c r="C66" s="144">
        <v>960</v>
      </c>
      <c r="D66" s="144">
        <f>+C66*B66</f>
        <v>9600</v>
      </c>
      <c r="E66" s="144"/>
      <c r="F66" s="144"/>
      <c r="G66" s="144"/>
      <c r="H66" s="144"/>
      <c r="I66" s="144"/>
      <c r="J66" s="144"/>
      <c r="K66" s="2"/>
    </row>
    <row r="67" spans="1:11" ht="15" hidden="1" x14ac:dyDescent="0.35">
      <c r="A67" s="145" t="s">
        <v>198</v>
      </c>
      <c r="B67" s="144"/>
      <c r="C67" s="144"/>
      <c r="D67" s="148">
        <f>+C66*-0.1*B66</f>
        <v>-960</v>
      </c>
      <c r="E67" s="144"/>
      <c r="F67" s="144"/>
      <c r="G67" s="144"/>
      <c r="H67" s="144"/>
      <c r="I67" s="144"/>
      <c r="J67" s="144"/>
      <c r="K67" s="2"/>
    </row>
    <row r="68" spans="1:11" hidden="1" x14ac:dyDescent="0.2">
      <c r="A68" s="145" t="s">
        <v>683</v>
      </c>
      <c r="B68" s="144"/>
      <c r="C68" s="144"/>
      <c r="D68" s="144">
        <f>SUM(D66:D67)</f>
        <v>8640</v>
      </c>
      <c r="E68" s="144"/>
      <c r="F68" s="144"/>
      <c r="G68" s="144"/>
      <c r="H68" s="144"/>
      <c r="I68" s="144"/>
      <c r="J68" s="144"/>
      <c r="K68" s="2"/>
    </row>
    <row r="69" spans="1:11" x14ac:dyDescent="0.2">
      <c r="A69" s="145"/>
      <c r="B69" s="145"/>
      <c r="C69" s="145"/>
      <c r="D69" s="144"/>
      <c r="E69" s="144"/>
      <c r="F69" s="144"/>
      <c r="G69" s="144"/>
      <c r="H69" s="144"/>
      <c r="I69" s="144"/>
      <c r="J69" s="144"/>
      <c r="K69" s="2"/>
    </row>
    <row r="70" spans="1:11" ht="12.75" customHeight="1" x14ac:dyDescent="0.25">
      <c r="A70" s="142" t="s">
        <v>1261</v>
      </c>
      <c r="B70" s="145"/>
      <c r="C70" s="145"/>
      <c r="D70" s="144"/>
      <c r="E70" s="144">
        <v>997</v>
      </c>
      <c r="F70" s="144">
        <v>1485</v>
      </c>
      <c r="G70" s="144">
        <v>1350</v>
      </c>
      <c r="H70" s="144">
        <v>1350</v>
      </c>
      <c r="I70" s="144">
        <v>1350</v>
      </c>
      <c r="J70" s="144">
        <v>1350</v>
      </c>
      <c r="K70" s="2"/>
    </row>
    <row r="71" spans="1:11" ht="12.75" hidden="1" customHeight="1" x14ac:dyDescent="0.2">
      <c r="A71" s="145" t="s">
        <v>361</v>
      </c>
      <c r="B71" s="144">
        <v>1</v>
      </c>
      <c r="C71" s="144">
        <v>135</v>
      </c>
      <c r="D71" s="144">
        <f>+C71*B71</f>
        <v>135</v>
      </c>
      <c r="E71" s="144"/>
      <c r="F71" s="145"/>
      <c r="G71" s="145"/>
      <c r="H71" s="145"/>
      <c r="I71" s="145"/>
      <c r="J71" s="145"/>
      <c r="K71" s="2"/>
    </row>
    <row r="72" spans="1:11" ht="15" hidden="1" customHeight="1" x14ac:dyDescent="0.2">
      <c r="A72" s="145" t="s">
        <v>1262</v>
      </c>
      <c r="B72" s="144">
        <v>5</v>
      </c>
      <c r="C72" s="144">
        <v>135</v>
      </c>
      <c r="D72" s="144">
        <f>+C72*B72</f>
        <v>675</v>
      </c>
      <c r="E72" s="144"/>
      <c r="F72" s="145"/>
      <c r="G72" s="145"/>
      <c r="H72" s="145"/>
      <c r="I72" s="145"/>
      <c r="J72" s="145"/>
      <c r="K72" s="2"/>
    </row>
    <row r="73" spans="1:11" ht="12.75" hidden="1" customHeight="1" x14ac:dyDescent="0.35">
      <c r="A73" s="145" t="s">
        <v>904</v>
      </c>
      <c r="B73" s="144">
        <v>4</v>
      </c>
      <c r="C73" s="144">
        <v>135</v>
      </c>
      <c r="D73" s="148">
        <f>+C73*B73</f>
        <v>540</v>
      </c>
      <c r="E73" s="144"/>
      <c r="F73" s="145"/>
      <c r="G73" s="145"/>
      <c r="H73" s="145"/>
      <c r="I73" s="145"/>
      <c r="J73" s="145"/>
      <c r="K73" s="2"/>
    </row>
    <row r="74" spans="1:11" hidden="1" x14ac:dyDescent="0.2">
      <c r="A74" s="145" t="s">
        <v>1073</v>
      </c>
      <c r="B74" s="145"/>
      <c r="C74" s="145"/>
      <c r="D74" s="144">
        <f>SUM(D71:D73)</f>
        <v>1350</v>
      </c>
      <c r="E74" s="144"/>
      <c r="F74" s="145"/>
      <c r="G74" s="145"/>
      <c r="H74" s="145"/>
      <c r="I74" s="145"/>
      <c r="J74" s="145"/>
      <c r="K74" s="2"/>
    </row>
    <row r="75" spans="1:11" x14ac:dyDescent="0.2">
      <c r="A75" s="145"/>
      <c r="B75" s="145"/>
      <c r="C75" s="145"/>
      <c r="D75" s="144"/>
      <c r="E75" s="144"/>
      <c r="F75" s="145"/>
      <c r="G75" s="145"/>
      <c r="H75" s="145"/>
      <c r="I75" s="145"/>
      <c r="J75" s="145"/>
      <c r="K75" s="2"/>
    </row>
    <row r="76" spans="1:11" ht="13.5" x14ac:dyDescent="0.25">
      <c r="A76" s="142" t="s">
        <v>406</v>
      </c>
      <c r="B76" s="145"/>
      <c r="C76" s="145"/>
      <c r="D76" s="144"/>
      <c r="E76" s="144">
        <v>3169</v>
      </c>
      <c r="F76" s="144">
        <v>5500</v>
      </c>
      <c r="G76" s="144">
        <v>5250</v>
      </c>
      <c r="H76" s="144">
        <v>5250</v>
      </c>
      <c r="I76" s="144">
        <v>5250</v>
      </c>
      <c r="J76" s="144">
        <v>5250</v>
      </c>
      <c r="K76" s="2"/>
    </row>
    <row r="77" spans="1:11" hidden="1" x14ac:dyDescent="0.2">
      <c r="A77" s="145" t="s">
        <v>705</v>
      </c>
      <c r="B77" s="144">
        <v>10</v>
      </c>
      <c r="C77" s="2">
        <v>525</v>
      </c>
      <c r="D77" s="144">
        <f>+C77*B77</f>
        <v>5250</v>
      </c>
      <c r="E77" s="144"/>
      <c r="F77" s="144"/>
      <c r="G77" s="144"/>
      <c r="H77" s="144"/>
      <c r="I77" s="144"/>
      <c r="J77" s="144"/>
      <c r="K77" s="2"/>
    </row>
    <row r="78" spans="1:11" x14ac:dyDescent="0.2">
      <c r="A78" s="145"/>
      <c r="B78" s="145"/>
      <c r="C78" s="145"/>
      <c r="D78" s="144"/>
      <c r="E78" s="144"/>
      <c r="F78" s="144"/>
      <c r="G78" s="144"/>
      <c r="H78" s="144"/>
      <c r="I78" s="144"/>
      <c r="J78" s="144"/>
      <c r="K78" s="2"/>
    </row>
    <row r="79" spans="1:11" ht="13.5" x14ac:dyDescent="0.25">
      <c r="A79" s="142" t="s">
        <v>162</v>
      </c>
      <c r="B79" s="145"/>
      <c r="C79" s="145"/>
      <c r="D79" s="144"/>
      <c r="E79" s="144">
        <v>1445</v>
      </c>
      <c r="F79" s="144">
        <v>1776.178944</v>
      </c>
      <c r="G79" s="144">
        <v>1839</v>
      </c>
      <c r="H79" s="144">
        <v>1839</v>
      </c>
      <c r="I79" s="144">
        <v>1839</v>
      </c>
      <c r="J79" s="144">
        <v>1839</v>
      </c>
      <c r="K79" s="2"/>
    </row>
    <row r="80" spans="1:11" hidden="1" x14ac:dyDescent="0.2">
      <c r="A80" s="153" t="s">
        <v>1271</v>
      </c>
      <c r="B80" s="144">
        <f>+D15</f>
        <v>320640</v>
      </c>
      <c r="C80" s="154">
        <v>1.74E-3</v>
      </c>
      <c r="D80" s="144">
        <f>+C80*B80</f>
        <v>557.91359999999997</v>
      </c>
      <c r="E80" s="144"/>
      <c r="F80" s="144"/>
      <c r="G80" s="144"/>
      <c r="H80" s="144"/>
      <c r="I80" s="144"/>
      <c r="J80" s="144"/>
      <c r="K80" s="2"/>
    </row>
    <row r="81" spans="1:11" hidden="1" x14ac:dyDescent="0.2">
      <c r="A81" s="153" t="s">
        <v>688</v>
      </c>
      <c r="B81" s="144">
        <f>+D41</f>
        <v>250993.75839999999</v>
      </c>
      <c r="C81" s="154">
        <v>1.74E-3</v>
      </c>
      <c r="D81" s="144">
        <f>+C81*B81</f>
        <v>436.729139616</v>
      </c>
      <c r="E81" s="144"/>
      <c r="F81" s="144"/>
      <c r="G81" s="144"/>
      <c r="H81" s="144"/>
      <c r="I81" s="144"/>
      <c r="J81" s="144"/>
      <c r="K81" s="2"/>
    </row>
    <row r="82" spans="1:11" ht="15" hidden="1" x14ac:dyDescent="0.35">
      <c r="A82" s="153" t="s">
        <v>155</v>
      </c>
      <c r="B82" s="144">
        <f>+D45</f>
        <v>43212</v>
      </c>
      <c r="C82" s="154">
        <v>1.95E-2</v>
      </c>
      <c r="D82" s="148">
        <f>+C82*B82</f>
        <v>842.63400000000001</v>
      </c>
      <c r="E82" s="144"/>
      <c r="F82" s="144"/>
      <c r="G82" s="144"/>
      <c r="H82" s="144"/>
      <c r="I82" s="144"/>
      <c r="J82" s="144"/>
      <c r="K82" s="2"/>
    </row>
    <row r="83" spans="1:11" hidden="1" x14ac:dyDescent="0.2">
      <c r="A83" s="145" t="s">
        <v>1073</v>
      </c>
      <c r="B83" s="145"/>
      <c r="C83" s="145"/>
      <c r="D83" s="144">
        <f>SUM(D80:D82)+2</f>
        <v>1839.276739616</v>
      </c>
      <c r="E83" s="144"/>
      <c r="F83" s="144"/>
      <c r="G83" s="144"/>
      <c r="H83" s="144"/>
      <c r="I83" s="144"/>
      <c r="J83" s="144"/>
      <c r="K83" s="2"/>
    </row>
    <row r="84" spans="1:11" x14ac:dyDescent="0.2">
      <c r="A84" s="145"/>
      <c r="B84" s="145"/>
      <c r="C84" s="145"/>
      <c r="D84" s="144"/>
      <c r="E84" s="144"/>
      <c r="F84" s="144"/>
      <c r="G84" s="144"/>
      <c r="H84" s="144"/>
      <c r="I84" s="144"/>
      <c r="J84" s="144"/>
      <c r="K84" s="2"/>
    </row>
    <row r="85" spans="1:11" ht="13.5" x14ac:dyDescent="0.25">
      <c r="A85" s="142" t="s">
        <v>163</v>
      </c>
      <c r="B85" s="145"/>
      <c r="C85" s="145"/>
      <c r="D85" s="144"/>
      <c r="E85" s="144">
        <v>366</v>
      </c>
      <c r="F85" s="144">
        <v>399</v>
      </c>
      <c r="G85" s="144">
        <v>395</v>
      </c>
      <c r="H85" s="144">
        <v>395</v>
      </c>
      <c r="I85" s="144">
        <v>395</v>
      </c>
      <c r="J85" s="144">
        <v>395</v>
      </c>
      <c r="K85" s="2"/>
    </row>
    <row r="86" spans="1:11" hidden="1" x14ac:dyDescent="0.2">
      <c r="A86" s="153" t="s">
        <v>1271</v>
      </c>
      <c r="B86" s="144">
        <v>6</v>
      </c>
      <c r="C86" s="144">
        <v>20</v>
      </c>
      <c r="D86" s="144">
        <f>+C86*B86</f>
        <v>120</v>
      </c>
      <c r="E86" s="144"/>
      <c r="F86" s="144"/>
      <c r="G86" s="144"/>
      <c r="H86" s="144"/>
      <c r="I86" s="144"/>
      <c r="J86" s="144"/>
      <c r="K86" s="2"/>
    </row>
    <row r="87" spans="1:11" hidden="1" x14ac:dyDescent="0.2">
      <c r="A87" s="153" t="s">
        <v>249</v>
      </c>
      <c r="B87" s="144">
        <v>3</v>
      </c>
      <c r="C87" s="144">
        <v>20</v>
      </c>
      <c r="D87" s="144">
        <f>+C87*B87</f>
        <v>60</v>
      </c>
      <c r="E87" s="144"/>
      <c r="F87" s="144"/>
      <c r="G87" s="144"/>
      <c r="H87" s="144"/>
      <c r="I87" s="144"/>
      <c r="J87" s="144"/>
      <c r="K87" s="2"/>
    </row>
    <row r="88" spans="1:11" hidden="1" x14ac:dyDescent="0.2">
      <c r="A88" s="145" t="s">
        <v>256</v>
      </c>
      <c r="B88" s="144">
        <v>3</v>
      </c>
      <c r="C88" s="144">
        <v>20</v>
      </c>
      <c r="D88" s="144">
        <f>+C88*B88</f>
        <v>60</v>
      </c>
      <c r="E88" s="144"/>
      <c r="F88" s="144"/>
      <c r="G88" s="144"/>
      <c r="H88" s="144"/>
      <c r="I88" s="144"/>
      <c r="J88" s="144"/>
      <c r="K88" s="2"/>
    </row>
    <row r="89" spans="1:11" hidden="1" x14ac:dyDescent="0.2">
      <c r="A89" s="145" t="s">
        <v>518</v>
      </c>
      <c r="B89" s="144">
        <f>D41-D38-D37-D36-D19-D20-D21</f>
        <v>96152.318399999989</v>
      </c>
      <c r="C89" s="154">
        <v>1.4E-3</v>
      </c>
      <c r="D89" s="144">
        <f>+C89*B89</f>
        <v>134.61324575999998</v>
      </c>
      <c r="E89" s="144"/>
      <c r="F89" s="144"/>
      <c r="G89" s="144"/>
      <c r="H89" s="144"/>
      <c r="I89" s="144"/>
      <c r="J89" s="144"/>
      <c r="K89" s="2"/>
    </row>
    <row r="90" spans="1:11" ht="15" hidden="1" x14ac:dyDescent="0.35">
      <c r="A90" s="145" t="s">
        <v>250</v>
      </c>
      <c r="B90" s="144">
        <v>1</v>
      </c>
      <c r="C90" s="144">
        <v>20</v>
      </c>
      <c r="D90" s="148">
        <f>+C90*B90</f>
        <v>20</v>
      </c>
      <c r="E90" s="144"/>
      <c r="F90" s="144"/>
      <c r="G90" s="144"/>
      <c r="H90" s="144"/>
      <c r="I90" s="144"/>
      <c r="J90" s="144"/>
      <c r="K90" s="2"/>
    </row>
    <row r="91" spans="1:11" hidden="1" x14ac:dyDescent="0.2">
      <c r="A91" s="145" t="s">
        <v>1073</v>
      </c>
      <c r="B91" s="145"/>
      <c r="C91" s="145"/>
      <c r="D91" s="144">
        <f>SUM(D86:D90)</f>
        <v>394.61324575999998</v>
      </c>
      <c r="E91" s="144"/>
      <c r="F91" s="145"/>
      <c r="G91" s="145"/>
      <c r="H91" s="145"/>
      <c r="I91" s="145"/>
      <c r="J91" s="145"/>
      <c r="K91" s="2"/>
    </row>
    <row r="92" spans="1:11" x14ac:dyDescent="0.2">
      <c r="A92" s="145"/>
      <c r="B92" s="145"/>
      <c r="C92" s="145"/>
      <c r="D92" s="144"/>
      <c r="E92" s="144"/>
      <c r="F92" s="145"/>
      <c r="G92" s="145"/>
      <c r="H92" s="145"/>
      <c r="I92" s="145"/>
      <c r="J92" s="145"/>
      <c r="K92" s="2"/>
    </row>
    <row r="93" spans="1:11" ht="13.5" x14ac:dyDescent="0.25">
      <c r="A93" s="142" t="s">
        <v>1496</v>
      </c>
      <c r="B93" s="145"/>
      <c r="C93" s="145"/>
      <c r="D93" s="144"/>
      <c r="E93" s="144">
        <v>507</v>
      </c>
      <c r="F93" s="144">
        <v>1500</v>
      </c>
      <c r="G93" s="144">
        <v>1500</v>
      </c>
      <c r="H93" s="144">
        <v>1500</v>
      </c>
      <c r="I93" s="144">
        <v>1500</v>
      </c>
      <c r="J93" s="144">
        <v>1500</v>
      </c>
      <c r="K93" s="2"/>
    </row>
    <row r="94" spans="1:11" x14ac:dyDescent="0.2">
      <c r="A94" s="145" t="s">
        <v>150</v>
      </c>
      <c r="B94" s="145"/>
      <c r="C94" s="145"/>
      <c r="D94" s="144">
        <v>1500</v>
      </c>
      <c r="E94" s="144"/>
      <c r="F94" s="140"/>
      <c r="G94" s="140"/>
      <c r="H94" s="140"/>
      <c r="I94" s="140"/>
      <c r="J94" s="140"/>
      <c r="K94" s="2"/>
    </row>
    <row r="95" spans="1:11" x14ac:dyDescent="0.2">
      <c r="A95" s="145"/>
      <c r="B95" s="145"/>
      <c r="C95" s="145"/>
      <c r="D95" s="144"/>
      <c r="E95" s="144"/>
      <c r="F95" s="145"/>
      <c r="G95" s="145"/>
      <c r="H95" s="145"/>
      <c r="I95" s="145"/>
      <c r="J95" s="145"/>
      <c r="K95" s="2"/>
    </row>
    <row r="96" spans="1:11" ht="13.5" x14ac:dyDescent="0.25">
      <c r="A96" s="142" t="s">
        <v>228</v>
      </c>
      <c r="B96" s="145"/>
      <c r="C96" s="145"/>
      <c r="D96" s="144"/>
      <c r="E96" s="144">
        <v>8977</v>
      </c>
      <c r="F96" s="144">
        <v>9520</v>
      </c>
      <c r="G96" s="144">
        <v>9520</v>
      </c>
      <c r="H96" s="144">
        <v>9520</v>
      </c>
      <c r="I96" s="144">
        <v>9520</v>
      </c>
      <c r="J96" s="144">
        <v>9520</v>
      </c>
      <c r="K96" s="2"/>
    </row>
    <row r="97" spans="1:11" x14ac:dyDescent="0.2">
      <c r="A97" s="155" t="s">
        <v>462</v>
      </c>
      <c r="B97" s="155"/>
      <c r="C97" s="144"/>
      <c r="D97" s="144">
        <f>3600+820+300</f>
        <v>4720</v>
      </c>
      <c r="E97" s="144"/>
      <c r="F97" s="144"/>
      <c r="G97" s="144"/>
      <c r="H97" s="144"/>
      <c r="I97" s="144"/>
      <c r="J97" s="144"/>
      <c r="K97" s="2"/>
    </row>
    <row r="98" spans="1:11" x14ac:dyDescent="0.2">
      <c r="A98" s="155" t="s">
        <v>463</v>
      </c>
      <c r="B98" s="155"/>
      <c r="C98" s="144"/>
      <c r="D98" s="144">
        <v>2800</v>
      </c>
      <c r="E98" s="144"/>
      <c r="F98" s="144"/>
      <c r="G98" s="144"/>
      <c r="H98" s="144"/>
      <c r="I98" s="144"/>
      <c r="J98" s="144"/>
      <c r="K98" s="2"/>
    </row>
    <row r="99" spans="1:11" ht="15" x14ac:dyDescent="0.35">
      <c r="A99" s="155" t="s">
        <v>202</v>
      </c>
      <c r="B99" s="155"/>
      <c r="C99" s="148"/>
      <c r="D99" s="148">
        <v>2000</v>
      </c>
      <c r="E99" s="144"/>
      <c r="F99" s="144"/>
      <c r="G99" s="144"/>
      <c r="H99" s="144"/>
      <c r="I99" s="144"/>
      <c r="J99" s="144"/>
      <c r="K99" s="2"/>
    </row>
    <row r="100" spans="1:11" x14ac:dyDescent="0.2">
      <c r="A100" s="155" t="s">
        <v>1073</v>
      </c>
      <c r="B100" s="155"/>
      <c r="C100" s="144"/>
      <c r="D100" s="144">
        <f>SUM(D97:D99)</f>
        <v>9520</v>
      </c>
      <c r="E100" s="144"/>
      <c r="F100" s="144"/>
      <c r="G100" s="144"/>
      <c r="H100" s="144"/>
      <c r="I100" s="144"/>
      <c r="J100" s="144"/>
      <c r="K100" s="2"/>
    </row>
    <row r="101" spans="1:11" x14ac:dyDescent="0.2">
      <c r="A101" s="155"/>
      <c r="B101" s="155"/>
      <c r="C101" s="144"/>
      <c r="D101" s="144"/>
      <c r="E101" s="144"/>
      <c r="F101" s="144"/>
      <c r="G101" s="144"/>
      <c r="H101" s="144"/>
      <c r="I101" s="144"/>
      <c r="J101" s="144"/>
      <c r="K101" s="2"/>
    </row>
    <row r="102" spans="1:11" ht="13.5" x14ac:dyDescent="0.25">
      <c r="A102" s="142" t="s">
        <v>22</v>
      </c>
      <c r="B102" s="145"/>
      <c r="C102" s="144"/>
      <c r="D102" s="144" t="s">
        <v>345</v>
      </c>
      <c r="E102" s="144">
        <v>3092</v>
      </c>
      <c r="F102" s="144">
        <v>4000</v>
      </c>
      <c r="G102" s="144">
        <v>4000</v>
      </c>
      <c r="H102" s="144">
        <v>4000</v>
      </c>
      <c r="I102" s="144">
        <v>4000</v>
      </c>
      <c r="J102" s="144">
        <v>4000</v>
      </c>
      <c r="K102" s="2"/>
    </row>
    <row r="103" spans="1:11" x14ac:dyDescent="0.2">
      <c r="A103" s="145" t="s">
        <v>871</v>
      </c>
      <c r="B103" s="145"/>
      <c r="C103" s="144"/>
      <c r="D103" s="144">
        <v>4000</v>
      </c>
      <c r="E103" s="144"/>
      <c r="F103" s="144"/>
      <c r="G103" s="144"/>
      <c r="H103" s="144"/>
      <c r="I103" s="144"/>
      <c r="J103" s="144"/>
      <c r="K103" s="2"/>
    </row>
    <row r="104" spans="1:11" x14ac:dyDescent="0.2">
      <c r="A104" s="145" t="s">
        <v>345</v>
      </c>
      <c r="B104" s="145"/>
      <c r="C104" s="144"/>
      <c r="D104" s="144" t="s">
        <v>345</v>
      </c>
      <c r="E104" s="144"/>
      <c r="F104" s="144"/>
      <c r="G104" s="144"/>
      <c r="H104" s="144"/>
      <c r="I104" s="144"/>
      <c r="J104" s="144"/>
      <c r="K104" s="2"/>
    </row>
    <row r="105" spans="1:11" ht="13.5" x14ac:dyDescent="0.25">
      <c r="A105" s="142" t="s">
        <v>203</v>
      </c>
      <c r="B105" s="145"/>
      <c r="C105" s="144"/>
      <c r="D105" s="144"/>
      <c r="E105" s="144">
        <v>400</v>
      </c>
      <c r="F105" s="144">
        <v>600</v>
      </c>
      <c r="G105" s="144">
        <v>500</v>
      </c>
      <c r="H105" s="144">
        <v>500</v>
      </c>
      <c r="I105" s="144">
        <v>500</v>
      </c>
      <c r="J105" s="144">
        <v>500</v>
      </c>
      <c r="K105" s="2"/>
    </row>
    <row r="106" spans="1:11" x14ac:dyDescent="0.2">
      <c r="A106" s="145" t="s">
        <v>1635</v>
      </c>
      <c r="B106" s="145"/>
      <c r="C106" s="144"/>
      <c r="D106" s="144">
        <v>500</v>
      </c>
      <c r="E106" s="144"/>
      <c r="F106" s="144"/>
      <c r="G106" s="144"/>
      <c r="H106" s="144"/>
      <c r="I106" s="144"/>
      <c r="J106" s="144"/>
      <c r="K106" s="2"/>
    </row>
    <row r="107" spans="1:11" x14ac:dyDescent="0.2">
      <c r="A107" s="145"/>
      <c r="B107" s="145"/>
      <c r="C107" s="144"/>
      <c r="D107" s="202"/>
      <c r="E107" s="144"/>
      <c r="F107" s="144"/>
      <c r="G107" s="144"/>
      <c r="H107" s="144"/>
      <c r="I107" s="144"/>
      <c r="J107" s="144"/>
      <c r="K107" s="2"/>
    </row>
    <row r="108" spans="1:11" ht="13.5" x14ac:dyDescent="0.25">
      <c r="A108" s="142" t="s">
        <v>1190</v>
      </c>
      <c r="B108" s="145"/>
      <c r="C108" s="144"/>
      <c r="D108" s="144" t="s">
        <v>345</v>
      </c>
      <c r="E108" s="144">
        <v>13468</v>
      </c>
      <c r="F108" s="144">
        <v>15500</v>
      </c>
      <c r="G108" s="144">
        <v>15150</v>
      </c>
      <c r="H108" s="144">
        <v>15150</v>
      </c>
      <c r="I108" s="144">
        <v>15150</v>
      </c>
      <c r="J108" s="144">
        <v>15150</v>
      </c>
      <c r="K108" s="2"/>
    </row>
    <row r="109" spans="1:11" x14ac:dyDescent="0.2">
      <c r="A109" s="145" t="s">
        <v>1191</v>
      </c>
      <c r="B109" s="145"/>
      <c r="C109" s="144"/>
      <c r="D109" s="144">
        <v>15150</v>
      </c>
      <c r="E109" s="144"/>
      <c r="F109" s="144"/>
      <c r="G109" s="144"/>
      <c r="H109" s="144"/>
      <c r="I109" s="144"/>
      <c r="J109" s="144"/>
      <c r="K109" s="2"/>
    </row>
    <row r="110" spans="1:11" x14ac:dyDescent="0.2">
      <c r="A110" s="145" t="s">
        <v>345</v>
      </c>
      <c r="B110" s="145"/>
      <c r="C110" s="145"/>
      <c r="D110" s="144" t="s">
        <v>345</v>
      </c>
      <c r="E110" s="144"/>
      <c r="F110" s="144"/>
      <c r="G110" s="144"/>
      <c r="H110" s="144"/>
      <c r="I110" s="144"/>
      <c r="J110" s="144"/>
      <c r="K110" s="2"/>
    </row>
    <row r="111" spans="1:11" ht="13.5" x14ac:dyDescent="0.25">
      <c r="A111" s="142" t="s">
        <v>341</v>
      </c>
      <c r="B111" s="145"/>
      <c r="C111" s="145"/>
      <c r="D111" s="144"/>
      <c r="E111" s="144">
        <v>3794</v>
      </c>
      <c r="F111" s="144">
        <v>5000</v>
      </c>
      <c r="G111" s="144">
        <v>4500</v>
      </c>
      <c r="H111" s="144">
        <v>4500</v>
      </c>
      <c r="I111" s="144">
        <v>4500</v>
      </c>
      <c r="J111" s="144">
        <v>4500</v>
      </c>
      <c r="K111" s="2"/>
    </row>
    <row r="112" spans="1:11" x14ac:dyDescent="0.2">
      <c r="A112" s="145" t="s">
        <v>1191</v>
      </c>
      <c r="B112" s="145"/>
      <c r="C112" s="145"/>
      <c r="D112" s="144">
        <v>4500</v>
      </c>
      <c r="E112" s="144"/>
      <c r="F112" s="144"/>
      <c r="G112" s="144"/>
      <c r="H112" s="144"/>
      <c r="I112" s="144"/>
      <c r="J112" s="144"/>
      <c r="K112" s="2"/>
    </row>
    <row r="113" spans="1:11" x14ac:dyDescent="0.2">
      <c r="A113" s="145"/>
      <c r="B113" s="145"/>
      <c r="C113" s="145"/>
      <c r="D113" s="144"/>
      <c r="E113" s="144"/>
      <c r="F113" s="144"/>
      <c r="G113" s="144"/>
      <c r="H113" s="144"/>
      <c r="I113" s="144"/>
      <c r="J113" s="144"/>
      <c r="K113" s="2"/>
    </row>
    <row r="114" spans="1:11" ht="13.5" x14ac:dyDescent="0.25">
      <c r="A114" s="142" t="s">
        <v>1019</v>
      </c>
      <c r="B114" s="145"/>
      <c r="C114" s="145"/>
      <c r="D114" s="144"/>
      <c r="E114" s="144">
        <v>1346</v>
      </c>
      <c r="F114" s="144">
        <v>1750</v>
      </c>
      <c r="G114" s="144">
        <v>1400</v>
      </c>
      <c r="H114" s="144">
        <v>1400</v>
      </c>
      <c r="I114" s="144">
        <v>1400</v>
      </c>
      <c r="J114" s="144">
        <v>1400</v>
      </c>
      <c r="K114" s="2"/>
    </row>
    <row r="115" spans="1:11" x14ac:dyDescent="0.2">
      <c r="A115" s="145" t="s">
        <v>1191</v>
      </c>
      <c r="B115" s="145"/>
      <c r="C115" s="144"/>
      <c r="D115" s="144">
        <v>1400</v>
      </c>
      <c r="E115" s="144"/>
      <c r="F115" s="144"/>
      <c r="G115" s="144"/>
      <c r="H115" s="144"/>
      <c r="I115" s="144"/>
      <c r="J115" s="144"/>
      <c r="K115" s="2"/>
    </row>
    <row r="116" spans="1:11" x14ac:dyDescent="0.2">
      <c r="A116" s="145"/>
      <c r="B116" s="145"/>
      <c r="C116" s="144"/>
      <c r="D116" s="144"/>
      <c r="E116" s="144"/>
      <c r="F116" s="144"/>
      <c r="G116" s="144"/>
      <c r="H116" s="144"/>
      <c r="I116" s="144"/>
      <c r="J116" s="144"/>
      <c r="K116" s="2"/>
    </row>
    <row r="117" spans="1:11" ht="13.5" x14ac:dyDescent="0.25">
      <c r="A117" s="142" t="s">
        <v>1020</v>
      </c>
      <c r="B117" s="145"/>
      <c r="C117" s="144"/>
      <c r="D117" s="144"/>
      <c r="E117" s="144">
        <v>271</v>
      </c>
      <c r="F117" s="144">
        <v>304</v>
      </c>
      <c r="G117" s="144">
        <v>304</v>
      </c>
      <c r="H117" s="144">
        <v>304</v>
      </c>
      <c r="I117" s="144">
        <v>304</v>
      </c>
      <c r="J117" s="144">
        <v>304</v>
      </c>
      <c r="K117" s="2"/>
    </row>
    <row r="118" spans="1:11" x14ac:dyDescent="0.2">
      <c r="A118" s="145" t="s">
        <v>1191</v>
      </c>
      <c r="B118" s="145"/>
      <c r="C118" s="144"/>
      <c r="D118" s="144">
        <v>304</v>
      </c>
      <c r="E118" s="144"/>
      <c r="F118" s="144"/>
      <c r="G118" s="144"/>
      <c r="H118" s="144"/>
      <c r="I118" s="144"/>
      <c r="J118" s="144"/>
      <c r="K118" s="2"/>
    </row>
    <row r="119" spans="1:11" x14ac:dyDescent="0.2">
      <c r="A119" s="145"/>
      <c r="B119" s="145"/>
      <c r="C119" s="144"/>
      <c r="D119" s="144"/>
      <c r="E119" s="144"/>
      <c r="F119" s="144"/>
      <c r="G119" s="144"/>
      <c r="H119" s="144"/>
      <c r="I119" s="144"/>
      <c r="J119" s="144"/>
      <c r="K119" s="2"/>
    </row>
    <row r="120" spans="1:11" ht="13.5" x14ac:dyDescent="0.25">
      <c r="A120" s="142" t="s">
        <v>1502</v>
      </c>
      <c r="B120" s="145"/>
      <c r="C120" s="144"/>
      <c r="D120" s="144"/>
      <c r="E120" s="144">
        <v>5723</v>
      </c>
      <c r="F120" s="144">
        <v>5600</v>
      </c>
      <c r="G120" s="144">
        <v>5825</v>
      </c>
      <c r="H120" s="144">
        <v>5825</v>
      </c>
      <c r="I120" s="144">
        <v>5825</v>
      </c>
      <c r="J120" s="144">
        <v>5825</v>
      </c>
      <c r="K120" s="2"/>
    </row>
    <row r="121" spans="1:11" x14ac:dyDescent="0.2">
      <c r="A121" s="153" t="s">
        <v>1503</v>
      </c>
      <c r="B121" s="145"/>
      <c r="C121" s="144"/>
      <c r="D121" s="144">
        <v>3200</v>
      </c>
      <c r="E121" s="144"/>
      <c r="F121" s="144"/>
      <c r="G121" s="144"/>
      <c r="H121" s="144"/>
      <c r="I121" s="144"/>
      <c r="J121" s="144"/>
      <c r="K121" s="2"/>
    </row>
    <row r="122" spans="1:11" x14ac:dyDescent="0.2">
      <c r="A122" s="145" t="s">
        <v>1567</v>
      </c>
      <c r="B122" s="145"/>
      <c r="C122" s="144"/>
      <c r="D122" s="144"/>
      <c r="E122" s="144"/>
      <c r="F122" s="144"/>
      <c r="G122" s="144"/>
      <c r="H122" s="144"/>
      <c r="I122" s="144"/>
      <c r="J122" s="144"/>
      <c r="K122" s="2"/>
    </row>
    <row r="123" spans="1:11" x14ac:dyDescent="0.2">
      <c r="A123" s="153" t="s">
        <v>1504</v>
      </c>
      <c r="B123" s="145"/>
      <c r="C123" s="144"/>
      <c r="D123" s="144">
        <v>749</v>
      </c>
      <c r="E123" s="144"/>
      <c r="F123" s="144"/>
      <c r="G123" s="144"/>
      <c r="H123" s="144"/>
      <c r="I123" s="144"/>
      <c r="J123" s="144"/>
      <c r="K123" s="2"/>
    </row>
    <row r="124" spans="1:11" x14ac:dyDescent="0.2">
      <c r="A124" s="145" t="s">
        <v>926</v>
      </c>
      <c r="B124" s="145"/>
      <c r="C124" s="144"/>
      <c r="D124" s="144">
        <v>736</v>
      </c>
      <c r="E124" s="144"/>
      <c r="F124" s="144"/>
      <c r="G124" s="144"/>
      <c r="H124" s="144"/>
      <c r="I124" s="144"/>
      <c r="J124" s="144"/>
      <c r="K124" s="2"/>
    </row>
    <row r="125" spans="1:11" x14ac:dyDescent="0.2">
      <c r="A125" s="145" t="s">
        <v>1154</v>
      </c>
      <c r="B125" s="145"/>
      <c r="C125" s="144"/>
      <c r="D125" s="144">
        <v>417</v>
      </c>
      <c r="E125" s="144"/>
      <c r="F125" s="144"/>
      <c r="G125" s="144"/>
      <c r="H125" s="144"/>
      <c r="I125" s="144"/>
      <c r="J125" s="144"/>
      <c r="K125" s="2"/>
    </row>
    <row r="126" spans="1:11" ht="15" x14ac:dyDescent="0.35">
      <c r="A126" s="145" t="s">
        <v>1505</v>
      </c>
      <c r="B126" s="145"/>
      <c r="C126" s="148"/>
      <c r="D126" s="148">
        <v>723</v>
      </c>
      <c r="E126" s="144"/>
      <c r="F126" s="144"/>
      <c r="G126" s="144"/>
      <c r="H126" s="144"/>
      <c r="I126" s="144"/>
      <c r="J126" s="144"/>
      <c r="K126" s="2"/>
    </row>
    <row r="127" spans="1:11" x14ac:dyDescent="0.2">
      <c r="A127" s="145" t="s">
        <v>1073</v>
      </c>
      <c r="B127" s="145"/>
      <c r="C127" s="144"/>
      <c r="D127" s="144">
        <f>SUM(D121:D126)</f>
        <v>5825</v>
      </c>
      <c r="E127" s="144"/>
      <c r="F127" s="144"/>
      <c r="G127" s="144"/>
      <c r="H127" s="144"/>
      <c r="I127" s="144"/>
      <c r="J127" s="144"/>
      <c r="K127" s="2"/>
    </row>
    <row r="128" spans="1:11" x14ac:dyDescent="0.2">
      <c r="A128" s="145"/>
      <c r="B128" s="145"/>
      <c r="C128" s="144"/>
      <c r="D128" s="144"/>
      <c r="E128" s="144"/>
      <c r="F128" s="144"/>
      <c r="G128" s="144"/>
      <c r="H128" s="144"/>
      <c r="I128" s="144"/>
      <c r="J128" s="144"/>
      <c r="K128" s="2"/>
    </row>
    <row r="129" spans="1:11" ht="13.5" x14ac:dyDescent="0.25">
      <c r="A129" s="142" t="s">
        <v>1092</v>
      </c>
      <c r="B129" s="145"/>
      <c r="C129" s="144"/>
      <c r="D129" s="144"/>
      <c r="E129" s="144">
        <v>1159</v>
      </c>
      <c r="F129" s="144">
        <v>1800</v>
      </c>
      <c r="G129" s="144">
        <v>1800</v>
      </c>
      <c r="H129" s="144">
        <v>1800</v>
      </c>
      <c r="I129" s="144">
        <v>1800</v>
      </c>
      <c r="J129" s="144">
        <v>1800</v>
      </c>
      <c r="K129" s="2"/>
    </row>
    <row r="130" spans="1:11" x14ac:dyDescent="0.2">
      <c r="A130" s="145" t="s">
        <v>1093</v>
      </c>
      <c r="B130" s="145"/>
      <c r="C130" s="144"/>
      <c r="D130" s="144">
        <v>400</v>
      </c>
      <c r="E130" s="144"/>
      <c r="F130" s="144"/>
      <c r="G130" s="144"/>
      <c r="H130" s="144"/>
      <c r="I130" s="144"/>
      <c r="J130" s="144"/>
      <c r="K130" s="2"/>
    </row>
    <row r="131" spans="1:11" x14ac:dyDescent="0.2">
      <c r="A131" s="145" t="s">
        <v>1094</v>
      </c>
      <c r="B131" s="145"/>
      <c r="C131" s="144"/>
      <c r="D131" s="144">
        <v>360</v>
      </c>
      <c r="E131" s="144"/>
      <c r="F131" s="144"/>
      <c r="G131" s="144"/>
      <c r="H131" s="144"/>
      <c r="I131" s="144"/>
      <c r="J131" s="144"/>
      <c r="K131" s="2"/>
    </row>
    <row r="132" spans="1:11" x14ac:dyDescent="0.2">
      <c r="A132" s="145" t="s">
        <v>1095</v>
      </c>
      <c r="B132" s="145"/>
      <c r="C132" s="144"/>
      <c r="D132" s="144">
        <f>710+50</f>
        <v>760</v>
      </c>
      <c r="E132" s="144"/>
      <c r="F132" s="144"/>
      <c r="G132" s="144"/>
      <c r="H132" s="144"/>
      <c r="I132" s="144"/>
      <c r="J132" s="144"/>
      <c r="K132" s="2"/>
    </row>
    <row r="133" spans="1:11" x14ac:dyDescent="0.2">
      <c r="A133" s="145" t="s">
        <v>858</v>
      </c>
      <c r="B133" s="145"/>
      <c r="C133" s="144"/>
      <c r="D133" s="144">
        <v>100</v>
      </c>
      <c r="E133" s="144"/>
      <c r="F133" s="144"/>
      <c r="G133" s="144"/>
      <c r="H133" s="144"/>
      <c r="I133" s="144"/>
      <c r="J133" s="144"/>
      <c r="K133" s="2"/>
    </row>
    <row r="134" spans="1:11" ht="15" x14ac:dyDescent="0.35">
      <c r="A134" s="145" t="s">
        <v>1787</v>
      </c>
      <c r="B134" s="145"/>
      <c r="C134" s="144"/>
      <c r="D134" s="148">
        <v>180</v>
      </c>
      <c r="E134" s="144"/>
      <c r="F134" s="144"/>
      <c r="G134" s="144"/>
      <c r="H134" s="144"/>
      <c r="I134" s="144"/>
      <c r="J134" s="144"/>
      <c r="K134" s="2"/>
    </row>
    <row r="135" spans="1:11" x14ac:dyDescent="0.2">
      <c r="A135" s="145" t="s">
        <v>1073</v>
      </c>
      <c r="B135" s="145"/>
      <c r="C135" s="144"/>
      <c r="D135" s="144">
        <f>SUM(D130:D134)</f>
        <v>1800</v>
      </c>
      <c r="E135" s="144"/>
      <c r="F135" s="144"/>
      <c r="G135" s="144"/>
      <c r="H135" s="144"/>
      <c r="I135" s="144"/>
      <c r="J135" s="144"/>
      <c r="K135" s="2"/>
    </row>
    <row r="136" spans="1:11" x14ac:dyDescent="0.2">
      <c r="A136" s="145" t="s">
        <v>345</v>
      </c>
      <c r="B136" s="144" t="s">
        <v>345</v>
      </c>
      <c r="C136" s="144"/>
      <c r="D136" s="144" t="s">
        <v>345</v>
      </c>
      <c r="E136" s="144"/>
      <c r="F136" s="144"/>
      <c r="G136" s="144"/>
      <c r="H136" s="144"/>
      <c r="I136" s="144"/>
      <c r="J136" s="144"/>
      <c r="K136" s="2"/>
    </row>
    <row r="137" spans="1:11" ht="13.5" x14ac:dyDescent="0.25">
      <c r="A137" s="156" t="s">
        <v>438</v>
      </c>
      <c r="B137" s="145"/>
      <c r="C137" s="144"/>
      <c r="D137" s="144"/>
      <c r="E137" s="144">
        <v>7808</v>
      </c>
      <c r="F137" s="144">
        <v>8584</v>
      </c>
      <c r="G137" s="144">
        <v>9500</v>
      </c>
      <c r="H137" s="144">
        <v>9500</v>
      </c>
      <c r="I137" s="144">
        <v>9500</v>
      </c>
      <c r="J137" s="144">
        <v>9500</v>
      </c>
      <c r="K137" s="2"/>
    </row>
    <row r="138" spans="1:11" x14ac:dyDescent="0.2">
      <c r="A138" s="145" t="s">
        <v>1275</v>
      </c>
      <c r="B138" s="145"/>
      <c r="C138" s="144"/>
      <c r="D138" s="144">
        <v>9500</v>
      </c>
      <c r="E138" s="144"/>
      <c r="F138" s="144"/>
      <c r="G138" s="144"/>
      <c r="H138" s="144"/>
      <c r="I138" s="144"/>
      <c r="J138" s="144"/>
      <c r="K138" s="2"/>
    </row>
    <row r="139" spans="1:11" x14ac:dyDescent="0.2">
      <c r="A139" s="145"/>
      <c r="B139" s="145"/>
      <c r="C139" s="144"/>
      <c r="D139" s="144"/>
      <c r="E139" s="144"/>
      <c r="F139" s="144"/>
      <c r="G139" s="144"/>
      <c r="H139" s="144"/>
      <c r="I139" s="144"/>
      <c r="J139" s="144"/>
      <c r="K139" s="2"/>
    </row>
    <row r="140" spans="1:11" ht="13.5" x14ac:dyDescent="0.25">
      <c r="A140" s="142" t="s">
        <v>1032</v>
      </c>
      <c r="B140" s="145"/>
      <c r="C140" s="144"/>
      <c r="D140" s="144"/>
      <c r="E140" s="144">
        <v>1645</v>
      </c>
      <c r="F140" s="144">
        <v>2400</v>
      </c>
      <c r="G140" s="144">
        <v>2400</v>
      </c>
      <c r="H140" s="144">
        <v>2400</v>
      </c>
      <c r="I140" s="144">
        <v>2400</v>
      </c>
      <c r="J140" s="144">
        <v>2400</v>
      </c>
      <c r="K140" s="2"/>
    </row>
    <row r="141" spans="1:11" x14ac:dyDescent="0.2">
      <c r="A141" s="145" t="s">
        <v>1383</v>
      </c>
      <c r="B141" s="145"/>
      <c r="C141" s="144"/>
      <c r="D141" s="144">
        <v>1200</v>
      </c>
      <c r="E141" s="144"/>
      <c r="F141" s="144"/>
      <c r="G141" s="144"/>
      <c r="H141" s="144"/>
      <c r="I141" s="144"/>
      <c r="J141" s="144"/>
      <c r="K141" s="2"/>
    </row>
    <row r="142" spans="1:11" ht="15" x14ac:dyDescent="0.35">
      <c r="A142" s="145" t="s">
        <v>1384</v>
      </c>
      <c r="B142" s="145"/>
      <c r="C142" s="148"/>
      <c r="D142" s="148">
        <v>1200</v>
      </c>
      <c r="E142" s="144"/>
      <c r="F142" s="144"/>
      <c r="G142" s="144"/>
      <c r="H142" s="144"/>
      <c r="I142" s="144"/>
      <c r="J142" s="144"/>
      <c r="K142" s="2"/>
    </row>
    <row r="143" spans="1:11" x14ac:dyDescent="0.2">
      <c r="A143" s="145" t="s">
        <v>221</v>
      </c>
      <c r="B143" s="145"/>
      <c r="C143" s="144"/>
      <c r="D143" s="144">
        <f>SUM(D141:D142)</f>
        <v>2400</v>
      </c>
      <c r="E143" s="144"/>
      <c r="F143" s="144"/>
      <c r="G143" s="144"/>
      <c r="H143" s="144"/>
      <c r="I143" s="144"/>
      <c r="J143" s="144"/>
      <c r="K143" s="2"/>
    </row>
    <row r="144" spans="1:11" x14ac:dyDescent="0.2">
      <c r="A144" s="145"/>
      <c r="B144" s="145"/>
      <c r="C144" s="144"/>
      <c r="D144" s="144"/>
      <c r="E144" s="144"/>
      <c r="F144" s="144"/>
      <c r="G144" s="144"/>
      <c r="H144" s="144"/>
      <c r="I144" s="144"/>
      <c r="J144" s="144"/>
      <c r="K144" s="2"/>
    </row>
    <row r="145" spans="1:11" ht="13.5" x14ac:dyDescent="0.25">
      <c r="A145" s="142" t="s">
        <v>372</v>
      </c>
      <c r="B145" s="145"/>
      <c r="C145" s="144"/>
      <c r="D145" s="144"/>
      <c r="E145" s="144">
        <v>23246</v>
      </c>
      <c r="F145" s="144">
        <v>22251</v>
      </c>
      <c r="G145" s="144">
        <v>22251</v>
      </c>
      <c r="H145" s="144">
        <v>22251</v>
      </c>
      <c r="I145" s="144">
        <v>22251</v>
      </c>
      <c r="J145" s="144">
        <v>22251</v>
      </c>
      <c r="K145" s="2"/>
    </row>
    <row r="146" spans="1:11" x14ac:dyDescent="0.2">
      <c r="A146" s="145" t="s">
        <v>241</v>
      </c>
      <c r="B146" s="145"/>
      <c r="C146" s="144"/>
      <c r="D146" s="144">
        <v>2500</v>
      </c>
      <c r="E146" s="144"/>
      <c r="F146" s="144"/>
      <c r="G146" s="144"/>
      <c r="H146" s="144"/>
      <c r="I146" s="144"/>
      <c r="J146" s="144"/>
      <c r="K146" s="2"/>
    </row>
    <row r="147" spans="1:11" x14ac:dyDescent="0.2">
      <c r="A147" s="145" t="s">
        <v>373</v>
      </c>
      <c r="B147" s="145"/>
      <c r="C147" s="144"/>
      <c r="D147" s="144">
        <v>1724</v>
      </c>
      <c r="E147" s="144"/>
      <c r="F147" s="144"/>
      <c r="G147" s="144"/>
      <c r="H147" s="144"/>
      <c r="I147" s="144"/>
      <c r="J147" s="144"/>
      <c r="K147" s="2"/>
    </row>
    <row r="148" spans="1:11" x14ac:dyDescent="0.2">
      <c r="A148" s="145" t="s">
        <v>374</v>
      </c>
      <c r="B148" s="145"/>
      <c r="C148" s="144"/>
      <c r="D148" s="144">
        <v>2600</v>
      </c>
      <c r="E148" s="144"/>
      <c r="F148" s="144"/>
      <c r="G148" s="144"/>
      <c r="H148" s="144"/>
      <c r="I148" s="144"/>
      <c r="J148" s="144"/>
      <c r="K148" s="2"/>
    </row>
    <row r="149" spans="1:11" x14ac:dyDescent="0.2">
      <c r="A149" s="145" t="s">
        <v>553</v>
      </c>
      <c r="B149" s="145"/>
      <c r="C149" s="144"/>
      <c r="D149" s="144">
        <v>3400</v>
      </c>
      <c r="E149" s="144"/>
      <c r="F149" s="144"/>
      <c r="G149" s="144"/>
      <c r="H149" s="144"/>
      <c r="I149" s="144"/>
      <c r="J149" s="144"/>
      <c r="K149" s="2"/>
    </row>
    <row r="150" spans="1:11" x14ac:dyDescent="0.2">
      <c r="A150" s="145" t="s">
        <v>666</v>
      </c>
      <c r="B150" s="145"/>
      <c r="C150" s="144"/>
      <c r="D150" s="144">
        <v>2000</v>
      </c>
      <c r="E150" s="144"/>
      <c r="F150" s="144"/>
      <c r="G150" s="144"/>
      <c r="H150" s="144"/>
      <c r="I150" s="144"/>
      <c r="J150" s="144"/>
      <c r="K150" s="2"/>
    </row>
    <row r="151" spans="1:11" x14ac:dyDescent="0.2">
      <c r="A151" s="145" t="s">
        <v>187</v>
      </c>
      <c r="B151" s="145"/>
      <c r="C151" s="144"/>
      <c r="D151" s="144">
        <v>750</v>
      </c>
      <c r="E151" s="144"/>
      <c r="F151" s="144"/>
      <c r="G151" s="144"/>
      <c r="H151" s="144"/>
      <c r="I151" s="144"/>
      <c r="J151" s="144"/>
      <c r="K151" s="2"/>
    </row>
    <row r="152" spans="1:11" x14ac:dyDescent="0.2">
      <c r="A152" s="145" t="s">
        <v>1087</v>
      </c>
      <c r="B152" s="145"/>
      <c r="C152" s="144"/>
      <c r="D152" s="144">
        <v>2325</v>
      </c>
      <c r="E152" s="144"/>
      <c r="F152" s="144"/>
      <c r="G152" s="144"/>
      <c r="H152" s="144"/>
      <c r="I152" s="144"/>
      <c r="J152" s="144"/>
      <c r="K152" s="2"/>
    </row>
    <row r="153" spans="1:11" x14ac:dyDescent="0.2">
      <c r="A153" s="145" t="s">
        <v>246</v>
      </c>
      <c r="B153" s="145"/>
      <c r="C153" s="144"/>
      <c r="D153" s="144">
        <v>360</v>
      </c>
      <c r="E153" s="144"/>
      <c r="F153" s="144"/>
      <c r="G153" s="144"/>
      <c r="H153" s="144"/>
      <c r="I153" s="144"/>
      <c r="J153" s="144"/>
      <c r="K153" s="2"/>
    </row>
    <row r="154" spans="1:11" x14ac:dyDescent="0.2">
      <c r="A154" s="145" t="s">
        <v>352</v>
      </c>
      <c r="B154" s="145"/>
      <c r="C154" s="144"/>
      <c r="D154" s="144">
        <v>1600</v>
      </c>
      <c r="E154" s="144"/>
      <c r="F154" s="144"/>
      <c r="G154" s="144"/>
      <c r="H154" s="144"/>
      <c r="I154" s="144"/>
      <c r="J154" s="144"/>
      <c r="K154" s="2"/>
    </row>
    <row r="155" spans="1:11" x14ac:dyDescent="0.2">
      <c r="A155" s="145" t="s">
        <v>247</v>
      </c>
      <c r="B155" s="145"/>
      <c r="C155" s="144"/>
      <c r="D155" s="144">
        <v>1200</v>
      </c>
      <c r="E155" s="144"/>
      <c r="F155" s="144"/>
      <c r="G155" s="144"/>
      <c r="H155" s="144"/>
      <c r="I155" s="144"/>
      <c r="J155" s="144"/>
      <c r="K155" s="2"/>
    </row>
    <row r="156" spans="1:11" x14ac:dyDescent="0.2">
      <c r="A156" s="145" t="s">
        <v>295</v>
      </c>
      <c r="B156" s="145"/>
      <c r="C156" s="144"/>
      <c r="D156" s="144">
        <v>500</v>
      </c>
      <c r="E156" s="144"/>
      <c r="F156" s="144"/>
      <c r="G156" s="144"/>
      <c r="H156" s="144"/>
      <c r="I156" s="144"/>
      <c r="J156" s="144"/>
      <c r="K156" s="2"/>
    </row>
    <row r="157" spans="1:11" ht="15" x14ac:dyDescent="0.35">
      <c r="A157" s="145" t="s">
        <v>248</v>
      </c>
      <c r="B157" s="145"/>
      <c r="C157" s="148"/>
      <c r="D157" s="144">
        <f>237+1255</f>
        <v>1492</v>
      </c>
      <c r="E157" s="144"/>
      <c r="F157" s="144"/>
      <c r="G157" s="144"/>
      <c r="H157" s="144"/>
      <c r="I157" s="144"/>
      <c r="J157" s="144"/>
      <c r="K157" s="2"/>
    </row>
    <row r="158" spans="1:11" ht="15" x14ac:dyDescent="0.35">
      <c r="A158" s="145" t="s">
        <v>1856</v>
      </c>
      <c r="B158" s="145"/>
      <c r="C158" s="148"/>
      <c r="D158" s="148">
        <v>1800</v>
      </c>
      <c r="E158" s="144"/>
      <c r="F158" s="144"/>
      <c r="G158" s="144"/>
      <c r="H158" s="144"/>
      <c r="I158" s="144"/>
      <c r="J158" s="144"/>
      <c r="K158" s="2"/>
    </row>
    <row r="159" spans="1:11" x14ac:dyDescent="0.2">
      <c r="A159" s="145" t="s">
        <v>1073</v>
      </c>
      <c r="B159" s="145"/>
      <c r="C159" s="144"/>
      <c r="D159" s="144">
        <f>SUM(D146:D158)</f>
        <v>22251</v>
      </c>
      <c r="E159" s="144"/>
      <c r="F159" s="144"/>
      <c r="G159" s="144"/>
      <c r="H159" s="144"/>
      <c r="I159" s="144"/>
      <c r="J159" s="144"/>
      <c r="K159" s="2"/>
    </row>
    <row r="160" spans="1:11" x14ac:dyDescent="0.2">
      <c r="A160" s="145"/>
      <c r="B160" s="145"/>
      <c r="C160" s="144"/>
      <c r="D160" s="144"/>
      <c r="E160" s="144"/>
      <c r="F160" s="144"/>
      <c r="G160" s="144"/>
      <c r="H160" s="144"/>
      <c r="I160" s="144"/>
      <c r="J160" s="144"/>
      <c r="K160" s="2"/>
    </row>
    <row r="161" spans="1:11" ht="13.5" x14ac:dyDescent="0.25">
      <c r="A161" s="142" t="s">
        <v>104</v>
      </c>
      <c r="B161" s="145"/>
      <c r="C161" s="144"/>
      <c r="D161" s="144"/>
      <c r="E161" s="144">
        <v>399</v>
      </c>
      <c r="F161" s="144">
        <v>450</v>
      </c>
      <c r="G161" s="144">
        <v>450</v>
      </c>
      <c r="H161" s="144">
        <v>450</v>
      </c>
      <c r="I161" s="144">
        <v>450</v>
      </c>
      <c r="J161" s="144">
        <v>450</v>
      </c>
      <c r="K161" s="2"/>
    </row>
    <row r="162" spans="1:11" x14ac:dyDescent="0.2">
      <c r="A162" s="145" t="s">
        <v>877</v>
      </c>
      <c r="B162" s="145"/>
      <c r="C162" s="144"/>
      <c r="D162" s="144">
        <v>400</v>
      </c>
      <c r="E162" s="144"/>
      <c r="F162" s="144"/>
      <c r="G162" s="144"/>
      <c r="H162" s="144"/>
      <c r="I162" s="144"/>
      <c r="J162" s="144"/>
      <c r="K162" s="2"/>
    </row>
    <row r="163" spans="1:11" ht="15" x14ac:dyDescent="0.35">
      <c r="A163" s="145" t="s">
        <v>902</v>
      </c>
      <c r="B163" s="145"/>
      <c r="C163" s="148"/>
      <c r="D163" s="148">
        <v>50</v>
      </c>
      <c r="E163" s="144"/>
      <c r="F163" s="144"/>
      <c r="G163" s="144"/>
      <c r="H163" s="144"/>
      <c r="I163" s="144"/>
      <c r="J163" s="144"/>
      <c r="K163" s="2"/>
    </row>
    <row r="164" spans="1:11" x14ac:dyDescent="0.2">
      <c r="A164" s="145" t="s">
        <v>1073</v>
      </c>
      <c r="B164" s="145"/>
      <c r="C164" s="144"/>
      <c r="D164" s="144">
        <f>SUM(D162:D163)</f>
        <v>450</v>
      </c>
      <c r="E164" s="144"/>
      <c r="F164" s="144"/>
      <c r="G164" s="144"/>
      <c r="H164" s="144"/>
      <c r="I164" s="144"/>
      <c r="J164" s="144"/>
      <c r="K164" s="2"/>
    </row>
    <row r="165" spans="1:11" x14ac:dyDescent="0.2">
      <c r="A165" s="145"/>
      <c r="B165" s="145"/>
      <c r="C165" s="144"/>
      <c r="D165" s="144"/>
      <c r="E165" s="144"/>
      <c r="F165" s="144"/>
      <c r="G165" s="144"/>
      <c r="H165" s="144"/>
      <c r="I165" s="144"/>
      <c r="J165" s="144"/>
      <c r="K165" s="2"/>
    </row>
    <row r="166" spans="1:11" ht="13.5" x14ac:dyDescent="0.25">
      <c r="A166" s="142" t="s">
        <v>362</v>
      </c>
      <c r="B166" s="145"/>
      <c r="C166" s="144"/>
      <c r="D166" s="144"/>
      <c r="E166" s="144">
        <v>9488</v>
      </c>
      <c r="F166" s="144">
        <v>2000</v>
      </c>
      <c r="G166" s="144">
        <v>2000</v>
      </c>
      <c r="H166" s="144">
        <v>2000</v>
      </c>
      <c r="I166" s="144">
        <v>2000</v>
      </c>
      <c r="J166" s="144">
        <v>2000</v>
      </c>
      <c r="K166" s="2"/>
    </row>
    <row r="167" spans="1:11" x14ac:dyDescent="0.2">
      <c r="A167" s="145" t="s">
        <v>1324</v>
      </c>
      <c r="B167" s="145"/>
      <c r="C167" s="144"/>
      <c r="D167" s="144">
        <v>2000</v>
      </c>
      <c r="E167" s="144"/>
      <c r="F167" s="144"/>
      <c r="G167" s="144"/>
      <c r="H167" s="144"/>
      <c r="I167" s="144"/>
      <c r="J167" s="144"/>
      <c r="K167" s="2"/>
    </row>
    <row r="168" spans="1:11" x14ac:dyDescent="0.2">
      <c r="A168" s="145"/>
      <c r="B168" s="145"/>
      <c r="C168" s="144"/>
      <c r="D168" s="144"/>
      <c r="E168" s="144"/>
      <c r="F168" s="144"/>
      <c r="G168" s="144"/>
      <c r="H168" s="144"/>
      <c r="I168" s="144"/>
      <c r="J168" s="144"/>
      <c r="K168" s="2"/>
    </row>
    <row r="169" spans="1:11" ht="13.5" x14ac:dyDescent="0.25">
      <c r="A169" s="142" t="s">
        <v>651</v>
      </c>
      <c r="B169" s="145"/>
      <c r="C169" s="144"/>
      <c r="D169" s="144"/>
      <c r="E169" s="144">
        <v>45817</v>
      </c>
      <c r="F169" s="144">
        <v>47290</v>
      </c>
      <c r="G169" s="144">
        <v>47290</v>
      </c>
      <c r="H169" s="144">
        <v>47290</v>
      </c>
      <c r="I169" s="144">
        <v>47290</v>
      </c>
      <c r="J169" s="144">
        <v>47290</v>
      </c>
      <c r="K169" s="2"/>
    </row>
    <row r="170" spans="1:11" x14ac:dyDescent="0.2">
      <c r="A170" s="145" t="s">
        <v>1338</v>
      </c>
      <c r="B170" s="145"/>
      <c r="C170" s="144"/>
      <c r="D170" s="144">
        <v>3000</v>
      </c>
      <c r="E170" s="144"/>
      <c r="F170" s="144"/>
      <c r="G170" s="144"/>
      <c r="H170" s="144"/>
      <c r="I170" s="144"/>
      <c r="J170" s="144"/>
      <c r="K170" s="2"/>
    </row>
    <row r="171" spans="1:11" x14ac:dyDescent="0.2">
      <c r="A171" s="145" t="s">
        <v>1636</v>
      </c>
      <c r="B171" s="145"/>
      <c r="C171" s="144"/>
      <c r="D171" s="144">
        <v>720</v>
      </c>
      <c r="E171" s="144"/>
      <c r="F171" s="144"/>
      <c r="G171" s="144"/>
      <c r="H171" s="144"/>
      <c r="I171" s="144"/>
      <c r="J171" s="144"/>
      <c r="K171" s="2"/>
    </row>
    <row r="172" spans="1:11" x14ac:dyDescent="0.2">
      <c r="A172" s="145" t="s">
        <v>1637</v>
      </c>
      <c r="B172" s="145"/>
      <c r="C172" s="144"/>
      <c r="D172" s="144">
        <v>2370</v>
      </c>
      <c r="E172" s="144"/>
      <c r="F172" s="144"/>
      <c r="G172" s="144"/>
      <c r="H172" s="144"/>
      <c r="I172" s="144"/>
      <c r="J172" s="144"/>
      <c r="K172" s="2"/>
    </row>
    <row r="173" spans="1:11" x14ac:dyDescent="0.2">
      <c r="A173" s="145" t="s">
        <v>558</v>
      </c>
      <c r="B173" s="145"/>
      <c r="C173" s="144"/>
      <c r="D173" s="144">
        <v>3000</v>
      </c>
      <c r="E173" s="144"/>
      <c r="F173" s="144"/>
      <c r="G173" s="144"/>
      <c r="H173" s="144"/>
      <c r="I173" s="144"/>
      <c r="J173" s="144"/>
      <c r="K173" s="2"/>
    </row>
    <row r="174" spans="1:11" x14ac:dyDescent="0.2">
      <c r="A174" s="145" t="s">
        <v>1638</v>
      </c>
      <c r="B174" s="145"/>
      <c r="C174" s="144"/>
      <c r="D174" s="144">
        <v>2200</v>
      </c>
      <c r="E174" s="144"/>
      <c r="F174" s="144"/>
      <c r="G174" s="144"/>
      <c r="H174" s="144"/>
      <c r="I174" s="144"/>
      <c r="J174" s="144"/>
      <c r="K174" s="2"/>
    </row>
    <row r="175" spans="1:11" ht="15" x14ac:dyDescent="0.35">
      <c r="A175" s="157" t="s">
        <v>1339</v>
      </c>
      <c r="B175" s="145"/>
      <c r="C175" s="148"/>
      <c r="D175" s="191">
        <v>36000</v>
      </c>
      <c r="E175" s="144"/>
      <c r="F175" s="158"/>
      <c r="G175" s="158"/>
      <c r="H175" s="158"/>
      <c r="I175" s="158"/>
      <c r="J175" s="158"/>
      <c r="K175" s="2"/>
    </row>
    <row r="176" spans="1:11" x14ac:dyDescent="0.2">
      <c r="A176" s="145" t="s">
        <v>1073</v>
      </c>
      <c r="B176" s="145"/>
      <c r="C176" s="144"/>
      <c r="D176" s="144">
        <f>SUM(D170:D175)</f>
        <v>47290</v>
      </c>
      <c r="E176" s="144"/>
      <c r="F176" s="144"/>
      <c r="G176" s="144"/>
      <c r="H176" s="144"/>
      <c r="I176" s="144"/>
      <c r="J176" s="144"/>
      <c r="K176" s="2"/>
    </row>
    <row r="177" spans="1:11" x14ac:dyDescent="0.2">
      <c r="A177" s="145"/>
      <c r="B177" s="145"/>
      <c r="C177" s="144"/>
      <c r="D177" s="144"/>
      <c r="E177" s="144"/>
      <c r="F177" s="144"/>
      <c r="G177" s="144"/>
      <c r="H177" s="144"/>
      <c r="I177" s="144"/>
      <c r="J177" s="144"/>
      <c r="K177" s="2"/>
    </row>
    <row r="178" spans="1:11" ht="13.5" x14ac:dyDescent="0.25">
      <c r="A178" s="142" t="s">
        <v>136</v>
      </c>
      <c r="B178" s="145"/>
      <c r="C178" s="144"/>
      <c r="D178" s="144"/>
      <c r="E178" s="144">
        <v>30747</v>
      </c>
      <c r="F178" s="144">
        <v>14376</v>
      </c>
      <c r="G178" s="144">
        <v>14176</v>
      </c>
      <c r="H178" s="144">
        <v>14176</v>
      </c>
      <c r="I178" s="144">
        <v>14176</v>
      </c>
      <c r="J178" s="144">
        <v>14176</v>
      </c>
      <c r="K178" s="2"/>
    </row>
    <row r="179" spans="1:11" x14ac:dyDescent="0.2">
      <c r="A179" s="152" t="s">
        <v>1707</v>
      </c>
      <c r="B179" s="145"/>
      <c r="C179" s="144"/>
      <c r="D179" s="144">
        <v>120</v>
      </c>
      <c r="E179" s="144"/>
      <c r="F179" s="144"/>
      <c r="G179" s="144"/>
      <c r="H179" s="144"/>
      <c r="I179" s="144"/>
      <c r="J179" s="144"/>
      <c r="K179" s="2"/>
    </row>
    <row r="180" spans="1:11" x14ac:dyDescent="0.2">
      <c r="A180" s="145" t="s">
        <v>137</v>
      </c>
      <c r="B180" s="145"/>
      <c r="C180" s="144"/>
      <c r="D180" s="144">
        <v>150</v>
      </c>
      <c r="E180" s="144"/>
      <c r="F180" s="144"/>
      <c r="G180" s="144"/>
      <c r="H180" s="144"/>
      <c r="I180" s="144"/>
      <c r="J180" s="144"/>
      <c r="K180" s="2"/>
    </row>
    <row r="181" spans="1:11" x14ac:dyDescent="0.2">
      <c r="A181" s="145" t="s">
        <v>1639</v>
      </c>
      <c r="B181" s="145"/>
      <c r="C181" s="144"/>
      <c r="D181" s="144">
        <v>100</v>
      </c>
      <c r="E181" s="144"/>
      <c r="F181" s="144"/>
      <c r="G181" s="144"/>
      <c r="H181" s="144"/>
      <c r="I181" s="144"/>
      <c r="J181" s="144"/>
      <c r="K181" s="2"/>
    </row>
    <row r="182" spans="1:11" x14ac:dyDescent="0.2">
      <c r="A182" s="145" t="s">
        <v>1708</v>
      </c>
      <c r="B182" s="145"/>
      <c r="C182" s="144"/>
      <c r="D182" s="144">
        <v>400</v>
      </c>
      <c r="E182" s="144"/>
      <c r="F182" s="144"/>
      <c r="G182" s="144"/>
      <c r="H182" s="144"/>
      <c r="I182" s="144"/>
      <c r="J182" s="144"/>
      <c r="K182" s="2"/>
    </row>
    <row r="183" spans="1:11" x14ac:dyDescent="0.2">
      <c r="A183" s="145" t="s">
        <v>1340</v>
      </c>
      <c r="B183" s="145"/>
      <c r="C183" s="144"/>
      <c r="D183" s="144">
        <v>490</v>
      </c>
      <c r="E183" s="144"/>
      <c r="F183" s="144"/>
      <c r="G183" s="144"/>
      <c r="H183" s="144"/>
      <c r="I183" s="144"/>
      <c r="J183" s="144"/>
      <c r="K183" s="2"/>
    </row>
    <row r="184" spans="1:11" x14ac:dyDescent="0.2">
      <c r="A184" s="144" t="s">
        <v>1709</v>
      </c>
      <c r="B184" s="145"/>
      <c r="C184" s="144"/>
      <c r="D184" s="202">
        <v>150</v>
      </c>
      <c r="E184" s="144"/>
      <c r="F184" s="197"/>
      <c r="G184" s="197"/>
      <c r="H184" s="202"/>
      <c r="I184" s="202"/>
      <c r="J184" s="202"/>
      <c r="K184" s="2"/>
    </row>
    <row r="185" spans="1:11" x14ac:dyDescent="0.2">
      <c r="A185" s="145" t="s">
        <v>1971</v>
      </c>
      <c r="B185" s="145"/>
      <c r="C185" s="144"/>
      <c r="D185" s="144">
        <v>1020</v>
      </c>
      <c r="E185" s="144"/>
      <c r="F185" s="144"/>
      <c r="G185" s="144"/>
      <c r="H185" s="144"/>
      <c r="I185" s="144"/>
      <c r="J185" s="144"/>
      <c r="K185" s="2"/>
    </row>
    <row r="186" spans="1:11" x14ac:dyDescent="0.2">
      <c r="A186" s="145" t="s">
        <v>1857</v>
      </c>
      <c r="B186" s="145"/>
      <c r="C186" s="144"/>
      <c r="D186" s="144">
        <v>265</v>
      </c>
      <c r="E186" s="144"/>
      <c r="F186" s="144"/>
      <c r="G186" s="144"/>
      <c r="H186" s="144"/>
      <c r="I186" s="144"/>
      <c r="J186" s="144"/>
      <c r="K186" s="2"/>
    </row>
    <row r="187" spans="1:11" x14ac:dyDescent="0.2">
      <c r="A187" s="145" t="s">
        <v>1858</v>
      </c>
      <c r="B187" s="145"/>
      <c r="C187" s="144"/>
      <c r="D187" s="144">
        <v>4130</v>
      </c>
      <c r="E187" s="144"/>
      <c r="F187" s="144"/>
      <c r="G187" s="144"/>
      <c r="H187" s="144"/>
      <c r="I187" s="144"/>
      <c r="J187" s="144"/>
      <c r="K187" s="2"/>
    </row>
    <row r="188" spans="1:11" x14ac:dyDescent="0.2">
      <c r="A188" s="145" t="s">
        <v>606</v>
      </c>
      <c r="B188" s="145"/>
      <c r="C188" s="144"/>
      <c r="D188" s="144">
        <v>750</v>
      </c>
      <c r="E188" s="144"/>
      <c r="F188" s="144"/>
      <c r="G188" s="144"/>
      <c r="H188" s="144"/>
      <c r="I188" s="144"/>
      <c r="J188" s="144"/>
      <c r="K188" s="2"/>
    </row>
    <row r="189" spans="1:11" x14ac:dyDescent="0.2">
      <c r="A189" s="144" t="s">
        <v>1533</v>
      </c>
      <c r="B189" s="145"/>
      <c r="C189" s="144"/>
      <c r="D189" s="202">
        <v>750</v>
      </c>
      <c r="E189" s="144"/>
      <c r="F189" s="197"/>
      <c r="G189" s="197"/>
      <c r="H189" s="202"/>
      <c r="I189" s="202"/>
      <c r="J189" s="202"/>
      <c r="K189" s="2"/>
    </row>
    <row r="190" spans="1:11" x14ac:dyDescent="0.2">
      <c r="A190" s="144" t="s">
        <v>1710</v>
      </c>
      <c r="B190" s="145"/>
      <c r="C190" s="144"/>
      <c r="D190" s="202">
        <v>1400</v>
      </c>
      <c r="E190" s="144"/>
      <c r="F190" s="197"/>
      <c r="G190" s="197"/>
      <c r="H190" s="202"/>
      <c r="I190" s="202"/>
      <c r="J190" s="202"/>
      <c r="K190" s="2"/>
    </row>
    <row r="191" spans="1:11" x14ac:dyDescent="0.2">
      <c r="A191" s="144" t="s">
        <v>1788</v>
      </c>
      <c r="B191" s="145"/>
      <c r="C191" s="144"/>
      <c r="D191" s="202">
        <v>280</v>
      </c>
      <c r="E191" s="144"/>
      <c r="F191" s="197"/>
      <c r="G191" s="197"/>
      <c r="H191" s="202"/>
      <c r="I191" s="202"/>
      <c r="J191" s="202"/>
      <c r="K191" s="2"/>
    </row>
    <row r="192" spans="1:11" x14ac:dyDescent="0.2">
      <c r="A192" s="144" t="s">
        <v>1859</v>
      </c>
      <c r="B192" s="145"/>
      <c r="C192" s="144"/>
      <c r="D192" s="202">
        <v>2520</v>
      </c>
      <c r="E192" s="144"/>
      <c r="F192" s="197"/>
      <c r="G192" s="197"/>
      <c r="H192" s="202"/>
      <c r="I192" s="202"/>
      <c r="J192" s="202"/>
      <c r="K192" s="2"/>
    </row>
    <row r="193" spans="1:11" x14ac:dyDescent="0.2">
      <c r="A193" s="145" t="s">
        <v>386</v>
      </c>
      <c r="B193" s="145"/>
      <c r="C193" s="144"/>
      <c r="D193" s="144">
        <v>1</v>
      </c>
      <c r="E193" s="144"/>
      <c r="F193" s="144"/>
      <c r="G193" s="144"/>
      <c r="H193" s="144"/>
      <c r="I193" s="144"/>
      <c r="J193" s="144"/>
      <c r="K193" s="2"/>
    </row>
    <row r="194" spans="1:11" ht="15" x14ac:dyDescent="0.35">
      <c r="A194" s="145" t="s">
        <v>517</v>
      </c>
      <c r="B194" s="145"/>
      <c r="C194" s="148"/>
      <c r="D194" s="148">
        <v>1650</v>
      </c>
      <c r="E194" s="144"/>
      <c r="F194" s="144"/>
      <c r="G194" s="144"/>
      <c r="H194" s="144"/>
      <c r="I194" s="144"/>
      <c r="J194" s="144"/>
      <c r="K194" s="2"/>
    </row>
    <row r="195" spans="1:11" x14ac:dyDescent="0.2">
      <c r="A195" s="145" t="s">
        <v>1073</v>
      </c>
      <c r="B195" s="145"/>
      <c r="C195" s="144"/>
      <c r="D195" s="144">
        <f>SUM(D179:D194)</f>
        <v>14176</v>
      </c>
      <c r="E195" s="144"/>
      <c r="F195" s="144"/>
      <c r="G195" s="144"/>
      <c r="H195" s="144"/>
      <c r="I195" s="144"/>
      <c r="J195" s="144"/>
      <c r="K195" s="2"/>
    </row>
    <row r="196" spans="1:11" x14ac:dyDescent="0.2">
      <c r="A196" s="145"/>
      <c r="B196" s="145"/>
      <c r="C196" s="144"/>
      <c r="D196" s="144"/>
      <c r="E196" s="144"/>
      <c r="F196" s="144"/>
      <c r="G196" s="144"/>
      <c r="H196" s="144"/>
      <c r="I196" s="144"/>
      <c r="J196" s="144"/>
      <c r="K196" s="2"/>
    </row>
    <row r="197" spans="1:11" ht="13.5" x14ac:dyDescent="0.25">
      <c r="A197" s="142" t="s">
        <v>620</v>
      </c>
      <c r="B197" s="145"/>
      <c r="C197" s="144"/>
      <c r="D197" s="144"/>
      <c r="E197" s="144">
        <v>4201</v>
      </c>
      <c r="F197" s="159">
        <v>6200</v>
      </c>
      <c r="G197" s="159">
        <v>6200</v>
      </c>
      <c r="H197" s="159">
        <v>6200</v>
      </c>
      <c r="I197" s="159">
        <v>6200</v>
      </c>
      <c r="J197" s="159">
        <v>6200</v>
      </c>
      <c r="K197" s="2"/>
    </row>
    <row r="198" spans="1:11" x14ac:dyDescent="0.2">
      <c r="A198" s="145" t="s">
        <v>646</v>
      </c>
      <c r="B198" s="145"/>
      <c r="C198" s="144"/>
      <c r="D198" s="144">
        <v>1400</v>
      </c>
      <c r="E198" s="144"/>
      <c r="F198" s="144"/>
      <c r="G198" s="144"/>
      <c r="H198" s="144"/>
      <c r="I198" s="144"/>
      <c r="J198" s="144"/>
      <c r="K198" s="2"/>
    </row>
    <row r="199" spans="1:11" x14ac:dyDescent="0.2">
      <c r="A199" s="145" t="s">
        <v>348</v>
      </c>
      <c r="B199" s="145"/>
      <c r="C199" s="144"/>
      <c r="D199" s="144">
        <v>1400</v>
      </c>
      <c r="E199" s="144"/>
      <c r="F199" s="144"/>
      <c r="G199" s="144"/>
      <c r="H199" s="144"/>
      <c r="I199" s="144"/>
      <c r="J199" s="144"/>
      <c r="K199" s="2"/>
    </row>
    <row r="200" spans="1:11" ht="15" x14ac:dyDescent="0.35">
      <c r="A200" s="145" t="s">
        <v>1162</v>
      </c>
      <c r="B200" s="145"/>
      <c r="C200" s="148"/>
      <c r="D200" s="144">
        <v>2400</v>
      </c>
      <c r="E200" s="144"/>
      <c r="F200" s="144"/>
      <c r="G200" s="144"/>
      <c r="H200" s="144"/>
      <c r="I200" s="144"/>
      <c r="J200" s="144"/>
      <c r="K200" s="2"/>
    </row>
    <row r="201" spans="1:11" ht="15" x14ac:dyDescent="0.35">
      <c r="A201" s="145" t="s">
        <v>1789</v>
      </c>
      <c r="B201" s="145"/>
      <c r="C201" s="148"/>
      <c r="D201" s="148">
        <v>1000</v>
      </c>
      <c r="E201" s="144" t="s">
        <v>345</v>
      </c>
      <c r="F201" s="144"/>
      <c r="G201" s="144"/>
      <c r="H201" s="144"/>
      <c r="I201" s="144"/>
      <c r="J201" s="144"/>
      <c r="K201" s="2"/>
    </row>
    <row r="202" spans="1:11" x14ac:dyDescent="0.2">
      <c r="A202" s="145" t="s">
        <v>1073</v>
      </c>
      <c r="B202" s="145"/>
      <c r="C202" s="144"/>
      <c r="D202" s="144">
        <f>SUM(D198:D201)</f>
        <v>6200</v>
      </c>
      <c r="E202" s="144"/>
      <c r="F202" s="144"/>
      <c r="G202" s="144"/>
      <c r="H202" s="144"/>
      <c r="I202" s="144"/>
      <c r="J202" s="144"/>
      <c r="K202" s="2"/>
    </row>
    <row r="203" spans="1:11" x14ac:dyDescent="0.2">
      <c r="A203" s="145"/>
      <c r="B203" s="145"/>
      <c r="C203" s="144"/>
      <c r="D203" s="144"/>
      <c r="E203" s="144"/>
      <c r="F203" s="144"/>
      <c r="G203" s="144"/>
      <c r="H203" s="144"/>
      <c r="I203" s="144"/>
      <c r="J203" s="144"/>
      <c r="K203" s="2"/>
    </row>
    <row r="204" spans="1:11" ht="13.5" x14ac:dyDescent="0.25">
      <c r="A204" s="142" t="s">
        <v>1163</v>
      </c>
      <c r="B204" s="145"/>
      <c r="C204" s="144"/>
      <c r="D204" s="144"/>
      <c r="E204" s="144">
        <v>1469</v>
      </c>
      <c r="F204" s="144">
        <v>1500</v>
      </c>
      <c r="G204" s="144">
        <v>1500</v>
      </c>
      <c r="H204" s="144">
        <v>1500</v>
      </c>
      <c r="I204" s="144">
        <v>1500</v>
      </c>
      <c r="J204" s="144">
        <v>1500</v>
      </c>
      <c r="K204" s="2"/>
    </row>
    <row r="205" spans="1:11" x14ac:dyDescent="0.2">
      <c r="A205" s="145" t="s">
        <v>1506</v>
      </c>
      <c r="B205" s="145"/>
      <c r="C205" s="144"/>
      <c r="D205" s="144">
        <v>1500</v>
      </c>
      <c r="E205" s="144"/>
      <c r="F205" s="144"/>
      <c r="G205" s="144"/>
      <c r="H205" s="144"/>
      <c r="I205" s="144"/>
      <c r="J205" s="144"/>
      <c r="K205" s="2"/>
    </row>
    <row r="206" spans="1:11" x14ac:dyDescent="0.2">
      <c r="A206" s="145"/>
      <c r="B206" s="145"/>
      <c r="C206" s="144"/>
      <c r="D206" s="144"/>
      <c r="E206" s="144"/>
      <c r="F206" s="144"/>
      <c r="G206" s="144"/>
      <c r="H206" s="144"/>
      <c r="I206" s="144"/>
      <c r="J206" s="144"/>
      <c r="K206" s="2"/>
    </row>
    <row r="207" spans="1:11" ht="13.5" x14ac:dyDescent="0.25">
      <c r="A207" s="142" t="s">
        <v>503</v>
      </c>
      <c r="B207" s="145"/>
      <c r="C207" s="144"/>
      <c r="D207" s="144"/>
      <c r="E207" s="144">
        <v>107848</v>
      </c>
      <c r="F207" s="144">
        <v>125558</v>
      </c>
      <c r="G207" s="144">
        <v>125058</v>
      </c>
      <c r="H207" s="144">
        <v>125058</v>
      </c>
      <c r="I207" s="144">
        <v>125058</v>
      </c>
      <c r="J207" s="144">
        <v>125058</v>
      </c>
      <c r="K207" s="2"/>
    </row>
    <row r="208" spans="1:11" x14ac:dyDescent="0.2">
      <c r="A208" s="145" t="s">
        <v>1413</v>
      </c>
      <c r="B208" s="145"/>
      <c r="C208" s="144"/>
      <c r="D208" s="144">
        <v>12000</v>
      </c>
      <c r="E208" s="144" t="s">
        <v>345</v>
      </c>
      <c r="F208" s="144"/>
      <c r="G208" s="144"/>
      <c r="H208" s="144"/>
      <c r="I208" s="144"/>
      <c r="J208" s="144"/>
      <c r="K208" s="2"/>
    </row>
    <row r="209" spans="1:11" x14ac:dyDescent="0.2">
      <c r="A209" s="145" t="s">
        <v>1414</v>
      </c>
      <c r="B209" s="145"/>
      <c r="C209" s="144"/>
      <c r="D209" s="144">
        <v>8000</v>
      </c>
      <c r="E209" s="144"/>
      <c r="F209" s="144"/>
      <c r="G209" s="144"/>
      <c r="H209" s="144"/>
      <c r="I209" s="144"/>
      <c r="J209" s="144"/>
      <c r="K209" s="2"/>
    </row>
    <row r="210" spans="1:11" x14ac:dyDescent="0.2">
      <c r="A210" s="145" t="s">
        <v>1860</v>
      </c>
      <c r="B210" s="145"/>
      <c r="C210" s="144"/>
      <c r="D210" s="144">
        <v>1300</v>
      </c>
      <c r="E210" s="144"/>
      <c r="F210" s="144"/>
      <c r="G210" s="144"/>
      <c r="H210" s="144"/>
      <c r="I210" s="144"/>
      <c r="J210" s="144"/>
      <c r="K210" s="2"/>
    </row>
    <row r="211" spans="1:11" x14ac:dyDescent="0.2">
      <c r="A211" s="145" t="s">
        <v>1861</v>
      </c>
      <c r="B211" s="145"/>
      <c r="C211" s="144"/>
      <c r="D211" s="144">
        <v>3478</v>
      </c>
      <c r="E211" s="144"/>
      <c r="F211" s="144"/>
      <c r="G211" s="144"/>
      <c r="H211" s="144"/>
      <c r="I211" s="144"/>
      <c r="J211" s="144"/>
      <c r="K211" s="2"/>
    </row>
    <row r="212" spans="1:11" x14ac:dyDescent="0.2">
      <c r="A212" s="145" t="s">
        <v>1862</v>
      </c>
      <c r="B212" s="145"/>
      <c r="C212" s="144"/>
      <c r="D212" s="144">
        <v>1000</v>
      </c>
      <c r="E212" s="144"/>
      <c r="F212" s="144"/>
      <c r="G212" s="144"/>
      <c r="H212" s="144"/>
      <c r="I212" s="144"/>
      <c r="J212" s="144"/>
      <c r="K212" s="2"/>
    </row>
    <row r="213" spans="1:11" x14ac:dyDescent="0.2">
      <c r="A213" s="145" t="s">
        <v>223</v>
      </c>
      <c r="B213" s="145"/>
      <c r="C213" s="144"/>
      <c r="D213" s="144">
        <v>2500</v>
      </c>
      <c r="E213" s="144"/>
      <c r="F213" s="144"/>
      <c r="G213" s="144"/>
      <c r="H213" s="144"/>
      <c r="I213" s="144"/>
      <c r="J213" s="144"/>
      <c r="K213" s="2"/>
    </row>
    <row r="214" spans="1:11" x14ac:dyDescent="0.2">
      <c r="A214" s="145" t="s">
        <v>1415</v>
      </c>
      <c r="B214" s="145"/>
      <c r="C214" s="144"/>
      <c r="D214" s="144">
        <v>3000</v>
      </c>
      <c r="E214" s="144"/>
      <c r="F214" s="144"/>
      <c r="G214" s="144"/>
      <c r="H214" s="144"/>
      <c r="I214" s="144"/>
      <c r="J214" s="144"/>
      <c r="K214" s="2"/>
    </row>
    <row r="215" spans="1:11" x14ac:dyDescent="0.2">
      <c r="A215" s="145" t="s">
        <v>1790</v>
      </c>
      <c r="B215" s="145"/>
      <c r="C215" s="144"/>
      <c r="D215" s="144">
        <v>4500</v>
      </c>
      <c r="E215" s="144"/>
      <c r="F215" s="144"/>
      <c r="G215" s="144"/>
      <c r="H215" s="144"/>
      <c r="I215" s="144"/>
      <c r="J215" s="144"/>
      <c r="K215" s="2"/>
    </row>
    <row r="216" spans="1:11" x14ac:dyDescent="0.2">
      <c r="A216" s="145" t="s">
        <v>1416</v>
      </c>
      <c r="B216" s="145"/>
      <c r="C216" s="144"/>
      <c r="D216" s="144">
        <v>2000</v>
      </c>
      <c r="E216" s="144"/>
      <c r="F216" s="144"/>
      <c r="G216" s="144"/>
      <c r="H216" s="144"/>
      <c r="I216" s="144"/>
      <c r="J216" s="144"/>
      <c r="K216" s="2"/>
    </row>
    <row r="217" spans="1:11" x14ac:dyDescent="0.2">
      <c r="A217" s="145" t="s">
        <v>1417</v>
      </c>
      <c r="B217" s="145"/>
      <c r="C217" s="144"/>
      <c r="D217" s="144">
        <v>500</v>
      </c>
      <c r="E217" s="144"/>
      <c r="F217" s="144"/>
      <c r="G217" s="144"/>
      <c r="H217" s="144"/>
      <c r="I217" s="144"/>
      <c r="J217" s="144"/>
      <c r="K217" s="2"/>
    </row>
    <row r="218" spans="1:11" x14ac:dyDescent="0.2">
      <c r="A218" s="145" t="s">
        <v>1863</v>
      </c>
      <c r="B218" s="145"/>
      <c r="C218" s="144"/>
      <c r="D218" s="144">
        <v>32000</v>
      </c>
      <c r="E218" s="144"/>
      <c r="F218" s="144"/>
      <c r="G218" s="144"/>
      <c r="H218" s="144"/>
      <c r="I218" s="144"/>
      <c r="J218" s="144"/>
      <c r="K218" s="2"/>
    </row>
    <row r="219" spans="1:11" x14ac:dyDescent="0.2">
      <c r="A219" s="145" t="s">
        <v>1864</v>
      </c>
      <c r="B219" s="145"/>
      <c r="C219" s="144"/>
      <c r="D219" s="144">
        <v>1500</v>
      </c>
      <c r="E219" s="144"/>
      <c r="F219" s="144"/>
      <c r="G219" s="144"/>
      <c r="H219" s="144"/>
      <c r="I219" s="144"/>
      <c r="J219" s="144"/>
      <c r="K219" s="2"/>
    </row>
    <row r="220" spans="1:11" x14ac:dyDescent="0.2">
      <c r="A220" s="145" t="s">
        <v>1865</v>
      </c>
      <c r="B220" s="145"/>
      <c r="C220" s="186"/>
      <c r="D220" s="144">
        <v>15000</v>
      </c>
      <c r="E220" s="144"/>
      <c r="F220" s="144"/>
      <c r="G220" s="144"/>
      <c r="H220" s="144"/>
      <c r="I220" s="144"/>
      <c r="J220" s="144"/>
      <c r="K220" s="2"/>
    </row>
    <row r="221" spans="1:11" x14ac:dyDescent="0.2">
      <c r="A221" s="145" t="s">
        <v>1711</v>
      </c>
      <c r="B221" s="144"/>
      <c r="C221" s="144"/>
      <c r="D221" s="144">
        <v>5000</v>
      </c>
      <c r="E221" s="144"/>
      <c r="F221" s="144"/>
      <c r="G221" s="144"/>
      <c r="H221" s="144"/>
      <c r="I221" s="144"/>
      <c r="J221" s="144"/>
      <c r="K221" s="2"/>
    </row>
    <row r="222" spans="1:11" x14ac:dyDescent="0.2">
      <c r="A222" s="145" t="s">
        <v>1497</v>
      </c>
      <c r="B222" s="144"/>
      <c r="C222" s="144"/>
      <c r="D222" s="144">
        <v>7200</v>
      </c>
      <c r="E222" s="144"/>
      <c r="F222" s="144"/>
      <c r="G222" s="144"/>
      <c r="H222" s="144"/>
      <c r="I222" s="144"/>
      <c r="J222" s="144"/>
      <c r="K222" s="2"/>
    </row>
    <row r="223" spans="1:11" x14ac:dyDescent="0.2">
      <c r="A223" s="145" t="s">
        <v>647</v>
      </c>
      <c r="B223" s="144"/>
      <c r="C223" s="144"/>
      <c r="D223" s="144">
        <v>7080</v>
      </c>
      <c r="E223" s="144"/>
      <c r="F223" s="144"/>
      <c r="G223" s="144"/>
      <c r="H223" s="144"/>
      <c r="I223" s="144"/>
      <c r="J223" s="144"/>
      <c r="K223" s="2"/>
    </row>
    <row r="224" spans="1:11" x14ac:dyDescent="0.2">
      <c r="A224" s="145" t="s">
        <v>1866</v>
      </c>
      <c r="B224" s="144"/>
      <c r="C224" s="144"/>
      <c r="D224" s="144">
        <v>900</v>
      </c>
      <c r="E224" s="144"/>
      <c r="F224" s="144"/>
      <c r="G224" s="144"/>
      <c r="H224" s="144"/>
      <c r="I224" s="144"/>
      <c r="J224" s="144"/>
      <c r="K224" s="2"/>
    </row>
    <row r="225" spans="1:11" x14ac:dyDescent="0.2">
      <c r="A225" s="145" t="s">
        <v>1418</v>
      </c>
      <c r="B225" s="144"/>
      <c r="C225" s="144"/>
      <c r="D225" s="144">
        <v>700</v>
      </c>
      <c r="E225" s="144" t="s">
        <v>345</v>
      </c>
      <c r="F225" s="144"/>
      <c r="G225" s="144"/>
      <c r="H225" s="144"/>
      <c r="I225" s="144"/>
      <c r="J225" s="144"/>
      <c r="K225" s="2"/>
    </row>
    <row r="226" spans="1:11" x14ac:dyDescent="0.2">
      <c r="A226" s="145" t="s">
        <v>1419</v>
      </c>
      <c r="B226" s="144"/>
      <c r="C226" s="144"/>
      <c r="D226" s="144">
        <v>2000</v>
      </c>
      <c r="E226" s="144"/>
      <c r="F226" s="144"/>
      <c r="G226" s="144"/>
      <c r="H226" s="144"/>
      <c r="I226" s="144"/>
      <c r="J226" s="144"/>
      <c r="K226" s="2"/>
    </row>
    <row r="227" spans="1:11" x14ac:dyDescent="0.2">
      <c r="A227" s="145" t="s">
        <v>1640</v>
      </c>
      <c r="B227" s="144"/>
      <c r="C227" s="144"/>
      <c r="D227" s="144">
        <v>3000</v>
      </c>
      <c r="E227" s="144"/>
      <c r="F227" s="144"/>
      <c r="G227" s="144"/>
      <c r="H227" s="144"/>
      <c r="I227" s="144"/>
      <c r="J227" s="144"/>
      <c r="K227" s="2"/>
    </row>
    <row r="228" spans="1:11" ht="15" x14ac:dyDescent="0.35">
      <c r="A228" s="145" t="s">
        <v>1641</v>
      </c>
      <c r="B228" s="148"/>
      <c r="C228" s="148"/>
      <c r="D228" s="144">
        <v>4400</v>
      </c>
      <c r="E228" s="144" t="s">
        <v>345</v>
      </c>
      <c r="F228" s="144"/>
      <c r="G228" s="144"/>
      <c r="H228" s="144"/>
      <c r="I228" s="144"/>
      <c r="J228" s="144"/>
      <c r="K228" s="2"/>
    </row>
    <row r="229" spans="1:11" ht="15" x14ac:dyDescent="0.35">
      <c r="A229" s="145" t="s">
        <v>1832</v>
      </c>
      <c r="B229" s="148"/>
      <c r="C229" s="148"/>
      <c r="D229" s="144">
        <v>6000</v>
      </c>
      <c r="E229" s="144"/>
      <c r="F229" s="144"/>
      <c r="G229" s="144"/>
      <c r="H229" s="144"/>
      <c r="I229" s="144"/>
      <c r="J229" s="144"/>
      <c r="K229" s="2"/>
    </row>
    <row r="230" spans="1:11" ht="15" x14ac:dyDescent="0.35">
      <c r="A230" s="145" t="s">
        <v>1833</v>
      </c>
      <c r="B230" s="145" t="s">
        <v>345</v>
      </c>
      <c r="C230" s="148"/>
      <c r="D230" s="148">
        <v>2000</v>
      </c>
      <c r="E230" s="144"/>
      <c r="F230" s="144"/>
      <c r="G230" s="144"/>
      <c r="H230" s="144"/>
      <c r="I230" s="144"/>
      <c r="J230" s="144"/>
      <c r="K230" s="2"/>
    </row>
    <row r="231" spans="1:11" x14ac:dyDescent="0.2">
      <c r="A231" s="145" t="s">
        <v>1341</v>
      </c>
      <c r="B231" s="145"/>
      <c r="C231" s="144"/>
      <c r="D231" s="144">
        <f>SUM(D208:D230)</f>
        <v>125058</v>
      </c>
      <c r="E231" s="144"/>
      <c r="F231" s="144"/>
      <c r="G231" s="144"/>
      <c r="H231" s="144"/>
      <c r="I231" s="144"/>
      <c r="J231" s="144"/>
      <c r="K231" s="2"/>
    </row>
    <row r="232" spans="1:11" x14ac:dyDescent="0.2">
      <c r="A232" s="145"/>
      <c r="B232" s="145"/>
      <c r="C232" s="144"/>
      <c r="D232" s="144"/>
      <c r="E232" s="144"/>
      <c r="F232" s="144"/>
      <c r="G232" s="144"/>
      <c r="H232" s="144"/>
      <c r="I232" s="144"/>
      <c r="J232" s="144"/>
      <c r="K232" s="2"/>
    </row>
    <row r="233" spans="1:11" s="198" customFormat="1" ht="13.5" x14ac:dyDescent="0.25">
      <c r="A233" s="142" t="s">
        <v>1984</v>
      </c>
      <c r="B233" s="145"/>
      <c r="C233" s="144"/>
      <c r="D233" s="144"/>
      <c r="E233" s="144"/>
      <c r="F233" s="144"/>
      <c r="G233" s="144"/>
      <c r="H233" s="144"/>
      <c r="I233" s="144"/>
      <c r="J233" s="144"/>
      <c r="K233" s="2"/>
    </row>
    <row r="234" spans="1:11" s="198" customFormat="1" x14ac:dyDescent="0.2">
      <c r="A234" s="145"/>
      <c r="B234" s="145"/>
      <c r="C234" s="144"/>
      <c r="D234" s="144">
        <v>0</v>
      </c>
      <c r="E234" s="144">
        <v>35</v>
      </c>
      <c r="F234" s="144">
        <v>0</v>
      </c>
      <c r="G234" s="144">
        <v>0</v>
      </c>
      <c r="H234" s="144">
        <v>0</v>
      </c>
      <c r="I234" s="144">
        <v>0</v>
      </c>
      <c r="J234" s="144">
        <v>0</v>
      </c>
      <c r="K234" s="2"/>
    </row>
    <row r="235" spans="1:11" s="198" customFormat="1" x14ac:dyDescent="0.2">
      <c r="A235" s="145"/>
      <c r="B235" s="145"/>
      <c r="C235" s="144"/>
      <c r="D235" s="144"/>
      <c r="E235" s="144"/>
      <c r="F235" s="144"/>
      <c r="G235" s="144"/>
      <c r="H235" s="144"/>
      <c r="I235" s="144"/>
      <c r="J235" s="144"/>
      <c r="K235" s="2"/>
    </row>
    <row r="236" spans="1:11" ht="13.5" x14ac:dyDescent="0.25">
      <c r="A236" s="142" t="s">
        <v>225</v>
      </c>
      <c r="B236" s="145"/>
      <c r="C236" s="144"/>
      <c r="D236" s="144"/>
      <c r="E236" s="144"/>
      <c r="F236" s="144"/>
      <c r="G236" s="144"/>
      <c r="H236" s="144"/>
      <c r="I236" s="144"/>
      <c r="J236" s="144"/>
      <c r="K236" s="2"/>
    </row>
    <row r="237" spans="1:11" x14ac:dyDescent="0.2">
      <c r="A237" s="145" t="s">
        <v>106</v>
      </c>
      <c r="B237" s="145"/>
      <c r="C237" s="144"/>
      <c r="D237" s="144">
        <v>0</v>
      </c>
      <c r="E237" s="144">
        <v>0</v>
      </c>
      <c r="F237" s="144">
        <v>0</v>
      </c>
      <c r="G237" s="144">
        <v>0</v>
      </c>
      <c r="H237" s="144">
        <v>0</v>
      </c>
      <c r="I237" s="144">
        <v>0</v>
      </c>
      <c r="J237" s="144">
        <v>0</v>
      </c>
      <c r="K237" s="2"/>
    </row>
    <row r="238" spans="1:11" x14ac:dyDescent="0.2">
      <c r="A238" s="145"/>
      <c r="B238" s="145"/>
      <c r="C238" s="144"/>
      <c r="D238" s="144"/>
      <c r="E238" s="144"/>
      <c r="F238" s="144"/>
      <c r="G238" s="144"/>
      <c r="H238" s="144"/>
      <c r="I238" s="144"/>
      <c r="J238" s="144"/>
      <c r="K238" s="2"/>
    </row>
    <row r="239" spans="1:11" ht="13.5" x14ac:dyDescent="0.25">
      <c r="A239" s="142" t="s">
        <v>390</v>
      </c>
      <c r="B239" s="145"/>
      <c r="C239" s="144"/>
      <c r="D239" s="144"/>
      <c r="E239" s="144">
        <v>48233</v>
      </c>
      <c r="F239" s="144">
        <v>2000</v>
      </c>
      <c r="G239" s="144">
        <v>2000</v>
      </c>
      <c r="H239" s="144">
        <v>2000</v>
      </c>
      <c r="I239" s="144">
        <v>2000</v>
      </c>
      <c r="J239" s="144">
        <v>2000</v>
      </c>
      <c r="K239" s="2"/>
    </row>
    <row r="240" spans="1:11" x14ac:dyDescent="0.2">
      <c r="A240" s="145" t="s">
        <v>217</v>
      </c>
      <c r="B240" s="145"/>
      <c r="C240" s="144"/>
      <c r="D240" s="144">
        <v>2000</v>
      </c>
      <c r="E240" s="144"/>
      <c r="F240" s="144"/>
      <c r="G240" s="144"/>
      <c r="H240" s="144"/>
      <c r="I240" s="144"/>
      <c r="J240" s="144"/>
      <c r="K240" s="2"/>
    </row>
    <row r="241" spans="1:11" s="233" customFormat="1" x14ac:dyDescent="0.2">
      <c r="A241" s="145"/>
      <c r="B241" s="145"/>
      <c r="C241" s="144"/>
      <c r="D241" s="144"/>
      <c r="E241" s="144"/>
      <c r="F241" s="144"/>
      <c r="G241" s="144"/>
      <c r="H241" s="144"/>
      <c r="I241" s="144"/>
      <c r="J241" s="144"/>
      <c r="K241" s="2"/>
    </row>
    <row r="242" spans="1:11" s="233" customFormat="1" ht="13.5" x14ac:dyDescent="0.25">
      <c r="A242" s="142" t="s">
        <v>1175</v>
      </c>
      <c r="B242" s="144"/>
      <c r="C242" s="144"/>
      <c r="D242" s="144"/>
      <c r="E242" s="144"/>
      <c r="F242" s="144"/>
      <c r="G242" s="144"/>
      <c r="H242" s="144"/>
      <c r="I242" s="144"/>
      <c r="J242" s="144"/>
      <c r="K242" s="2"/>
    </row>
    <row r="243" spans="1:11" s="233" customFormat="1" x14ac:dyDescent="0.2">
      <c r="A243" s="145" t="s">
        <v>44</v>
      </c>
      <c r="B243" s="144"/>
      <c r="C243" s="144">
        <v>75000</v>
      </c>
      <c r="D243" s="144"/>
      <c r="E243" s="144"/>
      <c r="F243" s="144"/>
      <c r="G243" s="144"/>
      <c r="H243" s="144"/>
      <c r="I243" s="144"/>
      <c r="J243" s="144">
        <v>75000</v>
      </c>
      <c r="K243" s="2"/>
    </row>
    <row r="244" spans="1:11" s="233" customFormat="1" x14ac:dyDescent="0.2">
      <c r="A244" s="145"/>
      <c r="B244" s="145"/>
      <c r="C244" s="144"/>
      <c r="D244" s="144"/>
      <c r="E244" s="144"/>
      <c r="F244" s="144"/>
      <c r="G244" s="144"/>
      <c r="H244" s="144"/>
      <c r="I244" s="144"/>
      <c r="J244" s="144"/>
      <c r="K244" s="2"/>
    </row>
    <row r="245" spans="1:11" s="233" customFormat="1" x14ac:dyDescent="0.2">
      <c r="A245" s="145"/>
      <c r="B245" s="145"/>
      <c r="C245" s="144"/>
      <c r="D245" s="144"/>
      <c r="E245" s="144"/>
      <c r="F245" s="144"/>
      <c r="G245" s="144"/>
      <c r="H245" s="144"/>
      <c r="I245" s="144"/>
      <c r="J245" s="144"/>
      <c r="K245" s="2"/>
    </row>
    <row r="246" spans="1:11" x14ac:dyDescent="0.2">
      <c r="A246" s="145"/>
      <c r="B246" s="145"/>
      <c r="C246" s="144"/>
      <c r="D246" s="144"/>
      <c r="E246" s="144"/>
      <c r="F246" s="144"/>
      <c r="G246" s="144"/>
      <c r="H246" s="144"/>
      <c r="I246" s="144"/>
      <c r="J246" s="144"/>
      <c r="K246" s="2"/>
    </row>
    <row r="247" spans="1:11" x14ac:dyDescent="0.2">
      <c r="A247" s="145"/>
      <c r="B247" s="144"/>
      <c r="C247" s="144"/>
      <c r="D247" s="144"/>
      <c r="E247" s="160"/>
      <c r="F247" s="160"/>
      <c r="G247" s="161"/>
      <c r="H247" s="161"/>
      <c r="I247" s="161"/>
      <c r="J247" s="162"/>
      <c r="K247" s="2"/>
    </row>
    <row r="248" spans="1:11" x14ac:dyDescent="0.2">
      <c r="A248" s="145" t="s">
        <v>1791</v>
      </c>
      <c r="B248" s="145"/>
      <c r="C248" s="144"/>
      <c r="D248" s="144"/>
      <c r="E248" s="144">
        <f t="shared" ref="E248:J248" si="3">SUM(E6:E246)</f>
        <v>1109820</v>
      </c>
      <c r="F248" s="144">
        <f t="shared" si="3"/>
        <v>1137155.5017440002</v>
      </c>
      <c r="G248" s="144">
        <f t="shared" si="3"/>
        <v>1147728</v>
      </c>
      <c r="H248" s="144">
        <f t="shared" si="3"/>
        <v>1147728</v>
      </c>
      <c r="I248" s="144">
        <f t="shared" ref="I248" si="4">SUM(I6:I246)</f>
        <v>1147728</v>
      </c>
      <c r="J248" s="144">
        <f t="shared" si="3"/>
        <v>1222728</v>
      </c>
      <c r="K248" s="2"/>
    </row>
    <row r="249" spans="1:11" x14ac:dyDescent="0.2">
      <c r="A249" s="164" t="s">
        <v>1172</v>
      </c>
      <c r="B249" s="145"/>
      <c r="C249" s="144"/>
      <c r="D249" s="144"/>
      <c r="E249" s="144">
        <v>12000</v>
      </c>
      <c r="F249" s="144">
        <v>12000</v>
      </c>
      <c r="G249" s="144">
        <v>12000</v>
      </c>
      <c r="H249" s="144">
        <v>12000</v>
      </c>
      <c r="I249" s="144">
        <v>12000</v>
      </c>
      <c r="J249" s="144">
        <v>12000</v>
      </c>
      <c r="K249" s="2"/>
    </row>
    <row r="250" spans="1:11" ht="15" x14ac:dyDescent="0.35">
      <c r="A250" s="145" t="s">
        <v>1468</v>
      </c>
      <c r="B250" s="145"/>
      <c r="C250" s="144"/>
      <c r="D250" s="144"/>
      <c r="E250" s="148"/>
      <c r="F250" s="148"/>
      <c r="G250" s="148"/>
      <c r="H250" s="148"/>
      <c r="I250" s="148"/>
      <c r="J250" s="148"/>
      <c r="K250" s="2"/>
    </row>
    <row r="251" spans="1:11" x14ac:dyDescent="0.2">
      <c r="A251" s="145"/>
      <c r="B251" s="145"/>
      <c r="C251" s="144"/>
      <c r="D251" s="144"/>
      <c r="E251" s="144"/>
      <c r="F251" s="144"/>
      <c r="G251" s="144"/>
      <c r="H251" s="144"/>
      <c r="I251" s="144"/>
      <c r="J251" s="144"/>
      <c r="K251" s="2"/>
    </row>
    <row r="252" spans="1:11" x14ac:dyDescent="0.2">
      <c r="A252" s="145" t="s">
        <v>1171</v>
      </c>
      <c r="B252" s="145"/>
      <c r="C252" s="144"/>
      <c r="D252" s="144"/>
      <c r="E252" s="144">
        <f t="shared" ref="E252:J252" si="5">+E248-E253+E250</f>
        <v>1097820</v>
      </c>
      <c r="F252" s="144">
        <f t="shared" si="5"/>
        <v>1125155.5017440002</v>
      </c>
      <c r="G252" s="144">
        <f t="shared" si="5"/>
        <v>1135728</v>
      </c>
      <c r="H252" s="144">
        <f t="shared" ref="H252:I252" si="6">+H248-H253+H250</f>
        <v>1135728</v>
      </c>
      <c r="I252" s="144">
        <f t="shared" si="6"/>
        <v>1135728</v>
      </c>
      <c r="J252" s="144">
        <f t="shared" si="5"/>
        <v>1210728</v>
      </c>
      <c r="K252" s="2"/>
    </row>
    <row r="253" spans="1:11" x14ac:dyDescent="0.2">
      <c r="A253" s="145" t="s">
        <v>1172</v>
      </c>
      <c r="B253" s="145"/>
      <c r="C253" s="144"/>
      <c r="D253" s="144"/>
      <c r="E253" s="144">
        <f>SUM(E249:E249)</f>
        <v>12000</v>
      </c>
      <c r="F253" s="144">
        <v>12000</v>
      </c>
      <c r="G253" s="144">
        <v>12000</v>
      </c>
      <c r="H253" s="144">
        <v>12000</v>
      </c>
      <c r="I253" s="144">
        <v>12000</v>
      </c>
      <c r="J253" s="144">
        <v>12000</v>
      </c>
      <c r="K253" s="2"/>
    </row>
    <row r="254" spans="1:11" x14ac:dyDescent="0.2">
      <c r="A254" s="145"/>
      <c r="B254" s="145"/>
      <c r="C254" s="145"/>
      <c r="D254" s="145"/>
      <c r="E254" s="145"/>
      <c r="F254" s="145"/>
      <c r="G254" s="144"/>
      <c r="H254" s="144"/>
      <c r="I254" s="144"/>
      <c r="J254" s="144"/>
      <c r="K254" s="2"/>
    </row>
    <row r="255" spans="1:11" x14ac:dyDescent="0.2">
      <c r="A255" s="145" t="s">
        <v>519</v>
      </c>
      <c r="B255" s="145"/>
      <c r="C255" s="145"/>
      <c r="D255" s="145"/>
      <c r="E255" s="144">
        <f>SUM(E6:E93)</f>
        <v>790654</v>
      </c>
      <c r="F255" s="144">
        <f>SUM(F6:F93)</f>
        <v>860472.50174400012</v>
      </c>
      <c r="G255" s="144">
        <f>SUM(G6:G94)</f>
        <v>871904</v>
      </c>
      <c r="H255" s="144">
        <f>SUM(H6:H94)</f>
        <v>871904</v>
      </c>
      <c r="I255" s="144">
        <f>SUM(I6:I94)</f>
        <v>871904</v>
      </c>
      <c r="J255" s="144">
        <f>SUM(J6:J94)</f>
        <v>871904</v>
      </c>
      <c r="K255" s="2"/>
    </row>
    <row r="256" spans="1:11" x14ac:dyDescent="0.2">
      <c r="A256" s="145" t="s">
        <v>809</v>
      </c>
      <c r="B256" s="145"/>
      <c r="C256" s="145"/>
      <c r="D256" s="145"/>
      <c r="E256" s="144">
        <f>SUM(E96:E234)</f>
        <v>270933</v>
      </c>
      <c r="F256" s="144">
        <f>SUM(F96:F234)</f>
        <v>274683</v>
      </c>
      <c r="G256" s="144">
        <f>SUM(G96:G234)</f>
        <v>273824</v>
      </c>
      <c r="H256" s="144">
        <f>SUM(H96:H234)</f>
        <v>273824</v>
      </c>
      <c r="I256" s="144">
        <f>SUM(I96:I234)</f>
        <v>273824</v>
      </c>
      <c r="J256" s="144">
        <f>SUM(J95:J231)</f>
        <v>273824</v>
      </c>
      <c r="K256" s="2"/>
    </row>
    <row r="257" spans="1:11" ht="15" x14ac:dyDescent="0.35">
      <c r="A257" s="145" t="s">
        <v>810</v>
      </c>
      <c r="B257" s="145"/>
      <c r="C257" s="145"/>
      <c r="D257" s="145"/>
      <c r="E257" s="148">
        <f>SUM(E237:E246)</f>
        <v>48233</v>
      </c>
      <c r="F257" s="148">
        <f>SUM(F236:F246)</f>
        <v>2000</v>
      </c>
      <c r="G257" s="148">
        <f>SUM(G236:G246)</f>
        <v>2000</v>
      </c>
      <c r="H257" s="148">
        <f>SUM(H236:H246)</f>
        <v>2000</v>
      </c>
      <c r="I257" s="148">
        <f>SUM(I236:I246)</f>
        <v>2000</v>
      </c>
      <c r="J257" s="148">
        <f>SUM(J236:J246)</f>
        <v>77000</v>
      </c>
      <c r="K257" s="2"/>
    </row>
    <row r="258" spans="1:11" x14ac:dyDescent="0.2">
      <c r="A258" s="164" t="s">
        <v>1341</v>
      </c>
      <c r="B258" s="164"/>
      <c r="C258" s="164"/>
      <c r="D258" s="164"/>
      <c r="E258" s="163">
        <f t="shared" ref="E258:J258" si="7">SUM(E255:E257)</f>
        <v>1109820</v>
      </c>
      <c r="F258" s="163">
        <f t="shared" si="7"/>
        <v>1137155.5017440002</v>
      </c>
      <c r="G258" s="163">
        <f t="shared" si="7"/>
        <v>1147728</v>
      </c>
      <c r="H258" s="163">
        <f t="shared" ref="H258:I258" si="8">SUM(H255:H257)</f>
        <v>1147728</v>
      </c>
      <c r="I258" s="163">
        <f t="shared" si="8"/>
        <v>1147728</v>
      </c>
      <c r="J258" s="163">
        <f t="shared" si="7"/>
        <v>1222728</v>
      </c>
      <c r="K258" s="2"/>
    </row>
    <row r="259" spans="1:11" x14ac:dyDescent="0.2">
      <c r="A259" s="72"/>
      <c r="B259" s="72"/>
      <c r="C259" s="72"/>
      <c r="D259" s="72"/>
      <c r="E259" s="72"/>
      <c r="F259" s="72"/>
      <c r="G259" s="71"/>
      <c r="H259" s="71"/>
      <c r="I259" s="71"/>
      <c r="J259" s="71"/>
      <c r="K259" s="2"/>
    </row>
    <row r="260" spans="1:11" x14ac:dyDescent="0.2">
      <c r="A260" s="48"/>
      <c r="B260" s="48"/>
      <c r="C260" s="48"/>
      <c r="H260" s="227"/>
      <c r="I260" s="231"/>
      <c r="K260" s="2"/>
    </row>
    <row r="261" spans="1:11" x14ac:dyDescent="0.2">
      <c r="A261" s="48"/>
      <c r="B261" s="48"/>
      <c r="C261" s="48"/>
      <c r="H261" s="227"/>
      <c r="I261" s="231"/>
      <c r="K261" s="2"/>
    </row>
    <row r="262" spans="1:11" x14ac:dyDescent="0.2">
      <c r="A262" s="48"/>
      <c r="B262" s="48"/>
      <c r="C262" s="48"/>
      <c r="H262" s="227"/>
      <c r="I262" s="231"/>
    </row>
    <row r="263" spans="1:11" x14ac:dyDescent="0.2">
      <c r="A263" s="48"/>
      <c r="B263" s="48"/>
      <c r="C263" s="48"/>
      <c r="H263" s="227"/>
      <c r="I263" s="231"/>
    </row>
    <row r="264" spans="1:11" x14ac:dyDescent="0.2">
      <c r="A264" s="48"/>
      <c r="B264" s="48"/>
      <c r="C264" s="48"/>
      <c r="H264" s="227"/>
      <c r="I264" s="231"/>
    </row>
    <row r="265" spans="1:11" x14ac:dyDescent="0.2">
      <c r="A265" s="48"/>
      <c r="B265" s="48"/>
      <c r="C265" s="48"/>
      <c r="H265" s="227"/>
      <c r="I265" s="231"/>
    </row>
    <row r="266" spans="1:11" x14ac:dyDescent="0.2">
      <c r="A266" s="48"/>
      <c r="B266" s="48"/>
      <c r="C266" s="48"/>
      <c r="H266" s="227"/>
      <c r="I266" s="231"/>
    </row>
    <row r="267" spans="1:11" x14ac:dyDescent="0.2">
      <c r="A267" s="48"/>
      <c r="B267" s="48"/>
      <c r="C267" s="48"/>
      <c r="H267" s="227"/>
      <c r="I267" s="231"/>
    </row>
    <row r="268" spans="1:11" x14ac:dyDescent="0.2">
      <c r="A268" s="48"/>
      <c r="B268" s="48"/>
      <c r="C268" s="48"/>
      <c r="H268" s="227"/>
      <c r="I268" s="231"/>
    </row>
    <row r="269" spans="1:11" x14ac:dyDescent="0.2">
      <c r="A269" s="48"/>
      <c r="B269" s="48"/>
      <c r="C269" s="48"/>
      <c r="H269" s="227"/>
      <c r="I269" s="231"/>
    </row>
    <row r="270" spans="1:11" x14ac:dyDescent="0.2">
      <c r="A270" s="48"/>
      <c r="B270" s="48"/>
      <c r="C270" s="48"/>
      <c r="H270" s="227"/>
      <c r="I270" s="231"/>
    </row>
    <row r="271" spans="1:11" x14ac:dyDescent="0.2">
      <c r="A271" s="48"/>
      <c r="B271" s="48"/>
      <c r="C271" s="48"/>
      <c r="H271" s="227"/>
      <c r="I271" s="231"/>
    </row>
    <row r="272" spans="1:11" x14ac:dyDescent="0.2">
      <c r="A272" s="48"/>
      <c r="B272" s="48"/>
      <c r="C272" s="48"/>
      <c r="D272" s="48"/>
      <c r="E272" s="48"/>
      <c r="H272" s="227"/>
      <c r="I272" s="231"/>
    </row>
    <row r="273" spans="1:9" x14ac:dyDescent="0.2">
      <c r="A273" s="48"/>
      <c r="B273" s="48"/>
      <c r="C273" s="48"/>
      <c r="D273" s="48"/>
      <c r="E273" s="48"/>
      <c r="H273" s="227"/>
      <c r="I273" s="231"/>
    </row>
    <row r="274" spans="1:9" x14ac:dyDescent="0.2">
      <c r="A274" s="48"/>
      <c r="B274" s="48"/>
      <c r="C274" s="48"/>
      <c r="D274" s="48"/>
      <c r="E274" s="48"/>
      <c r="H274" s="227"/>
      <c r="I274" s="231"/>
    </row>
    <row r="275" spans="1:9" x14ac:dyDescent="0.2">
      <c r="A275" s="48"/>
      <c r="B275" s="48"/>
      <c r="C275" s="48"/>
      <c r="D275" s="48"/>
      <c r="E275" s="48"/>
      <c r="H275" s="227"/>
      <c r="I275" s="231"/>
    </row>
    <row r="276" spans="1:9" ht="12.6" customHeight="1" x14ac:dyDescent="0.2">
      <c r="A276" s="48"/>
      <c r="B276" s="48"/>
      <c r="C276" s="48"/>
      <c r="D276" s="48"/>
      <c r="E276" s="48"/>
      <c r="H276" s="227"/>
      <c r="I276" s="231"/>
    </row>
    <row r="277" spans="1:9" x14ac:dyDescent="0.2">
      <c r="H277" s="227"/>
      <c r="I277" s="231"/>
    </row>
    <row r="278" spans="1:9" x14ac:dyDescent="0.2">
      <c r="H278" s="227"/>
      <c r="I278" s="231"/>
    </row>
    <row r="279" spans="1:9" x14ac:dyDescent="0.2">
      <c r="H279" s="227"/>
      <c r="I279" s="231"/>
    </row>
    <row r="280" spans="1:9" x14ac:dyDescent="0.2">
      <c r="H280" s="227"/>
      <c r="I280" s="231"/>
    </row>
    <row r="281" spans="1:9" x14ac:dyDescent="0.2">
      <c r="H281" s="227"/>
      <c r="I281" s="231"/>
    </row>
    <row r="282" spans="1:9" x14ac:dyDescent="0.2">
      <c r="H282" s="227"/>
      <c r="I282" s="231"/>
    </row>
    <row r="283" spans="1:9" x14ac:dyDescent="0.2">
      <c r="H283" s="227"/>
      <c r="I283" s="231"/>
    </row>
    <row r="284" spans="1:9" x14ac:dyDescent="0.2">
      <c r="H284" s="227"/>
      <c r="I284" s="231"/>
    </row>
    <row r="285" spans="1:9" x14ac:dyDescent="0.2">
      <c r="H285" s="227"/>
      <c r="I285" s="231"/>
    </row>
    <row r="286" spans="1:9" x14ac:dyDescent="0.2">
      <c r="H286" s="227"/>
      <c r="I286" s="231"/>
    </row>
    <row r="287" spans="1:9" x14ac:dyDescent="0.2">
      <c r="H287" s="227"/>
      <c r="I287" s="231"/>
    </row>
    <row r="288" spans="1:9" x14ac:dyDescent="0.2">
      <c r="H288" s="227"/>
      <c r="I288" s="231"/>
    </row>
    <row r="289" spans="8:9" x14ac:dyDescent="0.2">
      <c r="H289" s="227"/>
      <c r="I289" s="231"/>
    </row>
    <row r="290" spans="8:9" x14ac:dyDescent="0.2">
      <c r="H290" s="227"/>
      <c r="I290" s="231"/>
    </row>
    <row r="291" spans="8:9" x14ac:dyDescent="0.2">
      <c r="H291" s="227"/>
      <c r="I291" s="231"/>
    </row>
    <row r="292" spans="8:9" x14ac:dyDescent="0.2">
      <c r="H292" s="227"/>
      <c r="I292" s="231"/>
    </row>
    <row r="293" spans="8:9" x14ac:dyDescent="0.2">
      <c r="H293" s="227"/>
      <c r="I293" s="231"/>
    </row>
    <row r="294" spans="8:9" x14ac:dyDescent="0.2">
      <c r="H294" s="227"/>
      <c r="I294" s="231"/>
    </row>
    <row r="295" spans="8:9" x14ac:dyDescent="0.2">
      <c r="H295" s="227"/>
      <c r="I295" s="231"/>
    </row>
    <row r="296" spans="8:9" x14ac:dyDescent="0.2">
      <c r="H296" s="227"/>
      <c r="I296" s="231"/>
    </row>
    <row r="297" spans="8:9" x14ac:dyDescent="0.2">
      <c r="H297" s="227"/>
      <c r="I297" s="231"/>
    </row>
    <row r="298" spans="8:9" x14ac:dyDescent="0.2">
      <c r="H298" s="227"/>
      <c r="I298" s="231"/>
    </row>
    <row r="299" spans="8:9" x14ac:dyDescent="0.2">
      <c r="I299" s="2"/>
    </row>
    <row r="300" spans="8:9" x14ac:dyDescent="0.2">
      <c r="I300" s="2"/>
    </row>
    <row r="301" spans="8:9" x14ac:dyDescent="0.2">
      <c r="I301" s="2"/>
    </row>
    <row r="302" spans="8:9" x14ac:dyDescent="0.2">
      <c r="I302" s="2"/>
    </row>
    <row r="303" spans="8:9" x14ac:dyDescent="0.2">
      <c r="I303" s="2"/>
    </row>
    <row r="304" spans="8:9" x14ac:dyDescent="0.2">
      <c r="I304" s="2"/>
    </row>
    <row r="305" spans="9:9" x14ac:dyDescent="0.2">
      <c r="I305" s="2"/>
    </row>
    <row r="306" spans="9:9" x14ac:dyDescent="0.2">
      <c r="I306" s="2"/>
    </row>
    <row r="307" spans="9:9" x14ac:dyDescent="0.2">
      <c r="I307" s="2"/>
    </row>
    <row r="308" spans="9:9" x14ac:dyDescent="0.2">
      <c r="I308" s="2"/>
    </row>
    <row r="309" spans="9:9" x14ac:dyDescent="0.2">
      <c r="I309" s="2"/>
    </row>
    <row r="310" spans="9:9" x14ac:dyDescent="0.2">
      <c r="I310" s="2"/>
    </row>
    <row r="311" spans="9:9" x14ac:dyDescent="0.2">
      <c r="I311" s="2"/>
    </row>
    <row r="312" spans="9:9" x14ac:dyDescent="0.2">
      <c r="I312" s="2"/>
    </row>
    <row r="313" spans="9:9" x14ac:dyDescent="0.2">
      <c r="I313" s="2"/>
    </row>
    <row r="314" spans="9:9" x14ac:dyDescent="0.2">
      <c r="I314" s="2"/>
    </row>
    <row r="315" spans="9:9" x14ac:dyDescent="0.2">
      <c r="I315" s="2"/>
    </row>
    <row r="316" spans="9:9" x14ac:dyDescent="0.2">
      <c r="I316" s="2"/>
    </row>
    <row r="317" spans="9:9" x14ac:dyDescent="0.2">
      <c r="I317" s="2"/>
    </row>
    <row r="318" spans="9:9" x14ac:dyDescent="0.2">
      <c r="I318" s="2"/>
    </row>
    <row r="319" spans="9:9" x14ac:dyDescent="0.2">
      <c r="I319" s="2"/>
    </row>
    <row r="320" spans="9:9" x14ac:dyDescent="0.2">
      <c r="I320" s="2"/>
    </row>
    <row r="321" spans="9:9" x14ac:dyDescent="0.2">
      <c r="I321" s="2"/>
    </row>
    <row r="322" spans="9:9" x14ac:dyDescent="0.2">
      <c r="I322" s="2"/>
    </row>
    <row r="323" spans="9:9" x14ac:dyDescent="0.2">
      <c r="I323" s="2"/>
    </row>
    <row r="324" spans="9:9" x14ac:dyDescent="0.2">
      <c r="I324" s="2"/>
    </row>
    <row r="325" spans="9:9" x14ac:dyDescent="0.2">
      <c r="I325" s="2"/>
    </row>
    <row r="326" spans="9:9" x14ac:dyDescent="0.2">
      <c r="I326" s="2"/>
    </row>
    <row r="327" spans="9:9" x14ac:dyDescent="0.2">
      <c r="I327" s="2"/>
    </row>
    <row r="328" spans="9:9" x14ac:dyDescent="0.2">
      <c r="I328" s="2"/>
    </row>
    <row r="329" spans="9:9" x14ac:dyDescent="0.2">
      <c r="I329" s="2"/>
    </row>
    <row r="330" spans="9:9" x14ac:dyDescent="0.2">
      <c r="I330" s="2"/>
    </row>
    <row r="331" spans="9:9" x14ac:dyDescent="0.2">
      <c r="I331" s="2"/>
    </row>
    <row r="332" spans="9:9" x14ac:dyDescent="0.2">
      <c r="I332" s="2"/>
    </row>
    <row r="333" spans="9:9" x14ac:dyDescent="0.2">
      <c r="I333" s="2"/>
    </row>
    <row r="334" spans="9:9" x14ac:dyDescent="0.2">
      <c r="I334" s="2"/>
    </row>
    <row r="335" spans="9:9" x14ac:dyDescent="0.2">
      <c r="I335" s="2"/>
    </row>
    <row r="336" spans="9:9" x14ac:dyDescent="0.2">
      <c r="I336" s="2"/>
    </row>
    <row r="337" spans="9:9" x14ac:dyDescent="0.2">
      <c r="I337" s="2"/>
    </row>
    <row r="338" spans="9:9" x14ac:dyDescent="0.2">
      <c r="I338" s="2"/>
    </row>
    <row r="339" spans="9:9" x14ac:dyDescent="0.2">
      <c r="I339" s="2"/>
    </row>
    <row r="340" spans="9:9" x14ac:dyDescent="0.2">
      <c r="I340" s="2"/>
    </row>
    <row r="341" spans="9:9" x14ac:dyDescent="0.2">
      <c r="I341" s="2"/>
    </row>
    <row r="342" spans="9:9" x14ac:dyDescent="0.2">
      <c r="I342" s="2"/>
    </row>
    <row r="343" spans="9:9" x14ac:dyDescent="0.2">
      <c r="I343" s="2"/>
    </row>
    <row r="344" spans="9:9" x14ac:dyDescent="0.2">
      <c r="I344" s="2"/>
    </row>
    <row r="345" spans="9:9" x14ac:dyDescent="0.2">
      <c r="I345" s="2"/>
    </row>
    <row r="346" spans="9:9" x14ac:dyDescent="0.2">
      <c r="I346" s="2"/>
    </row>
    <row r="347" spans="9:9" x14ac:dyDescent="0.2">
      <c r="I347" s="2"/>
    </row>
    <row r="348" spans="9:9" x14ac:dyDescent="0.2">
      <c r="I348" s="2"/>
    </row>
    <row r="349" spans="9:9" x14ac:dyDescent="0.2">
      <c r="I349" s="2"/>
    </row>
    <row r="350" spans="9:9" x14ac:dyDescent="0.2">
      <c r="I350" s="2"/>
    </row>
    <row r="351" spans="9:9" x14ac:dyDescent="0.2">
      <c r="I351" s="2"/>
    </row>
    <row r="352" spans="9:9" x14ac:dyDescent="0.2">
      <c r="I352" s="2"/>
    </row>
    <row r="353" spans="9:9" x14ac:dyDescent="0.2">
      <c r="I353" s="2"/>
    </row>
    <row r="354" spans="9:9" x14ac:dyDescent="0.2">
      <c r="I354" s="2"/>
    </row>
    <row r="355" spans="9:9" x14ac:dyDescent="0.2">
      <c r="I355" s="2"/>
    </row>
    <row r="356" spans="9:9" x14ac:dyDescent="0.2">
      <c r="I356" s="2"/>
    </row>
    <row r="357" spans="9:9" x14ac:dyDescent="0.2">
      <c r="I357" s="2"/>
    </row>
    <row r="358" spans="9:9" x14ac:dyDescent="0.2">
      <c r="I358" s="2"/>
    </row>
    <row r="359" spans="9:9" x14ac:dyDescent="0.2">
      <c r="I359" s="2"/>
    </row>
    <row r="360" spans="9:9" x14ac:dyDescent="0.2">
      <c r="I360" s="2"/>
    </row>
    <row r="361" spans="9:9" x14ac:dyDescent="0.2">
      <c r="I361" s="2"/>
    </row>
    <row r="362" spans="9:9" x14ac:dyDescent="0.2">
      <c r="I362" s="2"/>
    </row>
    <row r="363" spans="9:9" x14ac:dyDescent="0.2">
      <c r="I363" s="2"/>
    </row>
    <row r="364" spans="9:9" x14ac:dyDescent="0.2">
      <c r="I364" s="2"/>
    </row>
    <row r="365" spans="9:9" x14ac:dyDescent="0.2">
      <c r="I365" s="2"/>
    </row>
    <row r="366" spans="9:9" x14ac:dyDescent="0.2">
      <c r="I366" s="2"/>
    </row>
    <row r="367" spans="9:9" x14ac:dyDescent="0.2">
      <c r="I367" s="2"/>
    </row>
    <row r="368" spans="9:9" x14ac:dyDescent="0.2">
      <c r="I368" s="2"/>
    </row>
    <row r="369" spans="9:9" x14ac:dyDescent="0.2">
      <c r="I369" s="2"/>
    </row>
    <row r="370" spans="9:9" x14ac:dyDescent="0.2">
      <c r="I370" s="2"/>
    </row>
    <row r="371" spans="9:9" x14ac:dyDescent="0.2">
      <c r="I371" s="2"/>
    </row>
    <row r="372" spans="9:9" x14ac:dyDescent="0.2">
      <c r="I372" s="2"/>
    </row>
    <row r="373" spans="9:9" x14ac:dyDescent="0.2">
      <c r="I373" s="2"/>
    </row>
    <row r="374" spans="9:9" x14ac:dyDescent="0.2">
      <c r="I374" s="2"/>
    </row>
    <row r="375" spans="9:9" x14ac:dyDescent="0.2">
      <c r="I375" s="2"/>
    </row>
    <row r="376" spans="9:9" x14ac:dyDescent="0.2">
      <c r="I376" s="2"/>
    </row>
    <row r="377" spans="9:9" x14ac:dyDescent="0.2">
      <c r="I377" s="2"/>
    </row>
    <row r="378" spans="9:9" x14ac:dyDescent="0.2">
      <c r="I378" s="2"/>
    </row>
    <row r="379" spans="9:9" x14ac:dyDescent="0.2">
      <c r="I379" s="2"/>
    </row>
    <row r="380" spans="9:9" x14ac:dyDescent="0.2">
      <c r="I380" s="2"/>
    </row>
  </sheetData>
  <mergeCells count="1">
    <mergeCell ref="A1:J1"/>
  </mergeCells>
  <phoneticPr fontId="0" type="noConversion"/>
  <printOptions gridLines="1"/>
  <pageMargins left="0.75" right="0.16" top="0.51" bottom="0.22" header="0.39" footer="0"/>
  <pageSetup scale="86" fitToHeight="11" orientation="landscape" r:id="rId1"/>
  <headerFooter alignWithMargins="0"/>
  <rowBreaks count="4" manualBreakCount="4">
    <brk id="49" max="9" man="1"/>
    <brk id="119" max="9" man="1"/>
    <brk id="206" max="9" man="1"/>
    <brk id="241" max="9"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J334"/>
  <sheetViews>
    <sheetView view="pageBreakPreview" zoomScaleNormal="100" zoomScaleSheetLayoutView="100" workbookViewId="0">
      <pane ySplit="5" topLeftCell="A78" activePane="bottomLeft" state="frozen"/>
      <selection activeCell="D43" sqref="D43"/>
      <selection pane="bottomLeft" activeCell="A66" sqref="A66:XFD68"/>
    </sheetView>
  </sheetViews>
  <sheetFormatPr defaultColWidth="8.85546875" defaultRowHeight="12.75" x14ac:dyDescent="0.2"/>
  <cols>
    <col min="1" max="1" width="48.28515625" style="183" bestFit="1" customWidth="1"/>
    <col min="2" max="2" width="9" style="183" bestFit="1" customWidth="1"/>
    <col min="3" max="3" width="10.140625" style="183" customWidth="1"/>
    <col min="4" max="4" width="10.28515625" style="183" customWidth="1"/>
    <col min="5" max="7" width="10.85546875" style="183" customWidth="1"/>
    <col min="8" max="8" width="14" style="183" bestFit="1" customWidth="1"/>
    <col min="9" max="10" width="10.85546875" style="183" customWidth="1"/>
    <col min="11" max="16384" width="8.85546875" style="183"/>
  </cols>
  <sheetData>
    <row r="1" spans="1:10" x14ac:dyDescent="0.2">
      <c r="A1" s="254" t="e">
        <f>#REF!</f>
        <v>#REF!</v>
      </c>
      <c r="B1" s="255"/>
      <c r="C1" s="255"/>
      <c r="D1" s="255"/>
      <c r="E1" s="255"/>
      <c r="F1" s="255"/>
      <c r="G1" s="255"/>
      <c r="H1" s="255"/>
      <c r="I1" s="255"/>
      <c r="J1" s="255"/>
    </row>
    <row r="2" spans="1:10" ht="18.75" x14ac:dyDescent="0.3">
      <c r="A2" s="91" t="s">
        <v>1580</v>
      </c>
      <c r="B2" s="91"/>
      <c r="C2" s="91"/>
      <c r="D2" s="91"/>
      <c r="E2" s="91"/>
      <c r="F2" s="91"/>
    </row>
    <row r="3" spans="1:10" x14ac:dyDescent="0.2">
      <c r="B3" s="2"/>
      <c r="C3" s="2"/>
      <c r="D3" s="2"/>
      <c r="E3" s="2"/>
      <c r="F3" s="2"/>
    </row>
    <row r="4" spans="1:10" x14ac:dyDescent="0.2">
      <c r="B4" s="2"/>
      <c r="C4" s="2"/>
      <c r="D4" s="2"/>
      <c r="E4" s="15" t="s">
        <v>204</v>
      </c>
      <c r="F4" s="15" t="s">
        <v>205</v>
      </c>
      <c r="G4" s="15" t="s">
        <v>61</v>
      </c>
      <c r="H4" s="15" t="s">
        <v>358</v>
      </c>
      <c r="I4" s="15" t="s">
        <v>270</v>
      </c>
      <c r="J4" s="15" t="s">
        <v>301</v>
      </c>
    </row>
    <row r="5" spans="1:10" ht="15" x14ac:dyDescent="0.35">
      <c r="B5" s="2"/>
      <c r="C5" s="2"/>
      <c r="D5" s="2"/>
      <c r="E5" s="196" t="s">
        <v>1757</v>
      </c>
      <c r="F5" s="196" t="s">
        <v>1838</v>
      </c>
      <c r="G5" s="196" t="s">
        <v>1977</v>
      </c>
      <c r="H5" s="196" t="s">
        <v>1977</v>
      </c>
      <c r="I5" s="196" t="s">
        <v>1977</v>
      </c>
      <c r="J5" s="196" t="s">
        <v>1977</v>
      </c>
    </row>
    <row r="6" spans="1:10" ht="13.5" x14ac:dyDescent="0.25">
      <c r="A6" s="221" t="s">
        <v>696</v>
      </c>
      <c r="B6" s="222"/>
      <c r="C6" s="222"/>
      <c r="D6" s="222"/>
      <c r="E6" s="222">
        <v>66616</v>
      </c>
      <c r="F6" s="222">
        <v>67824</v>
      </c>
      <c r="G6" s="222">
        <v>67947</v>
      </c>
      <c r="H6" s="222">
        <v>67947</v>
      </c>
      <c r="I6" s="222">
        <v>67947</v>
      </c>
      <c r="J6" s="222">
        <v>70610</v>
      </c>
    </row>
    <row r="7" spans="1:10" x14ac:dyDescent="0.2">
      <c r="A7" s="207" t="s">
        <v>697</v>
      </c>
      <c r="B7" s="222">
        <v>52</v>
      </c>
      <c r="C7" s="222">
        <v>1333.22</v>
      </c>
      <c r="D7" s="222">
        <f>ROUND(B7*C7,0)</f>
        <v>69327</v>
      </c>
      <c r="E7" s="222"/>
      <c r="F7" s="222"/>
      <c r="G7" s="222"/>
      <c r="H7" s="222"/>
      <c r="I7" s="222"/>
      <c r="J7" s="222"/>
    </row>
    <row r="8" spans="1:10" ht="15" x14ac:dyDescent="0.35">
      <c r="A8" s="207" t="s">
        <v>824</v>
      </c>
      <c r="B8" s="222"/>
      <c r="C8" s="222"/>
      <c r="D8" s="148">
        <v>1283</v>
      </c>
      <c r="E8" s="222"/>
      <c r="F8" s="222"/>
      <c r="G8" s="222"/>
      <c r="H8" s="222"/>
      <c r="I8" s="222"/>
      <c r="J8" s="222"/>
    </row>
    <row r="9" spans="1:10" x14ac:dyDescent="0.2">
      <c r="A9" s="207" t="s">
        <v>1073</v>
      </c>
      <c r="B9" s="222"/>
      <c r="C9" s="222"/>
      <c r="D9" s="222">
        <f>SUM(D7:D8)</f>
        <v>70610</v>
      </c>
      <c r="E9" s="222"/>
      <c r="F9" s="222"/>
      <c r="G9" s="222"/>
      <c r="H9" s="222"/>
      <c r="I9" s="222"/>
      <c r="J9" s="222"/>
    </row>
    <row r="10" spans="1:10" x14ac:dyDescent="0.2">
      <c r="A10" s="207"/>
      <c r="B10" s="222"/>
      <c r="C10" s="222"/>
      <c r="D10" s="222"/>
      <c r="E10" s="222"/>
      <c r="F10" s="222"/>
      <c r="G10" s="222"/>
      <c r="H10" s="222"/>
      <c r="I10" s="222"/>
      <c r="J10" s="222"/>
    </row>
    <row r="11" spans="1:10" ht="13.5" x14ac:dyDescent="0.25">
      <c r="A11" s="221" t="s">
        <v>698</v>
      </c>
      <c r="B11" s="222"/>
      <c r="C11" s="222"/>
      <c r="D11" s="222"/>
      <c r="E11" s="222">
        <v>189319</v>
      </c>
      <c r="F11" s="222">
        <v>214724</v>
      </c>
      <c r="G11" s="222">
        <v>216625</v>
      </c>
      <c r="H11" s="222">
        <v>216625</v>
      </c>
      <c r="I11" s="222">
        <v>216625</v>
      </c>
      <c r="J11" s="222">
        <v>216625</v>
      </c>
    </row>
    <row r="12" spans="1:10" x14ac:dyDescent="0.2">
      <c r="A12" s="207" t="s">
        <v>1550</v>
      </c>
      <c r="B12" s="222">
        <v>52</v>
      </c>
      <c r="C12" s="222">
        <v>1052</v>
      </c>
      <c r="D12" s="222">
        <f>ROUND(B12*C12,0)</f>
        <v>54704</v>
      </c>
      <c r="E12" s="222"/>
      <c r="F12" s="222"/>
      <c r="G12" s="222"/>
      <c r="H12" s="222"/>
      <c r="I12" s="222"/>
      <c r="J12" s="222"/>
    </row>
    <row r="13" spans="1:10" x14ac:dyDescent="0.2">
      <c r="A13" s="207" t="s">
        <v>1550</v>
      </c>
      <c r="B13" s="222">
        <v>52</v>
      </c>
      <c r="C13" s="222">
        <v>1095</v>
      </c>
      <c r="D13" s="222">
        <f>ROUND(B13*C13,0)</f>
        <v>56940</v>
      </c>
      <c r="E13" s="222"/>
      <c r="F13" s="222"/>
      <c r="G13" s="222"/>
      <c r="H13" s="222"/>
      <c r="I13" s="222"/>
      <c r="J13" s="222"/>
    </row>
    <row r="14" spans="1:10" x14ac:dyDescent="0.2">
      <c r="A14" s="207" t="s">
        <v>1550</v>
      </c>
      <c r="B14" s="222">
        <v>52</v>
      </c>
      <c r="C14" s="222">
        <v>1095</v>
      </c>
      <c r="D14" s="222">
        <f>ROUND(B14*C14,0)</f>
        <v>56940</v>
      </c>
      <c r="E14" s="222"/>
      <c r="F14" s="222"/>
      <c r="G14" s="222"/>
      <c r="H14" s="222"/>
      <c r="I14" s="222"/>
      <c r="J14" s="222"/>
    </row>
    <row r="15" spans="1:10" x14ac:dyDescent="0.2">
      <c r="A15" s="207" t="s">
        <v>979</v>
      </c>
      <c r="B15" s="222">
        <v>52</v>
      </c>
      <c r="C15" s="222">
        <v>901</v>
      </c>
      <c r="D15" s="222">
        <f>ROUND(B15*C15,0)</f>
        <v>46852</v>
      </c>
      <c r="E15" s="222"/>
      <c r="F15" s="222"/>
      <c r="G15" s="222"/>
      <c r="H15" s="222"/>
      <c r="I15" s="222"/>
      <c r="J15" s="222"/>
    </row>
    <row r="16" spans="1:10" ht="15" x14ac:dyDescent="0.35">
      <c r="A16" s="207" t="s">
        <v>824</v>
      </c>
      <c r="B16" s="222"/>
      <c r="C16" s="222"/>
      <c r="D16" s="148">
        <v>1189</v>
      </c>
      <c r="E16" s="222"/>
      <c r="F16" s="222"/>
      <c r="G16" s="222"/>
      <c r="H16" s="222"/>
      <c r="I16" s="222"/>
      <c r="J16" s="222"/>
    </row>
    <row r="17" spans="1:10" x14ac:dyDescent="0.2">
      <c r="A17" s="207" t="s">
        <v>1073</v>
      </c>
      <c r="B17" s="222"/>
      <c r="C17" s="222"/>
      <c r="D17" s="222">
        <f>SUM(D12:D16)</f>
        <v>216625</v>
      </c>
      <c r="E17" s="222"/>
      <c r="F17" s="222"/>
      <c r="G17" s="222"/>
      <c r="H17" s="222"/>
      <c r="I17" s="222"/>
      <c r="J17" s="222"/>
    </row>
    <row r="18" spans="1:10" x14ac:dyDescent="0.2">
      <c r="A18" s="207"/>
      <c r="B18" s="222"/>
      <c r="C18" s="222"/>
      <c r="D18" s="222"/>
      <c r="E18" s="222"/>
      <c r="F18" s="222"/>
      <c r="G18" s="222"/>
      <c r="H18" s="222"/>
      <c r="I18" s="222"/>
      <c r="J18" s="222"/>
    </row>
    <row r="19" spans="1:10" ht="13.5" x14ac:dyDescent="0.25">
      <c r="A19" s="221" t="s">
        <v>1146</v>
      </c>
      <c r="B19" s="222"/>
      <c r="C19" s="222"/>
      <c r="D19" s="222"/>
      <c r="E19" s="222">
        <v>942</v>
      </c>
      <c r="F19" s="222">
        <v>3533</v>
      </c>
      <c r="G19" s="222">
        <v>3606</v>
      </c>
      <c r="H19" s="222">
        <v>3606</v>
      </c>
      <c r="I19" s="222">
        <v>3606</v>
      </c>
      <c r="J19" s="222">
        <v>3750</v>
      </c>
    </row>
    <row r="20" spans="1:10" x14ac:dyDescent="0.2">
      <c r="A20" s="207" t="s">
        <v>697</v>
      </c>
      <c r="B20" s="222">
        <v>75</v>
      </c>
      <c r="C20" s="222">
        <f>+C7/40*1.5</f>
        <v>49.995750000000001</v>
      </c>
      <c r="D20" s="222">
        <f>ROUND(B20*C20,0)</f>
        <v>3750</v>
      </c>
      <c r="E20" s="222"/>
      <c r="F20" s="222"/>
      <c r="G20" s="222"/>
      <c r="H20" s="222"/>
      <c r="I20" s="222"/>
      <c r="J20" s="222"/>
    </row>
    <row r="21" spans="1:10" x14ac:dyDescent="0.2">
      <c r="A21" s="207"/>
      <c r="B21" s="222"/>
      <c r="C21" s="222"/>
      <c r="D21" s="222"/>
      <c r="E21" s="222"/>
      <c r="F21" s="222"/>
      <c r="G21" s="222"/>
      <c r="H21" s="222"/>
      <c r="I21" s="222"/>
      <c r="J21" s="222"/>
    </row>
    <row r="22" spans="1:10" x14ac:dyDescent="0.2">
      <c r="A22" s="207"/>
      <c r="B22" s="222"/>
      <c r="C22" s="222"/>
      <c r="D22" s="222"/>
      <c r="E22" s="222"/>
      <c r="F22" s="222"/>
      <c r="G22" s="222"/>
      <c r="H22" s="222"/>
      <c r="I22" s="222"/>
      <c r="J22" s="222"/>
    </row>
    <row r="23" spans="1:10" ht="13.5" x14ac:dyDescent="0.25">
      <c r="A23" s="221" t="s">
        <v>1147</v>
      </c>
      <c r="B23" s="222"/>
      <c r="C23" s="222"/>
      <c r="D23" s="222"/>
      <c r="E23" s="222">
        <v>9956</v>
      </c>
      <c r="F23" s="222">
        <v>4729</v>
      </c>
      <c r="G23" s="222">
        <v>4855</v>
      </c>
      <c r="H23" s="222">
        <v>4855</v>
      </c>
      <c r="I23" s="222">
        <v>4855</v>
      </c>
      <c r="J23" s="222">
        <v>4855</v>
      </c>
    </row>
    <row r="24" spans="1:10" x14ac:dyDescent="0.2">
      <c r="A24" s="207" t="s">
        <v>1148</v>
      </c>
      <c r="B24" s="222">
        <v>125</v>
      </c>
      <c r="C24" s="222">
        <f>SUM(C12:C15)/40*1.5/4</f>
        <v>38.840625000000003</v>
      </c>
      <c r="D24" s="222">
        <f>ROUND(B24*C24,0)</f>
        <v>4855</v>
      </c>
      <c r="E24" s="222"/>
      <c r="F24" s="222"/>
      <c r="G24" s="222"/>
      <c r="H24" s="222"/>
      <c r="I24" s="222"/>
      <c r="J24" s="222"/>
    </row>
    <row r="25" spans="1:10" x14ac:dyDescent="0.2">
      <c r="A25" s="207"/>
      <c r="B25" s="222"/>
      <c r="C25" s="222"/>
      <c r="D25" s="222"/>
      <c r="E25" s="222"/>
      <c r="F25" s="222"/>
      <c r="G25" s="222"/>
      <c r="H25" s="222"/>
      <c r="I25" s="222"/>
      <c r="J25" s="222"/>
    </row>
    <row r="26" spans="1:10" ht="13.5" x14ac:dyDescent="0.25">
      <c r="A26" s="221" t="s">
        <v>1149</v>
      </c>
      <c r="B26" s="222"/>
      <c r="C26" s="222"/>
      <c r="D26" s="222"/>
      <c r="E26" s="222">
        <v>20843</v>
      </c>
      <c r="F26" s="222">
        <v>21749</v>
      </c>
      <c r="G26" s="222">
        <v>22417</v>
      </c>
      <c r="H26" s="222">
        <v>22417</v>
      </c>
      <c r="I26" s="222">
        <v>22417</v>
      </c>
      <c r="J26" s="222">
        <v>22632</v>
      </c>
    </row>
    <row r="27" spans="1:10" hidden="1" x14ac:dyDescent="0.2">
      <c r="A27" s="207" t="s">
        <v>1271</v>
      </c>
      <c r="B27" s="222">
        <f>+D9</f>
        <v>70610</v>
      </c>
      <c r="C27" s="222">
        <v>7.6499999999999999E-2</v>
      </c>
      <c r="D27" s="222">
        <f>ROUND(B27*C27,0)</f>
        <v>5402</v>
      </c>
      <c r="E27" s="222"/>
      <c r="F27" s="222"/>
      <c r="G27" s="222"/>
      <c r="H27" s="222"/>
      <c r="I27" s="222"/>
      <c r="J27" s="222"/>
    </row>
    <row r="28" spans="1:10" hidden="1" x14ac:dyDescent="0.2">
      <c r="A28" s="207" t="s">
        <v>688</v>
      </c>
      <c r="B28" s="222">
        <f>+D17</f>
        <v>216625</v>
      </c>
      <c r="C28" s="222">
        <v>7.6499999999999999E-2</v>
      </c>
      <c r="D28" s="222">
        <f>ROUND(B28*C28,0)</f>
        <v>16572</v>
      </c>
      <c r="E28" s="222"/>
      <c r="F28" s="222"/>
      <c r="G28" s="222"/>
      <c r="H28" s="222"/>
      <c r="I28" s="222"/>
      <c r="J28" s="222"/>
    </row>
    <row r="29" spans="1:10" hidden="1" x14ac:dyDescent="0.2">
      <c r="A29" s="207" t="s">
        <v>763</v>
      </c>
      <c r="B29" s="222">
        <f>+D20</f>
        <v>3750</v>
      </c>
      <c r="C29" s="222">
        <v>7.6499999999999999E-2</v>
      </c>
      <c r="D29" s="222">
        <f>ROUND(B29*C29,0)</f>
        <v>287</v>
      </c>
      <c r="E29" s="222"/>
      <c r="F29" s="222"/>
      <c r="G29" s="222"/>
      <c r="H29" s="222"/>
      <c r="I29" s="222"/>
      <c r="J29" s="222"/>
    </row>
    <row r="30" spans="1:10" ht="15" hidden="1" x14ac:dyDescent="0.35">
      <c r="A30" s="207" t="s">
        <v>156</v>
      </c>
      <c r="B30" s="222">
        <f>+D24</f>
        <v>4855</v>
      </c>
      <c r="C30" s="222">
        <v>7.6499999999999999E-2</v>
      </c>
      <c r="D30" s="148">
        <f>ROUND(B30*C30,0)</f>
        <v>371</v>
      </c>
      <c r="E30" s="222"/>
      <c r="F30" s="222"/>
      <c r="G30" s="222"/>
      <c r="H30" s="222"/>
      <c r="I30" s="222"/>
      <c r="J30" s="222"/>
    </row>
    <row r="31" spans="1:10" hidden="1" x14ac:dyDescent="0.2">
      <c r="A31" s="207" t="s">
        <v>1073</v>
      </c>
      <c r="B31" s="222"/>
      <c r="C31" s="222"/>
      <c r="D31" s="222">
        <f>SUM(D27:D30)</f>
        <v>22632</v>
      </c>
      <c r="E31" s="222"/>
      <c r="F31" s="222"/>
      <c r="G31" s="222"/>
      <c r="H31" s="222"/>
      <c r="I31" s="222"/>
      <c r="J31" s="222"/>
    </row>
    <row r="32" spans="1:10" x14ac:dyDescent="0.2">
      <c r="A32" s="207"/>
      <c r="B32" s="222"/>
      <c r="C32" s="222"/>
      <c r="D32" s="222"/>
      <c r="E32" s="222"/>
      <c r="F32" s="222"/>
      <c r="G32" s="222"/>
      <c r="H32" s="222"/>
      <c r="I32" s="222"/>
      <c r="J32" s="222"/>
    </row>
    <row r="33" spans="1:10" ht="13.5" x14ac:dyDescent="0.25">
      <c r="A33" s="221" t="s">
        <v>1150</v>
      </c>
      <c r="B33" s="222"/>
      <c r="C33" s="222"/>
      <c r="D33" s="222"/>
      <c r="E33" s="222">
        <v>29913</v>
      </c>
      <c r="F33" s="222">
        <v>40888</v>
      </c>
      <c r="G33" s="222">
        <v>41200</v>
      </c>
      <c r="H33" s="222">
        <v>41200</v>
      </c>
      <c r="I33" s="222">
        <v>41200</v>
      </c>
      <c r="J33" s="222">
        <v>41595</v>
      </c>
    </row>
    <row r="34" spans="1:10" hidden="1" x14ac:dyDescent="0.2">
      <c r="A34" s="207" t="s">
        <v>1271</v>
      </c>
      <c r="B34" s="222">
        <f>+D9</f>
        <v>70610</v>
      </c>
      <c r="C34" s="222">
        <v>0.1406</v>
      </c>
      <c r="D34" s="222">
        <f>ROUND(B34*C34,0)</f>
        <v>9928</v>
      </c>
      <c r="E34" s="222"/>
      <c r="F34" s="222"/>
      <c r="G34" s="222"/>
      <c r="H34" s="222"/>
      <c r="I34" s="222"/>
      <c r="J34" s="222"/>
    </row>
    <row r="35" spans="1:10" ht="16.899999999999999" hidden="1" customHeight="1" x14ac:dyDescent="0.2">
      <c r="A35" s="207" t="s">
        <v>688</v>
      </c>
      <c r="B35" s="222">
        <f>+D17</f>
        <v>216625</v>
      </c>
      <c r="C35" s="222">
        <v>0.1406</v>
      </c>
      <c r="D35" s="222">
        <f>ROUND(B35*C35,0)</f>
        <v>30457</v>
      </c>
      <c r="E35" s="222"/>
      <c r="F35" s="222"/>
      <c r="G35" s="222"/>
      <c r="H35" s="222"/>
      <c r="I35" s="222"/>
      <c r="J35" s="222"/>
    </row>
    <row r="36" spans="1:10" hidden="1" x14ac:dyDescent="0.2">
      <c r="A36" s="207" t="s">
        <v>763</v>
      </c>
      <c r="B36" s="222">
        <f>+D20</f>
        <v>3750</v>
      </c>
      <c r="C36" s="222">
        <v>0.1406</v>
      </c>
      <c r="D36" s="222">
        <f>ROUND(B36*C36,0)</f>
        <v>527</v>
      </c>
      <c r="E36" s="222"/>
      <c r="F36" s="222"/>
      <c r="G36" s="222"/>
      <c r="H36" s="222"/>
      <c r="I36" s="222"/>
      <c r="J36" s="222"/>
    </row>
    <row r="37" spans="1:10" ht="15" hidden="1" x14ac:dyDescent="0.35">
      <c r="A37" s="207" t="s">
        <v>156</v>
      </c>
      <c r="B37" s="222">
        <f>+B30</f>
        <v>4855</v>
      </c>
      <c r="C37" s="222">
        <v>0.1406</v>
      </c>
      <c r="D37" s="148">
        <f>ROUND(B37*C37,0)</f>
        <v>683</v>
      </c>
      <c r="E37" s="222"/>
      <c r="F37" s="222"/>
      <c r="G37" s="222"/>
      <c r="H37" s="222"/>
      <c r="I37" s="222"/>
      <c r="J37" s="222"/>
    </row>
    <row r="38" spans="1:10" hidden="1" x14ac:dyDescent="0.2">
      <c r="A38" s="207" t="s">
        <v>1073</v>
      </c>
      <c r="B38" s="222"/>
      <c r="C38" s="222"/>
      <c r="D38" s="222">
        <f>SUM(D34:D37)</f>
        <v>41595</v>
      </c>
      <c r="E38" s="222"/>
      <c r="F38" s="222"/>
      <c r="G38" s="222"/>
      <c r="H38" s="222"/>
      <c r="I38" s="222"/>
      <c r="J38" s="222"/>
    </row>
    <row r="39" spans="1:10" x14ac:dyDescent="0.2">
      <c r="A39" s="207"/>
      <c r="B39" s="222"/>
      <c r="C39" s="222"/>
      <c r="D39" s="222"/>
      <c r="E39" s="222"/>
      <c r="F39" s="222"/>
      <c r="G39" s="222"/>
      <c r="H39" s="222"/>
      <c r="I39" s="222"/>
      <c r="J39" s="222"/>
    </row>
    <row r="40" spans="1:10" ht="13.5" x14ac:dyDescent="0.25">
      <c r="A40" s="221" t="s">
        <v>768</v>
      </c>
      <c r="B40" s="222"/>
      <c r="C40" s="222"/>
      <c r="D40" s="222"/>
      <c r="E40" s="222">
        <v>94085</v>
      </c>
      <c r="F40" s="222">
        <v>98750</v>
      </c>
      <c r="G40" s="222">
        <v>97500</v>
      </c>
      <c r="H40" s="222">
        <v>97500</v>
      </c>
      <c r="I40" s="222">
        <v>95000</v>
      </c>
      <c r="J40" s="222">
        <v>95000</v>
      </c>
    </row>
    <row r="41" spans="1:10" hidden="1" x14ac:dyDescent="0.2">
      <c r="A41" s="207" t="s">
        <v>365</v>
      </c>
      <c r="B41" s="222">
        <v>4</v>
      </c>
      <c r="C41" s="222">
        <v>19000</v>
      </c>
      <c r="D41" s="222">
        <f>ROUND(B41*C41,0)</f>
        <v>76000</v>
      </c>
      <c r="E41" s="222"/>
      <c r="F41" s="222"/>
      <c r="G41" s="222"/>
      <c r="H41" s="222"/>
      <c r="I41" s="222"/>
      <c r="J41" s="222"/>
    </row>
    <row r="42" spans="1:10" ht="15" hidden="1" x14ac:dyDescent="0.35">
      <c r="A42" s="207" t="s">
        <v>303</v>
      </c>
      <c r="B42" s="222">
        <v>1</v>
      </c>
      <c r="C42" s="222">
        <v>19000</v>
      </c>
      <c r="D42" s="148">
        <f>ROUND(B42*C42,0)</f>
        <v>19000</v>
      </c>
      <c r="E42" s="222"/>
      <c r="F42" s="222"/>
      <c r="G42" s="222"/>
      <c r="H42" s="222"/>
      <c r="I42" s="222"/>
      <c r="J42" s="222"/>
    </row>
    <row r="43" spans="1:10" hidden="1" x14ac:dyDescent="0.2">
      <c r="A43" s="207" t="s">
        <v>683</v>
      </c>
      <c r="B43" s="222"/>
      <c r="C43" s="222"/>
      <c r="D43" s="222">
        <f>SUM(D41:D42)</f>
        <v>95000</v>
      </c>
      <c r="E43" s="222"/>
      <c r="F43" s="222"/>
      <c r="G43" s="222"/>
      <c r="H43" s="222"/>
      <c r="I43" s="222"/>
      <c r="J43" s="222"/>
    </row>
    <row r="44" spans="1:10" x14ac:dyDescent="0.2">
      <c r="A44" s="207"/>
      <c r="B44" s="222"/>
      <c r="C44" s="222"/>
      <c r="D44" s="222"/>
      <c r="E44" s="222"/>
      <c r="F44" s="222"/>
      <c r="G44" s="222"/>
      <c r="H44" s="222"/>
      <c r="I44" s="222"/>
      <c r="J44" s="222"/>
    </row>
    <row r="45" spans="1:10" ht="13.5" x14ac:dyDescent="0.25">
      <c r="A45" s="221" t="s">
        <v>769</v>
      </c>
      <c r="B45" s="222"/>
      <c r="C45" s="222"/>
      <c r="D45" s="222"/>
      <c r="E45" s="222">
        <v>6004</v>
      </c>
      <c r="F45" s="222">
        <v>6300</v>
      </c>
      <c r="G45" s="222">
        <v>6188</v>
      </c>
      <c r="H45" s="222">
        <v>6188</v>
      </c>
      <c r="I45" s="222">
        <v>6188</v>
      </c>
      <c r="J45" s="222">
        <v>6188</v>
      </c>
    </row>
    <row r="46" spans="1:10" hidden="1" x14ac:dyDescent="0.2">
      <c r="A46" s="207" t="s">
        <v>365</v>
      </c>
      <c r="B46" s="222">
        <v>5</v>
      </c>
      <c r="C46" s="222">
        <v>1375</v>
      </c>
      <c r="D46" s="222">
        <f>ROUND(B46*C46,0)</f>
        <v>6875</v>
      </c>
      <c r="E46" s="222"/>
      <c r="F46" s="222"/>
      <c r="G46" s="222"/>
      <c r="H46" s="222"/>
      <c r="I46" s="222"/>
      <c r="J46" s="222"/>
    </row>
    <row r="47" spans="1:10" ht="15" hidden="1" x14ac:dyDescent="0.35">
      <c r="A47" s="207" t="s">
        <v>1472</v>
      </c>
      <c r="B47" s="222"/>
      <c r="C47" s="222"/>
      <c r="D47" s="148">
        <f>+D46*-0.1</f>
        <v>-687.5</v>
      </c>
      <c r="E47" s="222"/>
      <c r="F47" s="222"/>
      <c r="G47" s="222"/>
      <c r="H47" s="222"/>
      <c r="I47" s="222"/>
      <c r="J47" s="222"/>
    </row>
    <row r="48" spans="1:10" hidden="1" x14ac:dyDescent="0.2">
      <c r="A48" s="207"/>
      <c r="B48" s="222"/>
      <c r="C48" s="222"/>
      <c r="D48" s="222">
        <f>SUM(D46:D47)</f>
        <v>6187.5</v>
      </c>
      <c r="E48" s="222"/>
      <c r="F48" s="222"/>
      <c r="G48" s="222"/>
      <c r="H48" s="222"/>
      <c r="I48" s="222"/>
      <c r="J48" s="222"/>
    </row>
    <row r="49" spans="1:10" x14ac:dyDescent="0.2">
      <c r="A49" s="207"/>
      <c r="B49" s="222"/>
      <c r="C49" s="222"/>
      <c r="D49" s="222"/>
      <c r="E49" s="222"/>
      <c r="F49" s="222"/>
      <c r="G49" s="222"/>
      <c r="H49" s="222"/>
      <c r="I49" s="222"/>
      <c r="J49" s="222"/>
    </row>
    <row r="50" spans="1:10" ht="13.5" x14ac:dyDescent="0.25">
      <c r="A50" s="221" t="s">
        <v>770</v>
      </c>
      <c r="B50" s="222"/>
      <c r="C50" s="222"/>
      <c r="D50" s="222"/>
      <c r="E50" s="222">
        <v>287</v>
      </c>
      <c r="F50" s="222">
        <v>275</v>
      </c>
      <c r="G50" s="222">
        <v>275</v>
      </c>
      <c r="H50" s="222">
        <v>275</v>
      </c>
      <c r="I50" s="222">
        <v>275</v>
      </c>
      <c r="J50" s="222">
        <v>380</v>
      </c>
    </row>
    <row r="51" spans="1:10" hidden="1" x14ac:dyDescent="0.2">
      <c r="A51" s="207" t="s">
        <v>304</v>
      </c>
      <c r="B51" s="222">
        <v>1</v>
      </c>
      <c r="C51" s="222">
        <v>240</v>
      </c>
      <c r="D51" s="222">
        <f>ROUND(B51*C51,0)</f>
        <v>240</v>
      </c>
      <c r="E51" s="222"/>
      <c r="F51" s="222"/>
      <c r="G51" s="222"/>
      <c r="H51" s="222"/>
      <c r="I51" s="222"/>
      <c r="J51" s="222"/>
    </row>
    <row r="52" spans="1:10" ht="15" hidden="1" x14ac:dyDescent="0.35">
      <c r="A52" s="207" t="s">
        <v>904</v>
      </c>
      <c r="B52" s="222">
        <v>4</v>
      </c>
      <c r="C52" s="222">
        <v>35</v>
      </c>
      <c r="D52" s="148">
        <f>ROUND(B52*C52,0)</f>
        <v>140</v>
      </c>
      <c r="E52" s="222"/>
      <c r="F52" s="222"/>
      <c r="G52" s="222"/>
      <c r="H52" s="222"/>
      <c r="I52" s="222"/>
      <c r="J52" s="222"/>
    </row>
    <row r="53" spans="1:10" hidden="1" x14ac:dyDescent="0.2">
      <c r="A53" s="207" t="s">
        <v>1073</v>
      </c>
      <c r="B53" s="222"/>
      <c r="C53" s="222"/>
      <c r="D53" s="222">
        <f>SUM(D51:D52)</f>
        <v>380</v>
      </c>
      <c r="E53" s="222"/>
      <c r="F53" s="222"/>
      <c r="G53" s="222"/>
      <c r="H53" s="222"/>
      <c r="I53" s="222"/>
      <c r="J53" s="222"/>
    </row>
    <row r="54" spans="1:10" x14ac:dyDescent="0.2">
      <c r="A54" s="207"/>
      <c r="B54" s="222"/>
      <c r="C54" s="222"/>
      <c r="D54" s="222"/>
      <c r="E54" s="222"/>
      <c r="F54" s="222"/>
      <c r="G54" s="222"/>
      <c r="H54" s="222"/>
      <c r="I54" s="222"/>
      <c r="J54" s="222"/>
    </row>
    <row r="55" spans="1:10" ht="13.5" x14ac:dyDescent="0.25">
      <c r="A55" s="221" t="s">
        <v>1268</v>
      </c>
      <c r="B55" s="222"/>
      <c r="C55" s="222"/>
      <c r="D55" s="222"/>
      <c r="E55" s="222">
        <v>3084</v>
      </c>
      <c r="F55" s="222">
        <v>2750</v>
      </c>
      <c r="G55" s="222">
        <v>2625</v>
      </c>
      <c r="H55" s="222">
        <v>2625</v>
      </c>
      <c r="I55" s="222">
        <v>2625</v>
      </c>
      <c r="J55" s="222">
        <v>2625</v>
      </c>
    </row>
    <row r="56" spans="1:10" hidden="1" x14ac:dyDescent="0.2">
      <c r="A56" s="207" t="s">
        <v>705</v>
      </c>
      <c r="B56" s="222">
        <v>5</v>
      </c>
      <c r="C56" s="222">
        <v>525</v>
      </c>
      <c r="D56" s="222">
        <f>ROUND(B56*C56,0)</f>
        <v>2625</v>
      </c>
      <c r="E56" s="222"/>
      <c r="F56" s="222"/>
      <c r="G56" s="222"/>
      <c r="H56" s="222"/>
      <c r="I56" s="222"/>
      <c r="J56" s="222"/>
    </row>
    <row r="57" spans="1:10" x14ac:dyDescent="0.2">
      <c r="A57" s="207"/>
      <c r="B57" s="222"/>
      <c r="C57" s="222"/>
      <c r="D57" s="222"/>
      <c r="E57" s="222"/>
      <c r="F57" s="222"/>
      <c r="G57" s="222"/>
      <c r="H57" s="222"/>
      <c r="I57" s="222"/>
      <c r="J57" s="222"/>
    </row>
    <row r="58" spans="1:10" ht="13.5" x14ac:dyDescent="0.25">
      <c r="A58" s="221" t="s">
        <v>1269</v>
      </c>
      <c r="B58" s="222"/>
      <c r="C58" s="222"/>
      <c r="D58" s="222"/>
      <c r="E58" s="222">
        <v>6763</v>
      </c>
      <c r="F58" s="222">
        <v>9131</v>
      </c>
      <c r="G58" s="222">
        <v>8322</v>
      </c>
      <c r="H58" s="222">
        <v>8322</v>
      </c>
      <c r="I58" s="222">
        <v>8322</v>
      </c>
      <c r="J58" s="222">
        <v>8402</v>
      </c>
    </row>
    <row r="59" spans="1:10" hidden="1" x14ac:dyDescent="0.2">
      <c r="A59" s="207" t="s">
        <v>1271</v>
      </c>
      <c r="B59" s="222">
        <f>+D9</f>
        <v>70610</v>
      </c>
      <c r="C59" s="222">
        <v>2.8400000000000002E-2</v>
      </c>
      <c r="D59" s="222">
        <f>ROUND(B59*C59,0)</f>
        <v>2005</v>
      </c>
      <c r="E59" s="222"/>
      <c r="F59" s="222"/>
      <c r="G59" s="222"/>
      <c r="H59" s="222"/>
      <c r="I59" s="222"/>
      <c r="J59" s="222"/>
    </row>
    <row r="60" spans="1:10" hidden="1" x14ac:dyDescent="0.2">
      <c r="A60" s="207" t="s">
        <v>688</v>
      </c>
      <c r="B60" s="222">
        <f>+D17</f>
        <v>216625</v>
      </c>
      <c r="C60" s="222">
        <v>2.8400000000000002E-2</v>
      </c>
      <c r="D60" s="222">
        <f>ROUND(B60*C60,0)</f>
        <v>6152</v>
      </c>
      <c r="E60" s="222"/>
      <c r="F60" s="222"/>
      <c r="G60" s="222"/>
      <c r="H60" s="222"/>
      <c r="I60" s="222"/>
      <c r="J60" s="222"/>
    </row>
    <row r="61" spans="1:10" hidden="1" x14ac:dyDescent="0.2">
      <c r="A61" s="207" t="s">
        <v>1605</v>
      </c>
      <c r="B61" s="222">
        <f>ROUND(D20,0)</f>
        <v>3750</v>
      </c>
      <c r="C61" s="222">
        <v>2.8400000000000002E-2</v>
      </c>
      <c r="D61" s="222">
        <f>ROUND(B61*C61,0)</f>
        <v>107</v>
      </c>
      <c r="E61" s="222"/>
      <c r="F61" s="222"/>
      <c r="G61" s="222"/>
      <c r="H61" s="222"/>
      <c r="I61" s="222"/>
      <c r="J61" s="222"/>
    </row>
    <row r="62" spans="1:10" ht="15" hidden="1" x14ac:dyDescent="0.35">
      <c r="A62" s="207" t="s">
        <v>1606</v>
      </c>
      <c r="B62" s="222">
        <f>ROUND(D24,0)</f>
        <v>4855</v>
      </c>
      <c r="C62" s="222">
        <v>2.8400000000000002E-2</v>
      </c>
      <c r="D62" s="148">
        <f>ROUND(B62*C62,0)</f>
        <v>138</v>
      </c>
      <c r="E62" s="222"/>
      <c r="F62" s="222"/>
      <c r="G62" s="222"/>
      <c r="H62" s="222"/>
      <c r="I62" s="222"/>
      <c r="J62" s="222"/>
    </row>
    <row r="63" spans="1:10" hidden="1" x14ac:dyDescent="0.2">
      <c r="A63" s="207" t="s">
        <v>1073</v>
      </c>
      <c r="B63" s="222"/>
      <c r="C63" s="222"/>
      <c r="D63" s="222">
        <f>SUM(D59:D62)</f>
        <v>8402</v>
      </c>
      <c r="E63" s="222"/>
      <c r="F63" s="222"/>
      <c r="G63" s="222"/>
      <c r="H63" s="222"/>
      <c r="I63" s="222"/>
      <c r="J63" s="222"/>
    </row>
    <row r="64" spans="1:10" x14ac:dyDescent="0.2">
      <c r="A64" s="207"/>
      <c r="B64" s="222"/>
      <c r="C64" s="222"/>
      <c r="D64" s="222"/>
      <c r="E64" s="222"/>
      <c r="F64" s="222"/>
      <c r="G64" s="222"/>
      <c r="H64" s="222"/>
      <c r="I64" s="222"/>
      <c r="J64" s="222"/>
    </row>
    <row r="65" spans="1:10" ht="13.5" x14ac:dyDescent="0.25">
      <c r="A65" s="221" t="s">
        <v>420</v>
      </c>
      <c r="B65" s="222"/>
      <c r="C65" s="222"/>
      <c r="D65" s="222"/>
      <c r="E65" s="222">
        <v>126</v>
      </c>
      <c r="F65" s="222">
        <v>100</v>
      </c>
      <c r="G65" s="222">
        <v>100</v>
      </c>
      <c r="H65" s="222">
        <v>100</v>
      </c>
      <c r="I65" s="222">
        <v>100</v>
      </c>
      <c r="J65" s="222">
        <v>100</v>
      </c>
    </row>
    <row r="66" spans="1:10" hidden="1" x14ac:dyDescent="0.2">
      <c r="A66" s="207" t="s">
        <v>1271</v>
      </c>
      <c r="B66" s="222">
        <v>1</v>
      </c>
      <c r="C66" s="222">
        <v>20</v>
      </c>
      <c r="D66" s="222">
        <f>ROUND(B66*C66,0)</f>
        <v>20</v>
      </c>
      <c r="E66" s="222"/>
      <c r="F66" s="222"/>
      <c r="G66" s="222"/>
      <c r="H66" s="222"/>
      <c r="I66" s="222"/>
      <c r="J66" s="222"/>
    </row>
    <row r="67" spans="1:10" ht="15" hidden="1" x14ac:dyDescent="0.35">
      <c r="A67" s="207" t="s">
        <v>688</v>
      </c>
      <c r="B67" s="222">
        <v>4</v>
      </c>
      <c r="C67" s="222">
        <v>20</v>
      </c>
      <c r="D67" s="148">
        <f>ROUND(B67*C67,0)</f>
        <v>80</v>
      </c>
      <c r="E67" s="222"/>
      <c r="F67" s="222"/>
      <c r="G67" s="222"/>
      <c r="H67" s="222"/>
      <c r="I67" s="222"/>
      <c r="J67" s="222"/>
    </row>
    <row r="68" spans="1:10" hidden="1" x14ac:dyDescent="0.2">
      <c r="A68" s="207" t="s">
        <v>1073</v>
      </c>
      <c r="B68" s="222"/>
      <c r="C68" s="222"/>
      <c r="D68" s="222">
        <f>SUM(D66:D67)</f>
        <v>100</v>
      </c>
      <c r="E68" s="222"/>
      <c r="F68" s="222"/>
      <c r="G68" s="222"/>
      <c r="H68" s="222"/>
      <c r="I68" s="222"/>
      <c r="J68" s="222"/>
    </row>
    <row r="69" spans="1:10" x14ac:dyDescent="0.2">
      <c r="A69" s="207"/>
      <c r="B69" s="222"/>
      <c r="C69" s="222"/>
      <c r="D69" s="222"/>
      <c r="E69" s="222"/>
      <c r="F69" s="222"/>
      <c r="G69" s="222"/>
      <c r="H69" s="222"/>
      <c r="I69" s="222"/>
      <c r="J69" s="222"/>
    </row>
    <row r="70" spans="1:10" ht="13.5" x14ac:dyDescent="0.25">
      <c r="A70" s="221" t="s">
        <v>208</v>
      </c>
      <c r="B70" s="222"/>
      <c r="C70" s="222"/>
      <c r="D70" s="222"/>
      <c r="E70" s="222">
        <v>29</v>
      </c>
      <c r="F70" s="222">
        <v>0</v>
      </c>
      <c r="G70" s="222">
        <v>0</v>
      </c>
      <c r="H70" s="222">
        <v>0</v>
      </c>
      <c r="I70" s="222">
        <v>0</v>
      </c>
      <c r="J70" s="222">
        <v>0</v>
      </c>
    </row>
    <row r="71" spans="1:10" x14ac:dyDescent="0.2">
      <c r="A71" s="207" t="s">
        <v>2038</v>
      </c>
      <c r="B71" s="222"/>
      <c r="C71" s="222"/>
      <c r="D71" s="222">
        <v>0</v>
      </c>
      <c r="E71" s="222"/>
      <c r="F71" s="222"/>
      <c r="G71" s="222"/>
      <c r="H71" s="222"/>
      <c r="I71" s="222"/>
      <c r="J71" s="222"/>
    </row>
    <row r="72" spans="1:10" x14ac:dyDescent="0.2">
      <c r="A72" s="207"/>
      <c r="B72" s="222"/>
      <c r="C72" s="222"/>
      <c r="D72" s="222"/>
      <c r="E72" s="222"/>
      <c r="F72" s="222"/>
      <c r="G72" s="222"/>
      <c r="H72" s="222"/>
      <c r="I72" s="222"/>
      <c r="J72" s="222"/>
    </row>
    <row r="73" spans="1:10" ht="13.5" x14ac:dyDescent="0.25">
      <c r="A73" s="221" t="s">
        <v>209</v>
      </c>
      <c r="B73" s="222"/>
      <c r="C73" s="222"/>
      <c r="D73" s="222"/>
      <c r="E73" s="222">
        <v>3077</v>
      </c>
      <c r="F73" s="222">
        <v>2900</v>
      </c>
      <c r="G73" s="222">
        <v>2900</v>
      </c>
      <c r="H73" s="222">
        <v>2900</v>
      </c>
      <c r="I73" s="222">
        <v>2900</v>
      </c>
      <c r="J73" s="222">
        <v>2900</v>
      </c>
    </row>
    <row r="74" spans="1:10" x14ac:dyDescent="0.2">
      <c r="A74" s="207" t="s">
        <v>1240</v>
      </c>
      <c r="B74" s="222"/>
      <c r="C74" s="222"/>
      <c r="D74" s="223">
        <v>2900</v>
      </c>
      <c r="E74" s="222"/>
      <c r="F74" s="222"/>
      <c r="G74" s="222"/>
      <c r="H74" s="222"/>
      <c r="I74" s="222"/>
      <c r="J74" s="222"/>
    </row>
    <row r="75" spans="1:10" x14ac:dyDescent="0.2">
      <c r="A75" s="207"/>
      <c r="B75" s="222"/>
      <c r="C75" s="222"/>
      <c r="D75" s="222"/>
      <c r="E75" s="222"/>
      <c r="F75" s="222"/>
      <c r="G75" s="222"/>
      <c r="H75" s="222"/>
      <c r="I75" s="222"/>
      <c r="J75" s="222"/>
    </row>
    <row r="76" spans="1:10" ht="13.5" x14ac:dyDescent="0.25">
      <c r="A76" s="221" t="s">
        <v>190</v>
      </c>
      <c r="B76" s="222"/>
      <c r="C76" s="222"/>
      <c r="D76" s="222" t="s">
        <v>345</v>
      </c>
      <c r="E76" s="222">
        <v>2775</v>
      </c>
      <c r="F76" s="222">
        <v>3100</v>
      </c>
      <c r="G76" s="222">
        <v>3100</v>
      </c>
      <c r="H76" s="222">
        <v>3100</v>
      </c>
      <c r="I76" s="222">
        <v>3100</v>
      </c>
      <c r="J76" s="222">
        <v>3215</v>
      </c>
    </row>
    <row r="77" spans="1:10" x14ac:dyDescent="0.2">
      <c r="A77" s="207" t="s">
        <v>914</v>
      </c>
      <c r="B77" s="222">
        <v>1</v>
      </c>
      <c r="C77" s="222">
        <v>300</v>
      </c>
      <c r="D77" s="222">
        <f>ROUND(B77*C77,0)</f>
        <v>300</v>
      </c>
      <c r="E77" s="222"/>
      <c r="F77" s="222"/>
      <c r="G77" s="222"/>
      <c r="H77" s="222"/>
      <c r="I77" s="222"/>
      <c r="J77" s="222"/>
    </row>
    <row r="78" spans="1:10" x14ac:dyDescent="0.2">
      <c r="A78" s="207" t="s">
        <v>792</v>
      </c>
      <c r="B78" s="222">
        <v>4</v>
      </c>
      <c r="C78" s="222">
        <v>300</v>
      </c>
      <c r="D78" s="222">
        <f>ROUND(B78*C78,0)</f>
        <v>1200</v>
      </c>
      <c r="E78" s="222"/>
      <c r="F78" s="222"/>
      <c r="G78" s="222"/>
      <c r="H78" s="222"/>
      <c r="I78" s="222"/>
      <c r="J78" s="222"/>
    </row>
    <row r="79" spans="1:10" x14ac:dyDescent="0.2">
      <c r="A79" s="207" t="s">
        <v>1013</v>
      </c>
      <c r="B79" s="222">
        <v>1</v>
      </c>
      <c r="C79" s="222">
        <v>200</v>
      </c>
      <c r="D79" s="222">
        <f>ROUND(B79*C79,0)</f>
        <v>200</v>
      </c>
      <c r="E79" s="222"/>
      <c r="F79" s="222"/>
      <c r="G79" s="222"/>
      <c r="H79" s="222"/>
      <c r="I79" s="222"/>
      <c r="J79" s="222"/>
    </row>
    <row r="80" spans="1:10" x14ac:dyDescent="0.2">
      <c r="A80" s="207" t="s">
        <v>1014</v>
      </c>
      <c r="B80" s="222">
        <v>4</v>
      </c>
      <c r="C80" s="222">
        <v>275</v>
      </c>
      <c r="D80" s="222">
        <f t="shared" ref="D80:D82" si="0">ROUND(B80*C80,0)</f>
        <v>1100</v>
      </c>
      <c r="E80" s="222"/>
      <c r="F80" s="222"/>
      <c r="G80" s="222"/>
      <c r="H80" s="222"/>
      <c r="I80" s="222"/>
      <c r="J80" s="222"/>
    </row>
    <row r="81" spans="1:10" x14ac:dyDescent="0.2">
      <c r="A81" s="207" t="s">
        <v>758</v>
      </c>
      <c r="B81" s="222">
        <v>5</v>
      </c>
      <c r="C81" s="222">
        <v>60</v>
      </c>
      <c r="D81" s="222">
        <f t="shared" si="0"/>
        <v>300</v>
      </c>
      <c r="E81" s="222"/>
      <c r="F81" s="222"/>
      <c r="G81" s="222"/>
      <c r="H81" s="222"/>
      <c r="I81" s="222"/>
      <c r="J81" s="222"/>
    </row>
    <row r="82" spans="1:10" s="236" customFormat="1" x14ac:dyDescent="0.2">
      <c r="A82" s="207" t="s">
        <v>2115</v>
      </c>
      <c r="B82" s="222">
        <v>1</v>
      </c>
      <c r="C82" s="222">
        <v>115</v>
      </c>
      <c r="D82" s="240">
        <f t="shared" si="0"/>
        <v>115</v>
      </c>
      <c r="E82" s="222"/>
      <c r="F82" s="222"/>
      <c r="G82" s="222"/>
      <c r="H82" s="222"/>
      <c r="I82" s="222"/>
      <c r="J82" s="222"/>
    </row>
    <row r="83" spans="1:10" x14ac:dyDescent="0.2">
      <c r="A83" s="207" t="s">
        <v>1073</v>
      </c>
      <c r="B83" s="222"/>
      <c r="C83" s="222"/>
      <c r="D83" s="222">
        <f>SUM(D77:D82)</f>
        <v>3215</v>
      </c>
      <c r="E83" s="222"/>
      <c r="F83" s="222"/>
      <c r="G83" s="222"/>
      <c r="H83" s="222"/>
      <c r="I83" s="222"/>
      <c r="J83" s="222"/>
    </row>
    <row r="84" spans="1:10" x14ac:dyDescent="0.2">
      <c r="A84" s="207"/>
      <c r="B84" s="222"/>
      <c r="C84" s="222"/>
      <c r="D84" s="222"/>
      <c r="E84" s="222"/>
      <c r="F84" s="222"/>
      <c r="G84" s="222"/>
      <c r="H84" s="222"/>
      <c r="I84" s="222"/>
      <c r="J84" s="222"/>
    </row>
    <row r="85" spans="1:10" ht="13.5" x14ac:dyDescent="0.25">
      <c r="A85" s="221" t="s">
        <v>119</v>
      </c>
      <c r="B85" s="222"/>
      <c r="C85" s="222"/>
      <c r="D85" s="222">
        <v>50</v>
      </c>
      <c r="E85" s="222">
        <v>0</v>
      </c>
      <c r="F85" s="222">
        <v>50</v>
      </c>
      <c r="G85" s="222">
        <v>50</v>
      </c>
      <c r="H85" s="222">
        <v>50</v>
      </c>
      <c r="I85" s="222">
        <v>50</v>
      </c>
      <c r="J85" s="222">
        <v>50</v>
      </c>
    </row>
    <row r="86" spans="1:10" x14ac:dyDescent="0.2">
      <c r="A86" s="207"/>
      <c r="B86" s="222"/>
      <c r="C86" s="222"/>
      <c r="D86" s="222"/>
      <c r="E86" s="222"/>
      <c r="F86" s="222"/>
      <c r="G86" s="222"/>
      <c r="H86" s="222"/>
      <c r="I86" s="222"/>
      <c r="J86" s="222"/>
    </row>
    <row r="87" spans="1:10" ht="13.5" x14ac:dyDescent="0.25">
      <c r="A87" s="221" t="s">
        <v>759</v>
      </c>
      <c r="B87" s="222"/>
      <c r="C87" s="222"/>
      <c r="D87" s="222"/>
      <c r="E87" s="222">
        <v>1222</v>
      </c>
      <c r="F87" s="222">
        <v>2116</v>
      </c>
      <c r="G87" s="222">
        <v>2492</v>
      </c>
      <c r="H87" s="222">
        <v>2492</v>
      </c>
      <c r="I87" s="222">
        <v>2492</v>
      </c>
      <c r="J87" s="222">
        <v>2492</v>
      </c>
    </row>
    <row r="88" spans="1:10" x14ac:dyDescent="0.2">
      <c r="A88" s="207" t="s">
        <v>1069</v>
      </c>
      <c r="B88" s="222">
        <v>850</v>
      </c>
      <c r="C88" s="222">
        <v>2.85</v>
      </c>
      <c r="D88" s="222">
        <f>ROUND(B88*C88,0)</f>
        <v>2423</v>
      </c>
      <c r="E88" s="222"/>
      <c r="F88" s="222"/>
      <c r="G88" s="222"/>
      <c r="H88" s="222"/>
      <c r="I88" s="222"/>
      <c r="J88" s="222"/>
    </row>
    <row r="89" spans="1:10" ht="15" x14ac:dyDescent="0.35">
      <c r="A89" s="207" t="s">
        <v>396</v>
      </c>
      <c r="B89" s="222">
        <v>25</v>
      </c>
      <c r="C89" s="222">
        <v>2.75</v>
      </c>
      <c r="D89" s="148">
        <f>ROUND(B89*C89,0)</f>
        <v>69</v>
      </c>
      <c r="E89" s="222"/>
      <c r="F89" s="222"/>
      <c r="G89" s="222"/>
      <c r="H89" s="222"/>
      <c r="I89" s="222"/>
      <c r="J89" s="222"/>
    </row>
    <row r="90" spans="1:10" x14ac:dyDescent="0.2">
      <c r="A90" s="207" t="s">
        <v>1073</v>
      </c>
      <c r="B90" s="222"/>
      <c r="C90" s="222"/>
      <c r="D90" s="222">
        <f>SUM(D88:D89)</f>
        <v>2492</v>
      </c>
      <c r="E90" s="222"/>
      <c r="F90" s="222"/>
      <c r="G90" s="222"/>
      <c r="H90" s="222"/>
      <c r="I90" s="222"/>
      <c r="J90" s="222"/>
    </row>
    <row r="91" spans="1:10" x14ac:dyDescent="0.2">
      <c r="A91" s="207"/>
      <c r="B91" s="222"/>
      <c r="C91" s="222"/>
      <c r="D91" s="222"/>
      <c r="E91" s="222"/>
      <c r="F91" s="222"/>
      <c r="G91" s="222"/>
      <c r="H91" s="222"/>
      <c r="I91" s="222"/>
      <c r="J91" s="222"/>
    </row>
    <row r="92" spans="1:10" ht="13.5" x14ac:dyDescent="0.25">
      <c r="A92" s="221" t="s">
        <v>1070</v>
      </c>
      <c r="B92" s="222"/>
      <c r="C92" s="222"/>
      <c r="D92" s="222"/>
      <c r="E92" s="222">
        <v>480</v>
      </c>
      <c r="F92" s="222">
        <v>480</v>
      </c>
      <c r="G92" s="222">
        <v>480</v>
      </c>
      <c r="H92" s="222">
        <v>480</v>
      </c>
      <c r="I92" s="222">
        <v>480</v>
      </c>
      <c r="J92" s="222">
        <v>480</v>
      </c>
    </row>
    <row r="93" spans="1:10" x14ac:dyDescent="0.2">
      <c r="A93" s="207" t="s">
        <v>262</v>
      </c>
      <c r="B93" s="222"/>
      <c r="C93" s="222"/>
      <c r="D93" s="222">
        <v>480</v>
      </c>
      <c r="E93" s="222"/>
      <c r="F93" s="222"/>
      <c r="G93" s="222"/>
      <c r="H93" s="222"/>
      <c r="I93" s="222"/>
      <c r="J93" s="222"/>
    </row>
    <row r="94" spans="1:10" x14ac:dyDescent="0.2">
      <c r="A94" s="207"/>
      <c r="B94" s="222"/>
      <c r="C94" s="222"/>
      <c r="D94" s="222"/>
      <c r="E94" s="222"/>
      <c r="F94" s="222"/>
      <c r="G94" s="222"/>
      <c r="H94" s="222"/>
      <c r="I94" s="222"/>
      <c r="J94" s="222"/>
    </row>
    <row r="95" spans="1:10" x14ac:dyDescent="0.2">
      <c r="A95" s="207"/>
      <c r="B95" s="222"/>
      <c r="C95" s="222"/>
      <c r="D95" s="222"/>
      <c r="E95" s="222"/>
      <c r="F95" s="222"/>
      <c r="G95" s="222"/>
      <c r="H95" s="222"/>
      <c r="I95" s="222"/>
      <c r="J95" s="222"/>
    </row>
    <row r="96" spans="1:10" ht="13.5" x14ac:dyDescent="0.25">
      <c r="A96" s="221" t="s">
        <v>727</v>
      </c>
      <c r="B96" s="222"/>
      <c r="C96" s="222"/>
      <c r="D96" s="222"/>
      <c r="E96" s="222">
        <v>2533</v>
      </c>
      <c r="F96" s="222">
        <v>2461</v>
      </c>
      <c r="G96" s="222">
        <v>3081</v>
      </c>
      <c r="H96" s="222">
        <v>3081</v>
      </c>
      <c r="I96" s="222">
        <v>3081</v>
      </c>
      <c r="J96" s="222">
        <v>3081</v>
      </c>
    </row>
    <row r="97" spans="1:10" x14ac:dyDescent="0.2">
      <c r="A97" s="207" t="s">
        <v>1420</v>
      </c>
      <c r="B97" s="222"/>
      <c r="C97" s="222"/>
      <c r="D97" s="222">
        <v>3081</v>
      </c>
      <c r="E97" s="222"/>
      <c r="F97" s="222"/>
      <c r="G97" s="222"/>
      <c r="H97" s="222"/>
      <c r="I97" s="222"/>
      <c r="J97" s="222"/>
    </row>
    <row r="98" spans="1:10" x14ac:dyDescent="0.2">
      <c r="A98" s="207"/>
      <c r="B98" s="222"/>
      <c r="C98" s="222"/>
      <c r="D98" s="222"/>
      <c r="E98" s="222"/>
      <c r="F98" s="222"/>
      <c r="G98" s="222"/>
      <c r="H98" s="222"/>
      <c r="I98" s="222"/>
      <c r="J98" s="222"/>
    </row>
    <row r="99" spans="1:10" ht="13.5" x14ac:dyDescent="0.25">
      <c r="A99" s="221" t="s">
        <v>728</v>
      </c>
      <c r="B99" s="222"/>
      <c r="C99" s="222"/>
      <c r="D99" s="222"/>
      <c r="E99" s="222">
        <v>11</v>
      </c>
      <c r="F99" s="222">
        <v>500</v>
      </c>
      <c r="G99" s="222">
        <v>500</v>
      </c>
      <c r="H99" s="222">
        <v>500</v>
      </c>
      <c r="I99" s="222">
        <v>500</v>
      </c>
      <c r="J99" s="222">
        <v>500</v>
      </c>
    </row>
    <row r="100" spans="1:10" x14ac:dyDescent="0.2">
      <c r="A100" s="207" t="s">
        <v>533</v>
      </c>
      <c r="B100" s="222"/>
      <c r="C100" s="222"/>
      <c r="D100" s="222">
        <v>500</v>
      </c>
      <c r="E100" s="222"/>
      <c r="F100" s="222"/>
      <c r="G100" s="222"/>
      <c r="H100" s="222"/>
      <c r="I100" s="222"/>
      <c r="J100" s="222"/>
    </row>
    <row r="101" spans="1:10" x14ac:dyDescent="0.2">
      <c r="A101" s="207"/>
      <c r="B101" s="222"/>
      <c r="C101" s="222"/>
      <c r="D101" s="222"/>
      <c r="E101" s="222"/>
      <c r="F101" s="222"/>
      <c r="G101" s="222"/>
      <c r="H101" s="222"/>
      <c r="I101" s="222"/>
      <c r="J101" s="222"/>
    </row>
    <row r="102" spans="1:10" ht="13.5" x14ac:dyDescent="0.25">
      <c r="A102" s="221" t="s">
        <v>940</v>
      </c>
      <c r="B102" s="222"/>
      <c r="C102" s="222"/>
      <c r="D102" s="222"/>
      <c r="E102" s="222">
        <v>7045</v>
      </c>
      <c r="F102" s="222">
        <v>4500</v>
      </c>
      <c r="G102" s="222">
        <v>5400</v>
      </c>
      <c r="H102" s="222">
        <v>5400</v>
      </c>
      <c r="I102" s="222">
        <v>5400</v>
      </c>
      <c r="J102" s="222">
        <v>5400</v>
      </c>
    </row>
    <row r="103" spans="1:10" x14ac:dyDescent="0.2">
      <c r="A103" s="207" t="s">
        <v>2039</v>
      </c>
      <c r="B103" s="222"/>
      <c r="C103" s="222"/>
      <c r="D103" s="223">
        <v>4500</v>
      </c>
      <c r="E103" s="222"/>
      <c r="F103" s="222"/>
      <c r="G103" s="222"/>
      <c r="H103" s="222"/>
      <c r="I103" s="222"/>
      <c r="J103" s="222"/>
    </row>
    <row r="104" spans="1:10" ht="15" x14ac:dyDescent="0.35">
      <c r="A104" s="207" t="s">
        <v>2040</v>
      </c>
      <c r="B104" s="222"/>
      <c r="C104" s="222"/>
      <c r="D104" s="148">
        <v>900</v>
      </c>
      <c r="E104" s="222"/>
      <c r="F104" s="222"/>
      <c r="G104" s="222"/>
      <c r="H104" s="222"/>
      <c r="I104" s="222"/>
      <c r="J104" s="222"/>
    </row>
    <row r="105" spans="1:10" x14ac:dyDescent="0.2">
      <c r="A105" s="207" t="s">
        <v>1073</v>
      </c>
      <c r="B105" s="222"/>
      <c r="C105" s="222"/>
      <c r="D105" s="223">
        <f>SUM(D103:D104)</f>
        <v>5400</v>
      </c>
      <c r="E105" s="222"/>
      <c r="F105" s="222"/>
      <c r="G105" s="222"/>
      <c r="H105" s="222"/>
      <c r="I105" s="222"/>
      <c r="J105" s="222"/>
    </row>
    <row r="106" spans="1:10" x14ac:dyDescent="0.2">
      <c r="A106" s="207"/>
      <c r="B106" s="222"/>
      <c r="C106" s="222"/>
      <c r="D106" s="223"/>
      <c r="E106" s="222"/>
      <c r="F106" s="222"/>
      <c r="G106" s="222"/>
      <c r="H106" s="222"/>
      <c r="I106" s="222"/>
      <c r="J106" s="222"/>
    </row>
    <row r="107" spans="1:10" ht="13.5" x14ac:dyDescent="0.25">
      <c r="A107" s="221" t="s">
        <v>941</v>
      </c>
      <c r="B107" s="222"/>
      <c r="C107" s="222"/>
      <c r="D107" s="223"/>
      <c r="E107" s="222">
        <f>1455-47</f>
        <v>1408</v>
      </c>
      <c r="F107" s="222">
        <v>900</v>
      </c>
      <c r="G107" s="222">
        <v>1000</v>
      </c>
      <c r="H107" s="222">
        <v>1000</v>
      </c>
      <c r="I107" s="222">
        <v>1000</v>
      </c>
      <c r="J107" s="222">
        <v>1000</v>
      </c>
    </row>
    <row r="108" spans="1:10" x14ac:dyDescent="0.2">
      <c r="A108" s="207" t="s">
        <v>1489</v>
      </c>
      <c r="B108" s="222"/>
      <c r="C108" s="222"/>
      <c r="D108" s="223">
        <v>1000</v>
      </c>
      <c r="E108" s="222"/>
      <c r="F108" s="222"/>
      <c r="G108" s="222"/>
      <c r="H108" s="222"/>
      <c r="I108" s="222"/>
      <c r="J108" s="222"/>
    </row>
    <row r="109" spans="1:10" x14ac:dyDescent="0.2">
      <c r="A109" s="207"/>
      <c r="B109" s="222"/>
      <c r="C109" s="222"/>
      <c r="D109" s="223"/>
      <c r="E109" s="222"/>
      <c r="F109" s="222"/>
      <c r="G109" s="222"/>
      <c r="H109" s="222"/>
      <c r="I109" s="222"/>
      <c r="J109" s="222"/>
    </row>
    <row r="110" spans="1:10" ht="13.5" x14ac:dyDescent="0.25">
      <c r="A110" s="221" t="s">
        <v>1355</v>
      </c>
      <c r="B110" s="222"/>
      <c r="C110" s="222"/>
      <c r="D110" s="223"/>
      <c r="E110" s="222">
        <v>4147</v>
      </c>
      <c r="F110" s="222">
        <v>4628</v>
      </c>
      <c r="G110" s="222">
        <v>5552</v>
      </c>
      <c r="H110" s="222">
        <v>5552</v>
      </c>
      <c r="I110" s="222">
        <v>5552</v>
      </c>
      <c r="J110" s="222">
        <v>5552</v>
      </c>
    </row>
    <row r="111" spans="1:10" x14ac:dyDescent="0.2">
      <c r="A111" s="207" t="s">
        <v>1540</v>
      </c>
      <c r="B111" s="222"/>
      <c r="C111" s="222"/>
      <c r="D111" s="223">
        <v>2448</v>
      </c>
      <c r="E111" s="222"/>
      <c r="F111" s="222"/>
      <c r="G111" s="222"/>
      <c r="H111" s="222"/>
      <c r="I111" s="222"/>
      <c r="J111" s="222"/>
    </row>
    <row r="112" spans="1:10" x14ac:dyDescent="0.2">
      <c r="A112" s="207" t="s">
        <v>1645</v>
      </c>
      <c r="B112" s="222"/>
      <c r="C112" s="222"/>
      <c r="D112" s="223">
        <v>2104</v>
      </c>
      <c r="E112" s="222"/>
      <c r="F112" s="222"/>
      <c r="G112" s="222"/>
      <c r="H112" s="222"/>
      <c r="I112" s="222"/>
      <c r="J112" s="222"/>
    </row>
    <row r="113" spans="1:10" ht="15" x14ac:dyDescent="0.35">
      <c r="A113" s="207" t="s">
        <v>2041</v>
      </c>
      <c r="B113" s="222"/>
      <c r="C113" s="222"/>
      <c r="D113" s="148">
        <v>1000</v>
      </c>
      <c r="E113" s="222"/>
      <c r="F113" s="222"/>
      <c r="G113" s="222"/>
      <c r="H113" s="222"/>
      <c r="I113" s="222"/>
      <c r="J113" s="222"/>
    </row>
    <row r="114" spans="1:10" x14ac:dyDescent="0.2">
      <c r="A114" s="207"/>
      <c r="B114" s="222"/>
      <c r="C114" s="222"/>
      <c r="D114" s="223">
        <f>SUM(D111:D113)</f>
        <v>5552</v>
      </c>
      <c r="E114" s="222"/>
      <c r="F114" s="222"/>
      <c r="G114" s="222"/>
      <c r="H114" s="222"/>
      <c r="I114" s="222"/>
      <c r="J114" s="222"/>
    </row>
    <row r="115" spans="1:10" x14ac:dyDescent="0.2">
      <c r="A115" s="207"/>
      <c r="B115" s="222"/>
      <c r="C115" s="222"/>
      <c r="D115" s="222"/>
      <c r="E115" s="222"/>
      <c r="F115" s="222"/>
      <c r="G115" s="222"/>
      <c r="H115" s="222"/>
      <c r="I115" s="222"/>
      <c r="J115" s="222"/>
    </row>
    <row r="116" spans="1:10" ht="13.5" x14ac:dyDescent="0.25">
      <c r="A116" s="221" t="s">
        <v>1371</v>
      </c>
      <c r="B116" s="222"/>
      <c r="C116" s="222"/>
      <c r="D116" s="222"/>
      <c r="E116" s="222">
        <v>1443</v>
      </c>
      <c r="F116" s="222">
        <v>1500</v>
      </c>
      <c r="G116" s="222">
        <v>1500</v>
      </c>
      <c r="H116" s="222">
        <v>1500</v>
      </c>
      <c r="I116" s="222">
        <v>1500</v>
      </c>
      <c r="J116" s="222">
        <v>1500</v>
      </c>
    </row>
    <row r="117" spans="1:10" x14ac:dyDescent="0.2">
      <c r="A117" s="207" t="s">
        <v>1490</v>
      </c>
      <c r="B117" s="222"/>
      <c r="C117" s="222"/>
      <c r="D117" s="222">
        <v>500</v>
      </c>
      <c r="E117" s="222"/>
      <c r="F117" s="222"/>
      <c r="G117" s="222"/>
      <c r="H117" s="222"/>
      <c r="I117" s="222"/>
      <c r="J117" s="222"/>
    </row>
    <row r="118" spans="1:10" ht="15" x14ac:dyDescent="0.35">
      <c r="A118" s="207" t="s">
        <v>1959</v>
      </c>
      <c r="B118" s="222"/>
      <c r="C118" s="222"/>
      <c r="D118" s="148">
        <v>1000</v>
      </c>
      <c r="E118" s="222"/>
      <c r="F118" s="222"/>
      <c r="G118" s="222"/>
      <c r="H118" s="222"/>
      <c r="I118" s="222"/>
      <c r="J118" s="222"/>
    </row>
    <row r="119" spans="1:10" x14ac:dyDescent="0.2">
      <c r="A119" s="207"/>
      <c r="B119" s="222"/>
      <c r="C119" s="222"/>
      <c r="D119" s="222">
        <f>SUM(D117:D118)</f>
        <v>1500</v>
      </c>
      <c r="E119" s="222"/>
      <c r="F119" s="222"/>
      <c r="G119" s="222"/>
      <c r="H119" s="222"/>
      <c r="I119" s="222"/>
      <c r="J119" s="222"/>
    </row>
    <row r="120" spans="1:10" x14ac:dyDescent="0.2">
      <c r="A120" s="207"/>
      <c r="B120" s="222"/>
      <c r="C120" s="222"/>
      <c r="D120" s="222"/>
      <c r="E120" s="222"/>
      <c r="F120" s="222"/>
      <c r="G120" s="222"/>
      <c r="H120" s="222"/>
      <c r="I120" s="222"/>
      <c r="J120" s="222"/>
    </row>
    <row r="121" spans="1:10" ht="13.5" x14ac:dyDescent="0.25">
      <c r="A121" s="221" t="s">
        <v>583</v>
      </c>
      <c r="B121" s="222"/>
      <c r="C121" s="222"/>
      <c r="D121" s="222"/>
      <c r="E121" s="222">
        <v>112</v>
      </c>
      <c r="F121" s="222">
        <v>200</v>
      </c>
      <c r="G121" s="222">
        <v>200</v>
      </c>
      <c r="H121" s="222">
        <v>200</v>
      </c>
      <c r="I121" s="222">
        <v>200</v>
      </c>
      <c r="J121" s="222">
        <v>200</v>
      </c>
    </row>
    <row r="122" spans="1:10" x14ac:dyDescent="0.2">
      <c r="A122" s="207" t="s">
        <v>1273</v>
      </c>
      <c r="B122" s="222"/>
      <c r="C122" s="222"/>
      <c r="D122" s="222">
        <v>200</v>
      </c>
      <c r="E122" s="222"/>
      <c r="F122" s="222"/>
      <c r="G122" s="222"/>
      <c r="H122" s="222"/>
      <c r="I122" s="222"/>
      <c r="J122" s="222"/>
    </row>
    <row r="123" spans="1:10" x14ac:dyDescent="0.2">
      <c r="A123" s="207"/>
      <c r="B123" s="222"/>
      <c r="C123" s="222"/>
      <c r="D123" s="222"/>
      <c r="E123" s="222"/>
      <c r="F123" s="222"/>
      <c r="G123" s="222"/>
      <c r="H123" s="222"/>
      <c r="I123" s="222"/>
      <c r="J123" s="2"/>
    </row>
    <row r="124" spans="1:10" ht="15" x14ac:dyDescent="0.35">
      <c r="A124" s="187" t="s">
        <v>379</v>
      </c>
      <c r="C124" s="2"/>
      <c r="D124" s="2"/>
      <c r="E124" s="10">
        <v>0</v>
      </c>
      <c r="F124" s="10">
        <v>0</v>
      </c>
      <c r="G124" s="10">
        <v>0</v>
      </c>
      <c r="H124" s="10">
        <v>0</v>
      </c>
      <c r="I124" s="10">
        <v>0</v>
      </c>
      <c r="J124" s="10">
        <v>0</v>
      </c>
    </row>
    <row r="125" spans="1:10" x14ac:dyDescent="0.2">
      <c r="A125" s="22"/>
      <c r="C125" s="2"/>
      <c r="D125" s="2">
        <v>0</v>
      </c>
      <c r="E125" s="2"/>
      <c r="F125" s="2"/>
      <c r="G125" s="2"/>
      <c r="H125" s="2"/>
      <c r="I125" s="2"/>
      <c r="J125" s="2"/>
    </row>
    <row r="126" spans="1:10" x14ac:dyDescent="0.2">
      <c r="C126" s="2"/>
      <c r="D126" s="2"/>
      <c r="E126" s="2"/>
      <c r="F126" s="2"/>
      <c r="G126" s="2"/>
      <c r="H126" s="2"/>
      <c r="I126" s="2"/>
      <c r="J126" s="2"/>
    </row>
    <row r="127" spans="1:10" x14ac:dyDescent="0.2">
      <c r="A127" s="183" t="s">
        <v>1151</v>
      </c>
      <c r="C127" s="2"/>
      <c r="D127" s="56"/>
      <c r="E127" s="2">
        <f t="shared" ref="E127:J127" si="1">SUM(E6:E126)</f>
        <v>452220</v>
      </c>
      <c r="F127" s="2">
        <f t="shared" si="1"/>
        <v>494088</v>
      </c>
      <c r="G127" s="2">
        <f t="shared" si="1"/>
        <v>497915</v>
      </c>
      <c r="H127" s="2">
        <f t="shared" ref="H127:I127" si="2">SUM(H6:H126)</f>
        <v>497915</v>
      </c>
      <c r="I127" s="2">
        <f t="shared" si="2"/>
        <v>495415</v>
      </c>
      <c r="J127" s="2">
        <f t="shared" si="1"/>
        <v>499132</v>
      </c>
    </row>
    <row r="128" spans="1:10" x14ac:dyDescent="0.2">
      <c r="H128" s="227"/>
      <c r="I128" s="231"/>
    </row>
    <row r="129" spans="1:10" x14ac:dyDescent="0.2">
      <c r="H129" s="227"/>
      <c r="I129" s="231"/>
    </row>
    <row r="130" spans="1:10" x14ac:dyDescent="0.2">
      <c r="A130" s="183" t="s">
        <v>519</v>
      </c>
      <c r="C130" s="56"/>
      <c r="D130" s="56"/>
      <c r="E130" s="2">
        <f t="shared" ref="E130:J130" si="3">SUM(E6:E71)</f>
        <v>427967</v>
      </c>
      <c r="F130" s="2">
        <f t="shared" si="3"/>
        <v>470753</v>
      </c>
      <c r="G130" s="2">
        <f t="shared" si="3"/>
        <v>471660</v>
      </c>
      <c r="H130" s="2">
        <f t="shared" ref="H130:I130" si="4">SUM(H6:H71)</f>
        <v>471660</v>
      </c>
      <c r="I130" s="2">
        <f t="shared" si="4"/>
        <v>469160</v>
      </c>
      <c r="J130" s="2">
        <f t="shared" si="3"/>
        <v>472762</v>
      </c>
    </row>
    <row r="131" spans="1:10" x14ac:dyDescent="0.2">
      <c r="A131" s="183" t="s">
        <v>809</v>
      </c>
      <c r="C131" s="45"/>
      <c r="D131" s="56"/>
      <c r="E131" s="2">
        <f>SUM(E72:E123)</f>
        <v>24253</v>
      </c>
      <c r="F131" s="2">
        <f>SUM(F72:F123)</f>
        <v>23335</v>
      </c>
      <c r="G131" s="2">
        <f>SUM(G72:G122)</f>
        <v>26255</v>
      </c>
      <c r="H131" s="2">
        <f>SUM(H72:H122)</f>
        <v>26255</v>
      </c>
      <c r="I131" s="2">
        <f>SUM(I72:I122)</f>
        <v>26255</v>
      </c>
      <c r="J131" s="2">
        <f>SUM(J72:J123)</f>
        <v>26370</v>
      </c>
    </row>
    <row r="132" spans="1:10" ht="15" x14ac:dyDescent="0.35">
      <c r="A132" s="183" t="s">
        <v>810</v>
      </c>
      <c r="E132" s="10">
        <f t="shared" ref="E132:J132" si="5">SUM(E124)</f>
        <v>0</v>
      </c>
      <c r="F132" s="10">
        <f t="shared" si="5"/>
        <v>0</v>
      </c>
      <c r="G132" s="10">
        <f>SUM(G124)</f>
        <v>0</v>
      </c>
      <c r="H132" s="10">
        <f>SUM(H124)</f>
        <v>0</v>
      </c>
      <c r="I132" s="10">
        <f>SUM(I124)</f>
        <v>0</v>
      </c>
      <c r="J132" s="10">
        <f t="shared" si="5"/>
        <v>0</v>
      </c>
    </row>
    <row r="133" spans="1:10" x14ac:dyDescent="0.2">
      <c r="A133" s="183" t="s">
        <v>1073</v>
      </c>
      <c r="E133" s="2">
        <f t="shared" ref="E133:J133" si="6">SUM(E130:E132)</f>
        <v>452220</v>
      </c>
      <c r="F133" s="2">
        <f t="shared" si="6"/>
        <v>494088</v>
      </c>
      <c r="G133" s="2">
        <f t="shared" si="6"/>
        <v>497915</v>
      </c>
      <c r="H133" s="2">
        <f t="shared" ref="H133:I133" si="7">SUM(H130:H132)</f>
        <v>497915</v>
      </c>
      <c r="I133" s="2">
        <f t="shared" si="7"/>
        <v>495415</v>
      </c>
      <c r="J133" s="2">
        <f t="shared" si="6"/>
        <v>499132</v>
      </c>
    </row>
    <row r="134" spans="1:10" x14ac:dyDescent="0.2">
      <c r="H134" s="227"/>
      <c r="I134" s="231"/>
    </row>
    <row r="135" spans="1:10" x14ac:dyDescent="0.2">
      <c r="H135" s="227"/>
      <c r="I135" s="231"/>
    </row>
    <row r="136" spans="1:10" x14ac:dyDescent="0.2">
      <c r="H136" s="227"/>
      <c r="I136" s="231"/>
    </row>
    <row r="137" spans="1:10" x14ac:dyDescent="0.2">
      <c r="H137" s="227"/>
      <c r="I137" s="231"/>
    </row>
    <row r="138" spans="1:10" x14ac:dyDescent="0.2">
      <c r="H138" s="227"/>
      <c r="I138" s="231"/>
    </row>
    <row r="139" spans="1:10" x14ac:dyDescent="0.2">
      <c r="H139" s="227"/>
      <c r="I139" s="231"/>
    </row>
    <row r="140" spans="1:10" x14ac:dyDescent="0.2">
      <c r="H140" s="227"/>
      <c r="I140" s="231"/>
    </row>
    <row r="141" spans="1:10" x14ac:dyDescent="0.2">
      <c r="H141" s="227"/>
      <c r="I141" s="231"/>
    </row>
    <row r="142" spans="1:10" x14ac:dyDescent="0.2">
      <c r="H142" s="227"/>
      <c r="I142" s="231"/>
    </row>
    <row r="143" spans="1:10" x14ac:dyDescent="0.2">
      <c r="H143" s="227"/>
      <c r="I143" s="231"/>
    </row>
    <row r="144" spans="1:10" x14ac:dyDescent="0.2">
      <c r="H144" s="227"/>
      <c r="I144" s="231"/>
    </row>
    <row r="145" spans="8:9" x14ac:dyDescent="0.2">
      <c r="H145" s="227"/>
      <c r="I145" s="231"/>
    </row>
    <row r="146" spans="8:9" x14ac:dyDescent="0.2">
      <c r="H146" s="227"/>
      <c r="I146" s="231"/>
    </row>
    <row r="147" spans="8:9" x14ac:dyDescent="0.2">
      <c r="H147" s="227"/>
      <c r="I147" s="231"/>
    </row>
    <row r="148" spans="8:9" x14ac:dyDescent="0.2">
      <c r="H148" s="227"/>
      <c r="I148" s="231"/>
    </row>
    <row r="149" spans="8:9" x14ac:dyDescent="0.2">
      <c r="H149" s="227"/>
      <c r="I149" s="231"/>
    </row>
    <row r="150" spans="8:9" x14ac:dyDescent="0.2">
      <c r="H150" s="227"/>
      <c r="I150" s="231"/>
    </row>
    <row r="151" spans="8:9" x14ac:dyDescent="0.2">
      <c r="H151" s="227"/>
      <c r="I151" s="231"/>
    </row>
    <row r="152" spans="8:9" x14ac:dyDescent="0.2">
      <c r="H152" s="227"/>
      <c r="I152" s="231"/>
    </row>
    <row r="153" spans="8:9" x14ac:dyDescent="0.2">
      <c r="H153" s="227"/>
      <c r="I153" s="231"/>
    </row>
    <row r="154" spans="8:9" x14ac:dyDescent="0.2">
      <c r="H154" s="227"/>
      <c r="I154" s="231"/>
    </row>
    <row r="155" spans="8:9" x14ac:dyDescent="0.2">
      <c r="H155" s="227"/>
      <c r="I155" s="231"/>
    </row>
    <row r="156" spans="8:9" x14ac:dyDescent="0.2">
      <c r="H156" s="227"/>
      <c r="I156" s="231"/>
    </row>
    <row r="157" spans="8:9" x14ac:dyDescent="0.2">
      <c r="H157" s="227"/>
      <c r="I157" s="231"/>
    </row>
    <row r="158" spans="8:9" x14ac:dyDescent="0.2">
      <c r="H158" s="227"/>
      <c r="I158" s="231"/>
    </row>
    <row r="159" spans="8:9" x14ac:dyDescent="0.2">
      <c r="H159" s="227"/>
      <c r="I159" s="231"/>
    </row>
    <row r="160" spans="8:9" x14ac:dyDescent="0.2">
      <c r="H160" s="227"/>
      <c r="I160" s="231"/>
    </row>
    <row r="161" spans="8:9" x14ac:dyDescent="0.2">
      <c r="H161" s="227"/>
      <c r="I161" s="231"/>
    </row>
    <row r="162" spans="8:9" x14ac:dyDescent="0.2">
      <c r="H162" s="227"/>
      <c r="I162" s="231"/>
    </row>
    <row r="163" spans="8:9" x14ac:dyDescent="0.2">
      <c r="H163" s="227"/>
      <c r="I163" s="231"/>
    </row>
    <row r="164" spans="8:9" x14ac:dyDescent="0.2">
      <c r="H164" s="227"/>
      <c r="I164" s="231"/>
    </row>
    <row r="165" spans="8:9" x14ac:dyDescent="0.2">
      <c r="H165" s="227"/>
      <c r="I165" s="231"/>
    </row>
    <row r="166" spans="8:9" x14ac:dyDescent="0.2">
      <c r="H166" s="227"/>
      <c r="I166" s="231"/>
    </row>
    <row r="167" spans="8:9" x14ac:dyDescent="0.2">
      <c r="H167" s="227"/>
      <c r="I167" s="231"/>
    </row>
    <row r="168" spans="8:9" x14ac:dyDescent="0.2">
      <c r="H168" s="227"/>
      <c r="I168" s="231"/>
    </row>
    <row r="169" spans="8:9" x14ac:dyDescent="0.2">
      <c r="H169" s="227"/>
      <c r="I169" s="231"/>
    </row>
    <row r="170" spans="8:9" x14ac:dyDescent="0.2">
      <c r="H170" s="227"/>
      <c r="I170" s="231"/>
    </row>
    <row r="171" spans="8:9" x14ac:dyDescent="0.2">
      <c r="I171" s="231"/>
    </row>
    <row r="172" spans="8:9" x14ac:dyDescent="0.2">
      <c r="I172" s="231"/>
    </row>
    <row r="173" spans="8:9" x14ac:dyDescent="0.2">
      <c r="I173" s="231"/>
    </row>
    <row r="174" spans="8:9" x14ac:dyDescent="0.2">
      <c r="I174" s="231"/>
    </row>
    <row r="175" spans="8:9" x14ac:dyDescent="0.2">
      <c r="I175" s="231"/>
    </row>
    <row r="176" spans="8:9" x14ac:dyDescent="0.2">
      <c r="I176" s="231"/>
    </row>
    <row r="177" spans="9:9" x14ac:dyDescent="0.2">
      <c r="I177" s="231"/>
    </row>
    <row r="178" spans="9:9" x14ac:dyDescent="0.2">
      <c r="I178" s="231"/>
    </row>
    <row r="179" spans="9:9" x14ac:dyDescent="0.2">
      <c r="I179" s="231"/>
    </row>
    <row r="180" spans="9:9" x14ac:dyDescent="0.2">
      <c r="I180" s="231"/>
    </row>
    <row r="181" spans="9:9" x14ac:dyDescent="0.2">
      <c r="I181" s="231"/>
    </row>
    <row r="182" spans="9:9" x14ac:dyDescent="0.2">
      <c r="I182" s="231"/>
    </row>
    <row r="183" spans="9:9" x14ac:dyDescent="0.2">
      <c r="I183" s="231"/>
    </row>
    <row r="184" spans="9:9" x14ac:dyDescent="0.2">
      <c r="I184" s="231"/>
    </row>
    <row r="185" spans="9:9" x14ac:dyDescent="0.2">
      <c r="I185" s="231"/>
    </row>
    <row r="186" spans="9:9" x14ac:dyDescent="0.2">
      <c r="I186" s="231"/>
    </row>
    <row r="187" spans="9:9" x14ac:dyDescent="0.2">
      <c r="I187" s="231"/>
    </row>
    <row r="188" spans="9:9" x14ac:dyDescent="0.2">
      <c r="I188" s="231"/>
    </row>
    <row r="189" spans="9:9" x14ac:dyDescent="0.2">
      <c r="I189" s="231"/>
    </row>
    <row r="190" spans="9:9" x14ac:dyDescent="0.2">
      <c r="I190" s="231"/>
    </row>
    <row r="191" spans="9:9" x14ac:dyDescent="0.2">
      <c r="I191" s="231"/>
    </row>
    <row r="192" spans="9:9" x14ac:dyDescent="0.2">
      <c r="I192" s="231"/>
    </row>
    <row r="193" spans="9:9" x14ac:dyDescent="0.2">
      <c r="I193" s="231"/>
    </row>
    <row r="194" spans="9:9" x14ac:dyDescent="0.2">
      <c r="I194" s="231"/>
    </row>
    <row r="195" spans="9:9" x14ac:dyDescent="0.2">
      <c r="I195" s="231"/>
    </row>
    <row r="196" spans="9:9" x14ac:dyDescent="0.2">
      <c r="I196" s="231"/>
    </row>
    <row r="197" spans="9:9" x14ac:dyDescent="0.2">
      <c r="I197" s="231"/>
    </row>
    <row r="198" spans="9:9" x14ac:dyDescent="0.2">
      <c r="I198" s="231"/>
    </row>
    <row r="199" spans="9:9" x14ac:dyDescent="0.2">
      <c r="I199" s="231"/>
    </row>
    <row r="200" spans="9:9" x14ac:dyDescent="0.2">
      <c r="I200" s="231"/>
    </row>
    <row r="201" spans="9:9" x14ac:dyDescent="0.2">
      <c r="I201" s="231"/>
    </row>
    <row r="202" spans="9:9" x14ac:dyDescent="0.2">
      <c r="I202" s="231"/>
    </row>
    <row r="203" spans="9:9" x14ac:dyDescent="0.2">
      <c r="I203" s="231"/>
    </row>
    <row r="204" spans="9:9" x14ac:dyDescent="0.2">
      <c r="I204" s="231"/>
    </row>
    <row r="205" spans="9:9" x14ac:dyDescent="0.2">
      <c r="I205" s="231"/>
    </row>
    <row r="206" spans="9:9" x14ac:dyDescent="0.2">
      <c r="I206" s="231"/>
    </row>
    <row r="207" spans="9:9" x14ac:dyDescent="0.2">
      <c r="I207" s="231"/>
    </row>
    <row r="208" spans="9:9" x14ac:dyDescent="0.2">
      <c r="I208" s="231"/>
    </row>
    <row r="209" spans="9:9" x14ac:dyDescent="0.2">
      <c r="I209" s="231"/>
    </row>
    <row r="210" spans="9:9" x14ac:dyDescent="0.2">
      <c r="I210" s="231"/>
    </row>
    <row r="211" spans="9:9" x14ac:dyDescent="0.2">
      <c r="I211" s="231"/>
    </row>
    <row r="212" spans="9:9" x14ac:dyDescent="0.2">
      <c r="I212" s="231"/>
    </row>
    <row r="213" spans="9:9" x14ac:dyDescent="0.2">
      <c r="I213" s="231"/>
    </row>
    <row r="214" spans="9:9" x14ac:dyDescent="0.2">
      <c r="I214" s="231"/>
    </row>
    <row r="215" spans="9:9" x14ac:dyDescent="0.2">
      <c r="I215" s="231"/>
    </row>
    <row r="216" spans="9:9" x14ac:dyDescent="0.2">
      <c r="I216" s="231"/>
    </row>
    <row r="217" spans="9:9" x14ac:dyDescent="0.2">
      <c r="I217" s="231"/>
    </row>
    <row r="218" spans="9:9" x14ac:dyDescent="0.2">
      <c r="I218" s="231"/>
    </row>
    <row r="219" spans="9:9" x14ac:dyDescent="0.2">
      <c r="I219" s="231"/>
    </row>
    <row r="220" spans="9:9" x14ac:dyDescent="0.2">
      <c r="I220" s="231"/>
    </row>
    <row r="221" spans="9:9" x14ac:dyDescent="0.2">
      <c r="I221" s="231"/>
    </row>
    <row r="222" spans="9:9" x14ac:dyDescent="0.2">
      <c r="I222" s="231"/>
    </row>
    <row r="223" spans="9:9" x14ac:dyDescent="0.2">
      <c r="I223" s="231"/>
    </row>
    <row r="224" spans="9:9" x14ac:dyDescent="0.2">
      <c r="I224" s="231"/>
    </row>
    <row r="225" spans="9:9" x14ac:dyDescent="0.2">
      <c r="I225" s="231"/>
    </row>
    <row r="226" spans="9:9" x14ac:dyDescent="0.2">
      <c r="I226" s="231"/>
    </row>
    <row r="227" spans="9:9" x14ac:dyDescent="0.2">
      <c r="I227" s="231"/>
    </row>
    <row r="228" spans="9:9" x14ac:dyDescent="0.2">
      <c r="I228" s="231"/>
    </row>
    <row r="229" spans="9:9" x14ac:dyDescent="0.2">
      <c r="I229" s="231"/>
    </row>
    <row r="230" spans="9:9" x14ac:dyDescent="0.2">
      <c r="I230" s="231"/>
    </row>
    <row r="231" spans="9:9" x14ac:dyDescent="0.2">
      <c r="I231" s="231"/>
    </row>
    <row r="232" spans="9:9" x14ac:dyDescent="0.2">
      <c r="I232" s="231"/>
    </row>
    <row r="233" spans="9:9" x14ac:dyDescent="0.2">
      <c r="I233" s="231"/>
    </row>
    <row r="234" spans="9:9" x14ac:dyDescent="0.2">
      <c r="I234" s="231"/>
    </row>
    <row r="235" spans="9:9" x14ac:dyDescent="0.2">
      <c r="I235" s="231"/>
    </row>
    <row r="236" spans="9:9" x14ac:dyDescent="0.2">
      <c r="I236" s="231"/>
    </row>
    <row r="237" spans="9:9" x14ac:dyDescent="0.2">
      <c r="I237" s="231"/>
    </row>
    <row r="238" spans="9:9" x14ac:dyDescent="0.2">
      <c r="I238" s="231"/>
    </row>
    <row r="239" spans="9:9" x14ac:dyDescent="0.2">
      <c r="I239" s="231"/>
    </row>
    <row r="240" spans="9:9" x14ac:dyDescent="0.2">
      <c r="I240" s="231"/>
    </row>
    <row r="241" spans="9:9" x14ac:dyDescent="0.2">
      <c r="I241" s="231"/>
    </row>
    <row r="242" spans="9:9" x14ac:dyDescent="0.2">
      <c r="I242" s="231"/>
    </row>
    <row r="243" spans="9:9" x14ac:dyDescent="0.2">
      <c r="I243" s="231"/>
    </row>
    <row r="244" spans="9:9" x14ac:dyDescent="0.2">
      <c r="I244" s="231"/>
    </row>
    <row r="245" spans="9:9" x14ac:dyDescent="0.2">
      <c r="I245" s="231"/>
    </row>
    <row r="246" spans="9:9" x14ac:dyDescent="0.2">
      <c r="I246" s="231"/>
    </row>
    <row r="247" spans="9:9" x14ac:dyDescent="0.2">
      <c r="I247" s="231"/>
    </row>
    <row r="248" spans="9:9" x14ac:dyDescent="0.2">
      <c r="I248" s="231"/>
    </row>
    <row r="249" spans="9:9" x14ac:dyDescent="0.2">
      <c r="I249" s="231"/>
    </row>
    <row r="250" spans="9:9" x14ac:dyDescent="0.2">
      <c r="I250" s="231"/>
    </row>
    <row r="251" spans="9:9" x14ac:dyDescent="0.2">
      <c r="I251" s="231"/>
    </row>
    <row r="252" spans="9:9" x14ac:dyDescent="0.2">
      <c r="I252" s="231"/>
    </row>
    <row r="253" spans="9:9" x14ac:dyDescent="0.2">
      <c r="I253" s="231"/>
    </row>
    <row r="254" spans="9:9" x14ac:dyDescent="0.2">
      <c r="I254" s="231"/>
    </row>
    <row r="255" spans="9:9" x14ac:dyDescent="0.2">
      <c r="I255" s="231"/>
    </row>
    <row r="256" spans="9:9" x14ac:dyDescent="0.2">
      <c r="I256" s="231"/>
    </row>
    <row r="257" spans="9:9" x14ac:dyDescent="0.2">
      <c r="I257" s="231"/>
    </row>
    <row r="258" spans="9:9" x14ac:dyDescent="0.2">
      <c r="I258" s="231"/>
    </row>
    <row r="259" spans="9:9" x14ac:dyDescent="0.2">
      <c r="I259" s="231"/>
    </row>
    <row r="260" spans="9:9" x14ac:dyDescent="0.2">
      <c r="I260" s="231"/>
    </row>
    <row r="261" spans="9:9" x14ac:dyDescent="0.2">
      <c r="I261" s="231"/>
    </row>
    <row r="262" spans="9:9" x14ac:dyDescent="0.2">
      <c r="I262" s="231"/>
    </row>
    <row r="263" spans="9:9" x14ac:dyDescent="0.2">
      <c r="I263" s="231"/>
    </row>
    <row r="264" spans="9:9" x14ac:dyDescent="0.2">
      <c r="I264" s="231"/>
    </row>
    <row r="265" spans="9:9" x14ac:dyDescent="0.2">
      <c r="I265" s="231"/>
    </row>
    <row r="266" spans="9:9" x14ac:dyDescent="0.2">
      <c r="I266" s="231"/>
    </row>
    <row r="267" spans="9:9" x14ac:dyDescent="0.2">
      <c r="I267" s="231"/>
    </row>
    <row r="268" spans="9:9" x14ac:dyDescent="0.2">
      <c r="I268" s="231"/>
    </row>
    <row r="269" spans="9:9" x14ac:dyDescent="0.2">
      <c r="I269" s="231"/>
    </row>
    <row r="270" spans="9:9" x14ac:dyDescent="0.2">
      <c r="I270" s="231"/>
    </row>
    <row r="271" spans="9:9" x14ac:dyDescent="0.2">
      <c r="I271" s="231"/>
    </row>
    <row r="272" spans="9:9" x14ac:dyDescent="0.2">
      <c r="I272" s="231"/>
    </row>
    <row r="273" spans="9:9" x14ac:dyDescent="0.2">
      <c r="I273" s="231"/>
    </row>
    <row r="274" spans="9:9" x14ac:dyDescent="0.2">
      <c r="I274" s="231"/>
    </row>
    <row r="275" spans="9:9" x14ac:dyDescent="0.2">
      <c r="I275" s="231"/>
    </row>
    <row r="276" spans="9:9" x14ac:dyDescent="0.2">
      <c r="I276" s="231"/>
    </row>
    <row r="277" spans="9:9" x14ac:dyDescent="0.2">
      <c r="I277" s="231"/>
    </row>
    <row r="278" spans="9:9" x14ac:dyDescent="0.2">
      <c r="I278" s="231"/>
    </row>
    <row r="279" spans="9:9" x14ac:dyDescent="0.2">
      <c r="I279" s="231"/>
    </row>
    <row r="280" spans="9:9" x14ac:dyDescent="0.2">
      <c r="I280" s="231"/>
    </row>
    <row r="281" spans="9:9" x14ac:dyDescent="0.2">
      <c r="I281" s="231"/>
    </row>
    <row r="282" spans="9:9" x14ac:dyDescent="0.2">
      <c r="I282" s="231"/>
    </row>
    <row r="283" spans="9:9" x14ac:dyDescent="0.2">
      <c r="I283" s="231"/>
    </row>
    <row r="284" spans="9:9" x14ac:dyDescent="0.2">
      <c r="I284" s="231"/>
    </row>
    <row r="285" spans="9:9" x14ac:dyDescent="0.2">
      <c r="I285" s="231"/>
    </row>
    <row r="286" spans="9:9" x14ac:dyDescent="0.2">
      <c r="I286" s="231"/>
    </row>
    <row r="287" spans="9:9" x14ac:dyDescent="0.2">
      <c r="I287" s="231"/>
    </row>
    <row r="288" spans="9:9" x14ac:dyDescent="0.2">
      <c r="I288" s="231"/>
    </row>
    <row r="289" spans="9:9" x14ac:dyDescent="0.2">
      <c r="I289" s="231"/>
    </row>
    <row r="290" spans="9:9" x14ac:dyDescent="0.2">
      <c r="I290" s="231"/>
    </row>
    <row r="291" spans="9:9" x14ac:dyDescent="0.2">
      <c r="I291" s="231"/>
    </row>
    <row r="292" spans="9:9" x14ac:dyDescent="0.2">
      <c r="I292" s="231"/>
    </row>
    <row r="293" spans="9:9" x14ac:dyDescent="0.2">
      <c r="I293" s="231"/>
    </row>
    <row r="294" spans="9:9" x14ac:dyDescent="0.2">
      <c r="I294" s="231"/>
    </row>
    <row r="295" spans="9:9" x14ac:dyDescent="0.2">
      <c r="I295" s="231"/>
    </row>
    <row r="296" spans="9:9" x14ac:dyDescent="0.2">
      <c r="I296" s="231"/>
    </row>
    <row r="297" spans="9:9" x14ac:dyDescent="0.2">
      <c r="I297" s="231"/>
    </row>
    <row r="298" spans="9:9" x14ac:dyDescent="0.2">
      <c r="I298" s="231"/>
    </row>
    <row r="299" spans="9:9" x14ac:dyDescent="0.2">
      <c r="I299" s="231"/>
    </row>
    <row r="300" spans="9:9" x14ac:dyDescent="0.2">
      <c r="I300" s="231"/>
    </row>
    <row r="301" spans="9:9" x14ac:dyDescent="0.2">
      <c r="I301" s="231"/>
    </row>
    <row r="302" spans="9:9" x14ac:dyDescent="0.2">
      <c r="I302" s="231"/>
    </row>
    <row r="303" spans="9:9" x14ac:dyDescent="0.2">
      <c r="I303" s="231"/>
    </row>
    <row r="304" spans="9:9" x14ac:dyDescent="0.2">
      <c r="I304" s="231"/>
    </row>
    <row r="305" spans="9:9" x14ac:dyDescent="0.2">
      <c r="I305" s="231"/>
    </row>
    <row r="306" spans="9:9" x14ac:dyDescent="0.2">
      <c r="I306" s="231"/>
    </row>
    <row r="307" spans="9:9" x14ac:dyDescent="0.2">
      <c r="I307" s="231"/>
    </row>
    <row r="308" spans="9:9" x14ac:dyDescent="0.2">
      <c r="I308" s="231"/>
    </row>
    <row r="309" spans="9:9" x14ac:dyDescent="0.2">
      <c r="I309" s="231"/>
    </row>
    <row r="310" spans="9:9" x14ac:dyDescent="0.2">
      <c r="I310" s="231"/>
    </row>
    <row r="311" spans="9:9" x14ac:dyDescent="0.2">
      <c r="I311" s="231"/>
    </row>
    <row r="312" spans="9:9" x14ac:dyDescent="0.2">
      <c r="I312" s="231"/>
    </row>
    <row r="313" spans="9:9" x14ac:dyDescent="0.2">
      <c r="I313" s="231"/>
    </row>
    <row r="314" spans="9:9" x14ac:dyDescent="0.2">
      <c r="I314" s="231"/>
    </row>
    <row r="315" spans="9:9" x14ac:dyDescent="0.2">
      <c r="I315" s="231"/>
    </row>
    <row r="316" spans="9:9" x14ac:dyDescent="0.2">
      <c r="I316" s="231"/>
    </row>
    <row r="317" spans="9:9" x14ac:dyDescent="0.2">
      <c r="I317" s="231"/>
    </row>
    <row r="318" spans="9:9" x14ac:dyDescent="0.2">
      <c r="I318" s="231"/>
    </row>
    <row r="319" spans="9:9" x14ac:dyDescent="0.2">
      <c r="I319" s="231"/>
    </row>
    <row r="320" spans="9:9" x14ac:dyDescent="0.2">
      <c r="I320" s="231"/>
    </row>
    <row r="321" spans="9:9" x14ac:dyDescent="0.2">
      <c r="I321" s="231"/>
    </row>
    <row r="322" spans="9:9" x14ac:dyDescent="0.2">
      <c r="I322" s="231"/>
    </row>
    <row r="323" spans="9:9" x14ac:dyDescent="0.2">
      <c r="I323" s="231"/>
    </row>
    <row r="324" spans="9:9" x14ac:dyDescent="0.2">
      <c r="I324" s="231"/>
    </row>
    <row r="325" spans="9:9" x14ac:dyDescent="0.2">
      <c r="I325" s="231"/>
    </row>
    <row r="326" spans="9:9" x14ac:dyDescent="0.2">
      <c r="I326" s="231"/>
    </row>
    <row r="327" spans="9:9" x14ac:dyDescent="0.2">
      <c r="I327" s="231"/>
    </row>
    <row r="328" spans="9:9" x14ac:dyDescent="0.2">
      <c r="I328" s="231"/>
    </row>
    <row r="329" spans="9:9" x14ac:dyDescent="0.2">
      <c r="I329" s="231"/>
    </row>
    <row r="330" spans="9:9" x14ac:dyDescent="0.2">
      <c r="I330" s="231"/>
    </row>
    <row r="331" spans="9:9" x14ac:dyDescent="0.2">
      <c r="I331" s="231"/>
    </row>
    <row r="332" spans="9:9" x14ac:dyDescent="0.2">
      <c r="I332" s="231"/>
    </row>
    <row r="333" spans="9:9" x14ac:dyDescent="0.2">
      <c r="I333" s="231"/>
    </row>
    <row r="334" spans="9:9" x14ac:dyDescent="0.2">
      <c r="I334" s="231"/>
    </row>
  </sheetData>
  <mergeCells count="1">
    <mergeCell ref="A1:J1"/>
  </mergeCells>
  <phoneticPr fontId="0" type="noConversion"/>
  <printOptions gridLines="1"/>
  <pageMargins left="0.75" right="0.16" top="0.51" bottom="0.22" header="0.5" footer="0.5"/>
  <pageSetup scale="86" fitToHeight="5" orientation="landscape" r:id="rId1"/>
  <headerFooter alignWithMargins="0"/>
  <rowBreaks count="1" manualBreakCount="1">
    <brk id="75" max="9"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J252"/>
  <sheetViews>
    <sheetView view="pageBreakPreview" zoomScaleNormal="100" zoomScaleSheetLayoutView="100" workbookViewId="0">
      <pane ySplit="5" topLeftCell="A6" activePane="bottomLeft" state="frozen"/>
      <selection activeCell="D43" sqref="D43"/>
      <selection pane="bottomLeft" activeCell="A122" sqref="A122"/>
    </sheetView>
  </sheetViews>
  <sheetFormatPr defaultColWidth="8.85546875" defaultRowHeight="12.75" x14ac:dyDescent="0.2"/>
  <cols>
    <col min="1" max="1" width="52.85546875" style="183" customWidth="1"/>
    <col min="2" max="2" width="9.5703125" style="183" customWidth="1"/>
    <col min="3" max="3" width="8.5703125" style="183" bestFit="1" customWidth="1"/>
    <col min="4" max="4" width="9.42578125" style="183" bestFit="1" customWidth="1"/>
    <col min="5" max="7" width="10.85546875" style="183" customWidth="1"/>
    <col min="8" max="8" width="14" style="183" bestFit="1" customWidth="1"/>
    <col min="9" max="10" width="10.85546875" style="183" customWidth="1"/>
    <col min="11" max="16384" width="8.85546875" style="183"/>
  </cols>
  <sheetData>
    <row r="1" spans="1:10" x14ac:dyDescent="0.2">
      <c r="A1" s="254" t="e">
        <f>#REF!</f>
        <v>#REF!</v>
      </c>
      <c r="B1" s="255"/>
      <c r="C1" s="255"/>
      <c r="D1" s="255"/>
      <c r="E1" s="255"/>
      <c r="F1" s="255"/>
      <c r="G1" s="255"/>
      <c r="H1" s="255"/>
      <c r="I1" s="255"/>
      <c r="J1" s="255"/>
    </row>
    <row r="2" spans="1:10" ht="18.75" x14ac:dyDescent="0.3">
      <c r="A2" s="91" t="s">
        <v>1581</v>
      </c>
      <c r="B2" s="91"/>
      <c r="C2" s="91"/>
      <c r="D2" s="91"/>
      <c r="E2" s="91"/>
      <c r="F2" s="91"/>
    </row>
    <row r="3" spans="1:10" x14ac:dyDescent="0.2">
      <c r="B3" s="2"/>
      <c r="C3" s="2"/>
      <c r="D3" s="2"/>
      <c r="E3" s="2"/>
      <c r="F3" s="2"/>
    </row>
    <row r="4" spans="1:10" x14ac:dyDescent="0.2">
      <c r="B4" s="2"/>
      <c r="C4" s="2"/>
      <c r="D4" s="2"/>
      <c r="E4" s="15" t="s">
        <v>204</v>
      </c>
      <c r="F4" s="15" t="s">
        <v>205</v>
      </c>
      <c r="G4" s="15" t="s">
        <v>61</v>
      </c>
      <c r="H4" s="15" t="s">
        <v>358</v>
      </c>
      <c r="I4" s="15" t="s">
        <v>270</v>
      </c>
      <c r="J4" s="15" t="s">
        <v>301</v>
      </c>
    </row>
    <row r="5" spans="1:10" ht="15" x14ac:dyDescent="0.35">
      <c r="B5" s="2"/>
      <c r="C5" s="2"/>
      <c r="D5" s="2"/>
      <c r="E5" s="196" t="s">
        <v>1757</v>
      </c>
      <c r="F5" s="196" t="s">
        <v>1838</v>
      </c>
      <c r="G5" s="196" t="s">
        <v>1977</v>
      </c>
      <c r="H5" s="196" t="s">
        <v>1977</v>
      </c>
      <c r="I5" s="196" t="s">
        <v>1977</v>
      </c>
      <c r="J5" s="196" t="s">
        <v>1977</v>
      </c>
    </row>
    <row r="6" spans="1:10" ht="13.5" x14ac:dyDescent="0.25">
      <c r="A6" s="216" t="s">
        <v>950</v>
      </c>
      <c r="B6" s="2"/>
      <c r="C6" s="2"/>
      <c r="D6" s="2"/>
      <c r="E6" s="2">
        <f>582+85721</f>
        <v>86303</v>
      </c>
      <c r="F6" s="2">
        <v>88011</v>
      </c>
      <c r="G6" s="2">
        <v>86070</v>
      </c>
      <c r="H6" s="2">
        <v>86070</v>
      </c>
      <c r="I6" s="2">
        <v>88254</v>
      </c>
      <c r="J6" s="2">
        <v>88254</v>
      </c>
    </row>
    <row r="7" spans="1:10" x14ac:dyDescent="0.2">
      <c r="A7" s="22" t="s">
        <v>1177</v>
      </c>
      <c r="B7" s="2">
        <v>52</v>
      </c>
      <c r="C7" s="2">
        <v>938</v>
      </c>
      <c r="D7" s="2">
        <f>ROUND(B7*C7,0)</f>
        <v>48776</v>
      </c>
      <c r="E7" s="2"/>
      <c r="F7" s="2"/>
      <c r="G7" s="2"/>
      <c r="H7" s="2"/>
      <c r="I7" s="2"/>
      <c r="J7" s="2"/>
    </row>
    <row r="8" spans="1:10" x14ac:dyDescent="0.2">
      <c r="A8" s="22" t="s">
        <v>1177</v>
      </c>
      <c r="B8" s="2">
        <v>52</v>
      </c>
      <c r="C8" s="2">
        <v>748</v>
      </c>
      <c r="D8" s="2">
        <f>ROUND(B8*C8,0)</f>
        <v>38896</v>
      </c>
      <c r="E8" s="2"/>
      <c r="F8" s="2"/>
      <c r="G8" s="2"/>
      <c r="H8" s="2"/>
      <c r="I8" s="2"/>
      <c r="J8" s="2"/>
    </row>
    <row r="9" spans="1:10" ht="15" x14ac:dyDescent="0.35">
      <c r="A9" s="215" t="s">
        <v>824</v>
      </c>
      <c r="B9" s="2" t="s">
        <v>345</v>
      </c>
      <c r="C9" s="2" t="s">
        <v>345</v>
      </c>
      <c r="D9" s="10">
        <v>582</v>
      </c>
      <c r="E9" s="2"/>
      <c r="F9" s="2"/>
      <c r="G9" s="2"/>
      <c r="H9" s="2"/>
      <c r="I9" s="2"/>
      <c r="J9" s="2"/>
    </row>
    <row r="10" spans="1:10" x14ac:dyDescent="0.2">
      <c r="A10" s="215" t="s">
        <v>1073</v>
      </c>
      <c r="B10" s="2"/>
      <c r="C10" s="2"/>
      <c r="D10" s="2">
        <f>SUM(D7:D9)</f>
        <v>88254</v>
      </c>
      <c r="E10" s="2"/>
      <c r="F10" s="2"/>
      <c r="G10" s="2"/>
      <c r="H10" s="2"/>
      <c r="I10" s="2"/>
      <c r="J10" s="2"/>
    </row>
    <row r="11" spans="1:10" x14ac:dyDescent="0.2">
      <c r="A11" s="215"/>
      <c r="B11" s="11"/>
      <c r="C11" s="215"/>
      <c r="D11" s="2"/>
      <c r="E11" s="2"/>
      <c r="F11" s="2"/>
      <c r="G11" s="2"/>
      <c r="H11" s="2"/>
      <c r="I11" s="2"/>
      <c r="J11" s="2"/>
    </row>
    <row r="12" spans="1:10" ht="13.5" x14ac:dyDescent="0.25">
      <c r="A12" s="216" t="s">
        <v>784</v>
      </c>
      <c r="B12" s="215"/>
      <c r="C12" s="215"/>
      <c r="D12" s="215"/>
      <c r="E12" s="2">
        <v>40077</v>
      </c>
      <c r="F12" s="2">
        <v>42042</v>
      </c>
      <c r="G12" s="2">
        <v>42042</v>
      </c>
      <c r="H12" s="2">
        <v>42042</v>
      </c>
      <c r="I12" s="2">
        <v>43082</v>
      </c>
      <c r="J12" s="2">
        <v>43082</v>
      </c>
    </row>
    <row r="13" spans="1:10" x14ac:dyDescent="0.2">
      <c r="A13" s="22" t="s">
        <v>1537</v>
      </c>
      <c r="B13" s="78">
        <v>1300</v>
      </c>
      <c r="C13" s="11">
        <v>16.57</v>
      </c>
      <c r="D13" s="2">
        <f>ROUND(B13*C13,0)</f>
        <v>21541</v>
      </c>
      <c r="E13" s="2"/>
      <c r="F13" s="2"/>
      <c r="G13" s="2"/>
      <c r="H13" s="2"/>
      <c r="I13" s="2"/>
      <c r="J13" s="2"/>
    </row>
    <row r="14" spans="1:10" ht="15" x14ac:dyDescent="0.35">
      <c r="A14" s="22" t="s">
        <v>1356</v>
      </c>
      <c r="B14" s="78">
        <v>1300</v>
      </c>
      <c r="C14" s="11">
        <v>16.57</v>
      </c>
      <c r="D14" s="10">
        <f>ROUND(B14*C14,0)</f>
        <v>21541</v>
      </c>
      <c r="E14" s="2"/>
      <c r="F14" s="2"/>
      <c r="G14" s="2"/>
      <c r="H14" s="2"/>
      <c r="I14" s="2"/>
      <c r="J14" s="2"/>
    </row>
    <row r="15" spans="1:10" ht="13.5" x14ac:dyDescent="0.25">
      <c r="A15" s="216"/>
      <c r="B15" s="215"/>
      <c r="C15" s="215"/>
      <c r="D15" s="2">
        <f>SUM(D13:D14)</f>
        <v>43082</v>
      </c>
      <c r="E15" s="2"/>
      <c r="F15" s="2"/>
      <c r="G15" s="2"/>
      <c r="H15" s="2"/>
      <c r="I15" s="2"/>
      <c r="J15" s="2"/>
    </row>
    <row r="16" spans="1:10" s="218" customFormat="1" ht="13.5" x14ac:dyDescent="0.25">
      <c r="A16" s="219"/>
      <c r="D16" s="2"/>
      <c r="E16" s="2"/>
      <c r="F16" s="2"/>
      <c r="G16" s="2"/>
      <c r="H16" s="2"/>
      <c r="I16" s="2"/>
      <c r="J16" s="2"/>
    </row>
    <row r="17" spans="1:10" ht="13.9" customHeight="1" x14ac:dyDescent="0.25">
      <c r="A17" s="216" t="s">
        <v>785</v>
      </c>
      <c r="B17" s="215"/>
      <c r="C17" s="215"/>
      <c r="D17" s="2"/>
      <c r="E17" s="2">
        <v>22952</v>
      </c>
      <c r="F17" s="2">
        <v>4840</v>
      </c>
      <c r="G17" s="2">
        <v>4840</v>
      </c>
      <c r="H17" s="2">
        <v>4840</v>
      </c>
      <c r="I17" s="2">
        <v>4963</v>
      </c>
      <c r="J17" s="2">
        <v>4963</v>
      </c>
    </row>
    <row r="18" spans="1:10" x14ac:dyDescent="0.2">
      <c r="A18" s="215" t="s">
        <v>1177</v>
      </c>
      <c r="B18" s="2">
        <v>157</v>
      </c>
      <c r="C18" s="11">
        <f>+(C7+C8)/40*1.5/2</f>
        <v>31.612499999999997</v>
      </c>
      <c r="D18" s="2">
        <f>ROUND(B18*C18,0)</f>
        <v>4963</v>
      </c>
      <c r="E18" s="2"/>
      <c r="F18" s="2"/>
      <c r="G18" s="2"/>
      <c r="H18" s="2"/>
      <c r="I18" s="2"/>
      <c r="J18" s="2"/>
    </row>
    <row r="19" spans="1:10" x14ac:dyDescent="0.2">
      <c r="A19" s="215"/>
      <c r="B19" s="2"/>
      <c r="C19" s="11"/>
      <c r="D19" s="2"/>
      <c r="E19" s="2"/>
      <c r="F19" s="2"/>
      <c r="G19" s="2"/>
      <c r="H19" s="2"/>
      <c r="I19" s="2"/>
      <c r="J19" s="2"/>
    </row>
    <row r="20" spans="1:10" ht="13.5" x14ac:dyDescent="0.25">
      <c r="A20" s="216" t="s">
        <v>788</v>
      </c>
      <c r="B20" s="215"/>
      <c r="C20" s="215"/>
      <c r="D20" s="2"/>
      <c r="E20" s="2">
        <v>11866</v>
      </c>
      <c r="F20" s="2">
        <v>10319</v>
      </c>
      <c r="G20" s="2">
        <v>10170</v>
      </c>
      <c r="H20" s="2">
        <v>10170</v>
      </c>
      <c r="I20" s="2">
        <v>10427</v>
      </c>
      <c r="J20" s="2">
        <v>10427</v>
      </c>
    </row>
    <row r="21" spans="1:10" hidden="1" x14ac:dyDescent="0.2">
      <c r="A21" s="12" t="s">
        <v>688</v>
      </c>
      <c r="B21" s="2">
        <f>+D10</f>
        <v>88254</v>
      </c>
      <c r="C21" s="13">
        <v>7.6499999999999999E-2</v>
      </c>
      <c r="D21" s="2">
        <f>ROUND(B21*C21,0)</f>
        <v>6751</v>
      </c>
      <c r="E21" s="2"/>
      <c r="F21" s="2"/>
      <c r="G21" s="2"/>
      <c r="H21" s="2"/>
      <c r="I21" s="2"/>
      <c r="J21" s="2"/>
    </row>
    <row r="22" spans="1:10" hidden="1" x14ac:dyDescent="0.2">
      <c r="A22" s="12" t="s">
        <v>155</v>
      </c>
      <c r="B22" s="2">
        <f>+D15</f>
        <v>43082</v>
      </c>
      <c r="C22" s="13">
        <v>7.6499999999999999E-2</v>
      </c>
      <c r="D22" s="2">
        <f>ROUND(B22*C22,0)</f>
        <v>3296</v>
      </c>
      <c r="E22" s="2"/>
      <c r="F22" s="2"/>
      <c r="G22" s="2"/>
      <c r="H22" s="2"/>
      <c r="I22" s="2"/>
      <c r="J22" s="2"/>
    </row>
    <row r="23" spans="1:10" ht="15" hidden="1" x14ac:dyDescent="0.35">
      <c r="A23" s="12" t="s">
        <v>156</v>
      </c>
      <c r="B23" s="2">
        <f>+D18</f>
        <v>4963</v>
      </c>
      <c r="C23" s="13">
        <v>7.6499999999999999E-2</v>
      </c>
      <c r="D23" s="10">
        <f>ROUND(B23*C23,0)</f>
        <v>380</v>
      </c>
      <c r="E23" s="2"/>
      <c r="F23" s="2"/>
      <c r="G23" s="2"/>
      <c r="H23" s="2"/>
      <c r="I23" s="2"/>
      <c r="J23" s="2"/>
    </row>
    <row r="24" spans="1:10" hidden="1" x14ac:dyDescent="0.2">
      <c r="A24" s="215" t="s">
        <v>1073</v>
      </c>
      <c r="B24" s="215"/>
      <c r="C24" s="215"/>
      <c r="D24" s="2">
        <f>SUM(D21:D23)</f>
        <v>10427</v>
      </c>
      <c r="E24" s="2"/>
      <c r="F24" s="2"/>
      <c r="G24" s="2"/>
      <c r="H24" s="2"/>
      <c r="I24" s="2"/>
      <c r="J24" s="2"/>
    </row>
    <row r="25" spans="1:10" x14ac:dyDescent="0.2">
      <c r="A25" s="215"/>
      <c r="B25" s="215"/>
      <c r="C25" s="215"/>
      <c r="D25" s="2"/>
      <c r="E25" s="2"/>
      <c r="F25" s="2"/>
      <c r="G25" s="2"/>
      <c r="H25" s="2"/>
      <c r="I25" s="2"/>
      <c r="J25" s="2"/>
    </row>
    <row r="26" spans="1:10" ht="13.5" x14ac:dyDescent="0.25">
      <c r="A26" s="216" t="s">
        <v>789</v>
      </c>
      <c r="B26" s="215"/>
      <c r="C26" s="215"/>
      <c r="D26" s="2"/>
      <c r="E26" s="2">
        <v>4732</v>
      </c>
      <c r="F26" s="2">
        <v>13055</v>
      </c>
      <c r="G26" s="2">
        <v>12782</v>
      </c>
      <c r="H26" s="2">
        <v>12782</v>
      </c>
      <c r="I26" s="2">
        <v>13107</v>
      </c>
      <c r="J26" s="2">
        <v>13107</v>
      </c>
    </row>
    <row r="27" spans="1:10" hidden="1" x14ac:dyDescent="0.2">
      <c r="A27" s="12" t="s">
        <v>688</v>
      </c>
      <c r="B27" s="2">
        <f>+D10</f>
        <v>88254</v>
      </c>
      <c r="C27" s="190">
        <v>0.1406</v>
      </c>
      <c r="D27" s="2">
        <f>ROUND(B27*C27,0)</f>
        <v>12409</v>
      </c>
      <c r="E27" s="2"/>
      <c r="F27" s="2"/>
      <c r="G27" s="2"/>
      <c r="H27" s="2"/>
      <c r="I27" s="2"/>
      <c r="J27" s="2"/>
    </row>
    <row r="28" spans="1:10" ht="15" hidden="1" x14ac:dyDescent="0.35">
      <c r="A28" s="12" t="s">
        <v>156</v>
      </c>
      <c r="B28" s="2">
        <f>+D18</f>
        <v>4963</v>
      </c>
      <c r="C28" s="190">
        <v>0.1406</v>
      </c>
      <c r="D28" s="10">
        <f>ROUND(B28*C28,0)</f>
        <v>698</v>
      </c>
      <c r="E28" s="2"/>
      <c r="F28" s="2"/>
      <c r="G28" s="2"/>
      <c r="H28" s="2"/>
      <c r="I28" s="2"/>
      <c r="J28" s="2"/>
    </row>
    <row r="29" spans="1:10" hidden="1" x14ac:dyDescent="0.2">
      <c r="A29" s="215" t="s">
        <v>1073</v>
      </c>
      <c r="B29" s="215"/>
      <c r="C29" s="215"/>
      <c r="D29" s="2">
        <f>SUM(D27:D28)</f>
        <v>13107</v>
      </c>
      <c r="E29" s="2"/>
      <c r="F29" s="2"/>
      <c r="G29" s="2"/>
      <c r="H29" s="2"/>
      <c r="I29" s="2"/>
      <c r="J29" s="2"/>
    </row>
    <row r="30" spans="1:10" x14ac:dyDescent="0.2">
      <c r="A30" s="215"/>
      <c r="B30" s="215"/>
      <c r="C30" s="215"/>
      <c r="D30" s="2"/>
      <c r="E30" s="2"/>
      <c r="F30" s="2"/>
      <c r="G30" s="2"/>
      <c r="H30" s="2"/>
      <c r="I30" s="2"/>
      <c r="J30" s="2"/>
    </row>
    <row r="31" spans="1:10" ht="13.5" x14ac:dyDescent="0.25">
      <c r="A31" s="216" t="s">
        <v>790</v>
      </c>
      <c r="B31" s="215"/>
      <c r="C31" s="215"/>
      <c r="D31" s="2"/>
      <c r="E31" s="2">
        <v>38924</v>
      </c>
      <c r="F31" s="2">
        <v>39500</v>
      </c>
      <c r="G31" s="2">
        <v>39000</v>
      </c>
      <c r="H31" s="2">
        <v>39000</v>
      </c>
      <c r="I31" s="2">
        <v>38000</v>
      </c>
      <c r="J31" s="2">
        <v>38000</v>
      </c>
    </row>
    <row r="32" spans="1:10" hidden="1" x14ac:dyDescent="0.2">
      <c r="A32" s="215" t="s">
        <v>365</v>
      </c>
      <c r="B32" s="2">
        <v>2</v>
      </c>
      <c r="C32" s="2">
        <v>19000</v>
      </c>
      <c r="D32" s="2">
        <f>ROUND(B32*C32,0)</f>
        <v>38000</v>
      </c>
      <c r="E32" s="2"/>
      <c r="F32" s="2"/>
      <c r="G32" s="2"/>
      <c r="H32" s="2"/>
      <c r="I32" s="2"/>
      <c r="J32" s="2"/>
    </row>
    <row r="33" spans="1:10" x14ac:dyDescent="0.2">
      <c r="A33" s="215"/>
      <c r="B33" s="215"/>
      <c r="C33" s="215"/>
      <c r="D33" s="2"/>
      <c r="E33" s="2"/>
      <c r="F33" s="2"/>
      <c r="G33" s="2"/>
      <c r="H33" s="2"/>
      <c r="I33" s="2"/>
      <c r="J33" s="2"/>
    </row>
    <row r="34" spans="1:10" ht="13.5" x14ac:dyDescent="0.25">
      <c r="A34" s="216" t="s">
        <v>1085</v>
      </c>
      <c r="B34" s="215"/>
      <c r="C34" s="215"/>
      <c r="D34" s="2"/>
      <c r="E34" s="2">
        <v>2485</v>
      </c>
      <c r="F34" s="2">
        <v>2520</v>
      </c>
      <c r="G34" s="2">
        <v>2475</v>
      </c>
      <c r="H34" s="2">
        <v>2475</v>
      </c>
      <c r="I34" s="2">
        <v>2475</v>
      </c>
      <c r="J34" s="2">
        <v>2475</v>
      </c>
    </row>
    <row r="35" spans="1:10" hidden="1" x14ac:dyDescent="0.2">
      <c r="A35" s="215" t="s">
        <v>365</v>
      </c>
      <c r="B35" s="2">
        <v>2</v>
      </c>
      <c r="C35" s="2">
        <v>1375</v>
      </c>
      <c r="D35" s="2">
        <f>ROUND(B35*C35,0)</f>
        <v>2750</v>
      </c>
      <c r="E35" s="2"/>
      <c r="F35" s="2"/>
      <c r="G35" s="2"/>
      <c r="H35" s="2"/>
      <c r="I35" s="2"/>
      <c r="J35" s="2"/>
    </row>
    <row r="36" spans="1:10" ht="15" hidden="1" x14ac:dyDescent="0.35">
      <c r="A36" s="215" t="s">
        <v>198</v>
      </c>
      <c r="B36" s="215"/>
      <c r="C36" s="215"/>
      <c r="D36" s="10">
        <f>+C35*-0.1*B35</f>
        <v>-275</v>
      </c>
      <c r="E36" s="2"/>
      <c r="F36" s="2"/>
      <c r="G36" s="2"/>
      <c r="H36" s="2"/>
      <c r="I36" s="2"/>
      <c r="J36" s="2"/>
    </row>
    <row r="37" spans="1:10" hidden="1" x14ac:dyDescent="0.2">
      <c r="A37" s="215" t="s">
        <v>1073</v>
      </c>
      <c r="B37" s="215"/>
      <c r="C37" s="215"/>
      <c r="D37" s="2">
        <f>SUM(D35:D36)</f>
        <v>2475</v>
      </c>
      <c r="E37" s="2"/>
      <c r="F37" s="2"/>
      <c r="G37" s="2"/>
      <c r="H37" s="2"/>
      <c r="I37" s="2"/>
      <c r="J37" s="2"/>
    </row>
    <row r="38" spans="1:10" ht="15" x14ac:dyDescent="0.35">
      <c r="A38" s="215"/>
      <c r="B38" s="215"/>
      <c r="C38" s="215"/>
      <c r="D38" s="10"/>
      <c r="E38" s="2"/>
      <c r="F38" s="2"/>
      <c r="G38" s="2"/>
      <c r="H38" s="2"/>
      <c r="I38" s="2"/>
      <c r="J38" s="2"/>
    </row>
    <row r="39" spans="1:10" ht="13.5" x14ac:dyDescent="0.25">
      <c r="A39" s="216" t="s">
        <v>898</v>
      </c>
      <c r="B39" s="215"/>
      <c r="C39" s="215"/>
      <c r="D39" s="2"/>
      <c r="E39" s="2">
        <v>142</v>
      </c>
      <c r="F39" s="2">
        <v>270</v>
      </c>
      <c r="G39" s="2">
        <v>270</v>
      </c>
      <c r="H39" s="2">
        <v>270</v>
      </c>
      <c r="I39" s="2">
        <v>270</v>
      </c>
      <c r="J39" s="2">
        <v>270</v>
      </c>
    </row>
    <row r="40" spans="1:10" hidden="1" x14ac:dyDescent="0.2">
      <c r="A40" s="215" t="s">
        <v>365</v>
      </c>
      <c r="B40" s="2">
        <v>2</v>
      </c>
      <c r="C40" s="2">
        <v>135</v>
      </c>
      <c r="D40" s="2">
        <f>ROUND(B40*C40,0)</f>
        <v>270</v>
      </c>
      <c r="E40" s="2"/>
      <c r="F40" s="2"/>
      <c r="G40" s="2"/>
      <c r="H40" s="2"/>
      <c r="I40" s="2"/>
      <c r="J40" s="2"/>
    </row>
    <row r="41" spans="1:10" x14ac:dyDescent="0.2">
      <c r="A41" s="215"/>
      <c r="B41" s="215"/>
      <c r="C41" s="215"/>
      <c r="D41" s="2"/>
      <c r="E41" s="2"/>
      <c r="F41" s="2"/>
      <c r="G41" s="2"/>
      <c r="H41" s="2"/>
      <c r="I41" s="2"/>
      <c r="J41" s="2"/>
    </row>
    <row r="42" spans="1:10" ht="13.5" x14ac:dyDescent="0.25">
      <c r="A42" s="216" t="s">
        <v>1100</v>
      </c>
      <c r="B42" s="215"/>
      <c r="C42" s="215"/>
      <c r="D42" s="2"/>
      <c r="E42" s="2">
        <v>974</v>
      </c>
      <c r="F42" s="2">
        <v>1100</v>
      </c>
      <c r="G42" s="2">
        <v>1050</v>
      </c>
      <c r="H42" s="2">
        <v>1050</v>
      </c>
      <c r="I42" s="2">
        <v>1050</v>
      </c>
      <c r="J42" s="2">
        <v>1050</v>
      </c>
    </row>
    <row r="43" spans="1:10" hidden="1" x14ac:dyDescent="0.2">
      <c r="A43" s="215" t="s">
        <v>365</v>
      </c>
      <c r="B43" s="2">
        <v>2</v>
      </c>
      <c r="C43" s="2">
        <v>525</v>
      </c>
      <c r="D43" s="2">
        <f>ROUND(B43*C43,0)</f>
        <v>1050</v>
      </c>
      <c r="E43" s="2"/>
      <c r="F43" s="2"/>
      <c r="G43" s="2"/>
      <c r="H43" s="2"/>
      <c r="I43" s="2"/>
      <c r="J43" s="2"/>
    </row>
    <row r="44" spans="1:10" x14ac:dyDescent="0.2">
      <c r="A44" s="215"/>
      <c r="B44" s="215"/>
      <c r="C44" s="215"/>
      <c r="D44" s="2"/>
      <c r="E44" s="2"/>
      <c r="F44" s="2"/>
      <c r="G44" s="2"/>
      <c r="H44" s="2"/>
      <c r="I44" s="2"/>
      <c r="J44" s="2"/>
    </row>
    <row r="45" spans="1:10" ht="13.5" x14ac:dyDescent="0.25">
      <c r="A45" s="216" t="s">
        <v>1101</v>
      </c>
      <c r="B45" s="215"/>
      <c r="C45" s="215"/>
      <c r="D45" s="2"/>
      <c r="E45" s="2">
        <v>3871</v>
      </c>
      <c r="F45" s="2">
        <v>4330</v>
      </c>
      <c r="G45" s="2">
        <v>3922</v>
      </c>
      <c r="H45" s="2">
        <v>3922</v>
      </c>
      <c r="I45" s="2">
        <v>4020</v>
      </c>
      <c r="J45" s="2">
        <v>4020</v>
      </c>
    </row>
    <row r="46" spans="1:10" hidden="1" x14ac:dyDescent="0.2">
      <c r="A46" s="12" t="s">
        <v>688</v>
      </c>
      <c r="B46" s="2">
        <f>+D10</f>
        <v>88254</v>
      </c>
      <c r="C46" s="13">
        <v>2.9499999999999998E-2</v>
      </c>
      <c r="D46" s="2">
        <f>ROUND(B46*C46,0)</f>
        <v>2603</v>
      </c>
      <c r="E46" s="2"/>
      <c r="F46" s="2"/>
      <c r="G46" s="2"/>
      <c r="H46" s="2"/>
      <c r="I46" s="2"/>
      <c r="J46" s="2"/>
    </row>
    <row r="47" spans="1:10" hidden="1" x14ac:dyDescent="0.2">
      <c r="A47" s="12" t="s">
        <v>155</v>
      </c>
      <c r="B47" s="2">
        <f>+B22</f>
        <v>43082</v>
      </c>
      <c r="C47" s="13">
        <v>2.9499999999999998E-2</v>
      </c>
      <c r="D47" s="2">
        <f>ROUND(B47*C47,0)</f>
        <v>1271</v>
      </c>
      <c r="E47" s="2"/>
      <c r="F47" s="2"/>
      <c r="G47" s="2"/>
      <c r="H47" s="2"/>
      <c r="I47" s="2"/>
      <c r="J47" s="2"/>
    </row>
    <row r="48" spans="1:10" ht="15" hidden="1" x14ac:dyDescent="0.35">
      <c r="A48" s="12" t="s">
        <v>1606</v>
      </c>
      <c r="B48" s="2">
        <f>ROUND(D18,0)</f>
        <v>4963</v>
      </c>
      <c r="C48" s="13">
        <v>2.9499999999999998E-2</v>
      </c>
      <c r="D48" s="10">
        <f>ROUND(B48*C48,0)</f>
        <v>146</v>
      </c>
      <c r="E48" s="2"/>
      <c r="F48" s="2"/>
      <c r="G48" s="2"/>
      <c r="H48" s="2"/>
      <c r="I48" s="2"/>
      <c r="J48" s="2"/>
    </row>
    <row r="49" spans="1:10" hidden="1" x14ac:dyDescent="0.2">
      <c r="A49" s="215" t="s">
        <v>1073</v>
      </c>
      <c r="B49" s="215"/>
      <c r="C49" s="215"/>
      <c r="D49" s="2">
        <f>SUM(D46:D48)</f>
        <v>4020</v>
      </c>
      <c r="E49" s="2"/>
      <c r="F49" s="2"/>
      <c r="G49" s="2"/>
      <c r="H49" s="2"/>
      <c r="I49" s="2"/>
      <c r="J49" s="2"/>
    </row>
    <row r="50" spans="1:10" x14ac:dyDescent="0.2">
      <c r="A50" s="215"/>
      <c r="B50" s="215"/>
      <c r="C50" s="215"/>
      <c r="D50" s="2"/>
      <c r="E50" s="2"/>
      <c r="F50" s="2"/>
      <c r="G50" s="2"/>
      <c r="H50" s="2"/>
      <c r="I50" s="2"/>
      <c r="J50" s="2"/>
    </row>
    <row r="51" spans="1:10" ht="13.5" x14ac:dyDescent="0.25">
      <c r="A51" s="216" t="s">
        <v>1322</v>
      </c>
      <c r="B51" s="215"/>
      <c r="C51" s="215"/>
      <c r="D51" s="2"/>
      <c r="E51" s="2">
        <v>87</v>
      </c>
      <c r="F51" s="2">
        <v>80</v>
      </c>
      <c r="G51" s="2">
        <v>80</v>
      </c>
      <c r="H51" s="2">
        <v>80</v>
      </c>
      <c r="I51" s="2">
        <v>80</v>
      </c>
      <c r="J51" s="2">
        <v>80</v>
      </c>
    </row>
    <row r="52" spans="1:10" hidden="1" x14ac:dyDescent="0.2">
      <c r="A52" s="12" t="s">
        <v>688</v>
      </c>
      <c r="B52" s="2">
        <v>2</v>
      </c>
      <c r="C52" s="2">
        <v>20</v>
      </c>
      <c r="D52" s="2">
        <f>ROUND(B52*C52,0)</f>
        <v>40</v>
      </c>
      <c r="E52" s="2"/>
      <c r="F52" s="2"/>
      <c r="G52" s="2"/>
      <c r="H52" s="2"/>
      <c r="I52" s="2"/>
      <c r="J52" s="2"/>
    </row>
    <row r="53" spans="1:10" ht="15" hidden="1" x14ac:dyDescent="0.35">
      <c r="A53" s="30" t="s">
        <v>1669</v>
      </c>
      <c r="B53" s="2">
        <v>2</v>
      </c>
      <c r="C53" s="2">
        <v>20</v>
      </c>
      <c r="D53" s="10">
        <f>ROUND(B53*C53,0)</f>
        <v>40</v>
      </c>
      <c r="E53" s="2"/>
      <c r="F53" s="2"/>
      <c r="G53" s="2"/>
      <c r="H53" s="2"/>
      <c r="I53" s="2"/>
      <c r="J53" s="2"/>
    </row>
    <row r="54" spans="1:10" hidden="1" x14ac:dyDescent="0.2">
      <c r="A54" s="12"/>
      <c r="B54" s="2"/>
      <c r="C54" s="2"/>
      <c r="D54" s="2">
        <f>SUM(D52:D53)</f>
        <v>80</v>
      </c>
      <c r="E54" s="2"/>
      <c r="F54" s="2"/>
      <c r="G54" s="2"/>
      <c r="H54" s="2"/>
      <c r="I54" s="2"/>
      <c r="J54" s="2"/>
    </row>
    <row r="55" spans="1:10" x14ac:dyDescent="0.2">
      <c r="A55" s="215"/>
      <c r="B55" s="215"/>
      <c r="C55" s="215"/>
      <c r="D55" s="2"/>
      <c r="E55" s="2"/>
      <c r="F55" s="215"/>
      <c r="G55" s="215"/>
      <c r="H55" s="227"/>
      <c r="I55" s="231"/>
      <c r="J55" s="233"/>
    </row>
    <row r="56" spans="1:10" ht="13.5" x14ac:dyDescent="0.25">
      <c r="A56" s="216" t="s">
        <v>1686</v>
      </c>
      <c r="B56" s="215"/>
      <c r="C56" s="215"/>
      <c r="D56" s="2"/>
      <c r="E56" s="2">
        <v>0</v>
      </c>
      <c r="F56" s="2">
        <v>0</v>
      </c>
      <c r="G56" s="2">
        <v>0</v>
      </c>
      <c r="H56" s="2">
        <v>0</v>
      </c>
      <c r="I56" s="2">
        <v>0</v>
      </c>
      <c r="J56" s="2">
        <v>0</v>
      </c>
    </row>
    <row r="57" spans="1:10" x14ac:dyDescent="0.2">
      <c r="A57" s="215"/>
      <c r="B57" s="215"/>
      <c r="C57" s="215"/>
      <c r="D57" s="2"/>
      <c r="E57" s="2"/>
      <c r="F57" s="215"/>
      <c r="G57" s="215"/>
      <c r="H57" s="227"/>
      <c r="I57" s="231"/>
      <c r="J57" s="233"/>
    </row>
    <row r="58" spans="1:10" ht="13.5" x14ac:dyDescent="0.25">
      <c r="A58" s="216" t="s">
        <v>23</v>
      </c>
      <c r="B58" s="215"/>
      <c r="C58" s="215"/>
      <c r="D58" s="2" t="s">
        <v>345</v>
      </c>
      <c r="E58" s="2">
        <v>627</v>
      </c>
      <c r="F58" s="2">
        <v>900</v>
      </c>
      <c r="G58" s="2">
        <v>1000</v>
      </c>
      <c r="H58" s="2">
        <v>1000</v>
      </c>
      <c r="I58" s="2">
        <v>1000</v>
      </c>
      <c r="J58" s="2">
        <v>1000</v>
      </c>
    </row>
    <row r="59" spans="1:10" x14ac:dyDescent="0.2">
      <c r="A59" s="215" t="s">
        <v>575</v>
      </c>
      <c r="B59" s="2">
        <v>2</v>
      </c>
      <c r="C59" s="2">
        <v>300</v>
      </c>
      <c r="D59" s="2">
        <f>ROUND(B59*C59,0)</f>
        <v>600</v>
      </c>
      <c r="E59" s="2"/>
      <c r="F59" s="2"/>
      <c r="G59" s="2"/>
      <c r="H59" s="2"/>
      <c r="I59" s="2"/>
      <c r="J59" s="2"/>
    </row>
    <row r="60" spans="1:10" ht="15" x14ac:dyDescent="0.35">
      <c r="A60" s="215" t="s">
        <v>916</v>
      </c>
      <c r="B60" s="2">
        <v>4</v>
      </c>
      <c r="C60" s="2">
        <v>100</v>
      </c>
      <c r="D60" s="10">
        <v>400</v>
      </c>
      <c r="E60" s="2"/>
      <c r="F60" s="2"/>
      <c r="G60" s="2"/>
      <c r="H60" s="2"/>
      <c r="I60" s="2"/>
      <c r="J60" s="2"/>
    </row>
    <row r="61" spans="1:10" x14ac:dyDescent="0.2">
      <c r="A61" s="215"/>
      <c r="B61" s="2"/>
      <c r="C61" s="2"/>
      <c r="D61" s="2">
        <f>SUM(D59:D60)</f>
        <v>1000</v>
      </c>
      <c r="E61" s="2"/>
      <c r="F61" s="2"/>
      <c r="G61" s="2"/>
      <c r="H61" s="2"/>
      <c r="I61" s="2"/>
      <c r="J61" s="2"/>
    </row>
    <row r="62" spans="1:10" x14ac:dyDescent="0.2">
      <c r="A62" s="215"/>
      <c r="B62" s="215"/>
      <c r="C62" s="2"/>
      <c r="D62" s="2"/>
      <c r="E62" s="2"/>
      <c r="F62" s="2"/>
      <c r="G62" s="2"/>
      <c r="H62" s="2"/>
      <c r="I62" s="2"/>
      <c r="J62" s="2"/>
    </row>
    <row r="63" spans="1:10" ht="13.5" x14ac:dyDescent="0.25">
      <c r="A63" s="216" t="s">
        <v>1687</v>
      </c>
      <c r="B63" s="215"/>
      <c r="C63" s="215"/>
      <c r="D63" s="2"/>
      <c r="E63" s="2">
        <v>0</v>
      </c>
      <c r="F63" s="2">
        <v>0</v>
      </c>
      <c r="G63" s="2">
        <v>0</v>
      </c>
      <c r="H63" s="2">
        <v>0</v>
      </c>
      <c r="I63" s="2">
        <v>0</v>
      </c>
      <c r="J63" s="2">
        <v>0</v>
      </c>
    </row>
    <row r="64" spans="1:10" x14ac:dyDescent="0.2">
      <c r="A64" s="215"/>
      <c r="B64" s="215"/>
      <c r="C64" s="2"/>
      <c r="D64" s="2"/>
      <c r="E64" s="2"/>
      <c r="F64" s="2"/>
      <c r="G64" s="2"/>
      <c r="H64" s="2"/>
      <c r="I64" s="2"/>
      <c r="J64" s="2"/>
    </row>
    <row r="65" spans="1:10" ht="13.5" x14ac:dyDescent="0.25">
      <c r="A65" s="216" t="s">
        <v>876</v>
      </c>
      <c r="B65" s="215"/>
      <c r="C65" s="2"/>
      <c r="D65" s="2"/>
      <c r="E65" s="2">
        <v>30597</v>
      </c>
      <c r="F65" s="2">
        <v>22816</v>
      </c>
      <c r="G65" s="2">
        <v>32000</v>
      </c>
      <c r="H65" s="2">
        <v>32000</v>
      </c>
      <c r="I65" s="2">
        <v>32000</v>
      </c>
      <c r="J65" s="2">
        <v>32000</v>
      </c>
    </row>
    <row r="66" spans="1:10" x14ac:dyDescent="0.2">
      <c r="A66" s="215" t="s">
        <v>1767</v>
      </c>
      <c r="B66" s="215"/>
      <c r="C66" s="2"/>
      <c r="D66" s="2">
        <v>31300</v>
      </c>
      <c r="E66" s="2"/>
      <c r="F66" s="2"/>
      <c r="G66" s="2"/>
      <c r="H66" s="2"/>
      <c r="I66" s="2"/>
      <c r="J66" s="2"/>
    </row>
    <row r="67" spans="1:10" ht="15" x14ac:dyDescent="0.35">
      <c r="A67" s="215" t="s">
        <v>1768</v>
      </c>
      <c r="B67" s="215"/>
      <c r="C67" s="10"/>
      <c r="D67" s="10">
        <v>700</v>
      </c>
      <c r="E67" s="2"/>
      <c r="F67" s="2"/>
      <c r="G67" s="2"/>
      <c r="H67" s="2"/>
      <c r="I67" s="2"/>
      <c r="J67" s="2"/>
    </row>
    <row r="68" spans="1:10" x14ac:dyDescent="0.2">
      <c r="A68" s="215" t="s">
        <v>1073</v>
      </c>
      <c r="B68" s="215"/>
      <c r="C68" s="2"/>
      <c r="D68" s="2">
        <f>SUM(D66:D67)</f>
        <v>32000</v>
      </c>
      <c r="E68" s="2"/>
      <c r="F68" s="2"/>
      <c r="G68" s="2"/>
      <c r="H68" s="2"/>
      <c r="I68" s="2"/>
      <c r="J68" s="2"/>
    </row>
    <row r="69" spans="1:10" x14ac:dyDescent="0.2">
      <c r="A69" s="215"/>
      <c r="B69" s="215"/>
      <c r="C69" s="2"/>
      <c r="D69" s="2"/>
      <c r="E69" s="2"/>
      <c r="F69" s="2"/>
      <c r="G69" s="2"/>
      <c r="H69" s="2"/>
      <c r="I69" s="2"/>
      <c r="J69" s="2"/>
    </row>
    <row r="70" spans="1:10" ht="13.5" x14ac:dyDescent="0.25">
      <c r="A70" s="216" t="s">
        <v>334</v>
      </c>
      <c r="B70" s="215"/>
      <c r="C70" s="2"/>
      <c r="D70" s="2"/>
      <c r="E70" s="2">
        <v>10640</v>
      </c>
      <c r="F70" s="2">
        <v>10500</v>
      </c>
      <c r="G70" s="2">
        <v>10600</v>
      </c>
      <c r="H70" s="2">
        <v>10600</v>
      </c>
      <c r="I70" s="2">
        <v>10600</v>
      </c>
      <c r="J70" s="2">
        <v>10600</v>
      </c>
    </row>
    <row r="71" spans="1:10" x14ac:dyDescent="0.2">
      <c r="A71" s="215" t="s">
        <v>1115</v>
      </c>
      <c r="B71" s="215"/>
      <c r="C71" s="2"/>
      <c r="D71" s="2">
        <v>9100</v>
      </c>
      <c r="E71" s="2"/>
      <c r="F71" s="2"/>
      <c r="G71" s="2"/>
      <c r="H71" s="2"/>
      <c r="I71" s="2"/>
      <c r="J71" s="2"/>
    </row>
    <row r="72" spans="1:10" ht="15" x14ac:dyDescent="0.35">
      <c r="A72" s="73" t="s">
        <v>794</v>
      </c>
      <c r="B72" s="215"/>
      <c r="C72" s="2"/>
      <c r="D72" s="10">
        <v>1500</v>
      </c>
      <c r="E72" s="2"/>
      <c r="F72" s="2"/>
      <c r="G72" s="2"/>
      <c r="H72" s="2"/>
      <c r="I72" s="2"/>
      <c r="J72" s="2"/>
    </row>
    <row r="73" spans="1:10" x14ac:dyDescent="0.2">
      <c r="A73" s="215" t="s">
        <v>1073</v>
      </c>
      <c r="B73" s="215"/>
      <c r="C73" s="2"/>
      <c r="D73" s="2">
        <f>SUM(D71:D72)</f>
        <v>10600</v>
      </c>
      <c r="E73" s="2"/>
      <c r="F73" s="2"/>
      <c r="G73" s="2"/>
      <c r="H73" s="2"/>
      <c r="I73" s="2"/>
      <c r="J73" s="2"/>
    </row>
    <row r="74" spans="1:10" x14ac:dyDescent="0.2">
      <c r="A74" s="215"/>
      <c r="B74" s="215"/>
      <c r="C74" s="215"/>
      <c r="D74" s="2"/>
      <c r="E74" s="2"/>
      <c r="F74" s="2"/>
      <c r="G74" s="2"/>
      <c r="H74" s="2"/>
      <c r="I74" s="2"/>
      <c r="J74" s="2"/>
    </row>
    <row r="75" spans="1:10" ht="13.5" x14ac:dyDescent="0.25">
      <c r="A75" s="216" t="s">
        <v>744</v>
      </c>
      <c r="B75" s="215"/>
      <c r="C75" s="215"/>
      <c r="D75" s="2"/>
      <c r="E75" s="2">
        <v>3688</v>
      </c>
      <c r="F75" s="2">
        <v>4200</v>
      </c>
      <c r="G75" s="2">
        <v>3900</v>
      </c>
      <c r="H75" s="2">
        <v>3900</v>
      </c>
      <c r="I75" s="2">
        <v>3900</v>
      </c>
      <c r="J75" s="2">
        <v>3900</v>
      </c>
    </row>
    <row r="76" spans="1:10" x14ac:dyDescent="0.2">
      <c r="A76" s="215" t="s">
        <v>1747</v>
      </c>
      <c r="B76" s="215"/>
      <c r="C76" s="2"/>
      <c r="D76" s="2">
        <v>3900</v>
      </c>
      <c r="E76" s="2"/>
      <c r="F76" s="2"/>
      <c r="G76" s="2"/>
      <c r="H76" s="2"/>
      <c r="I76" s="2"/>
      <c r="J76" s="2"/>
    </row>
    <row r="77" spans="1:10" x14ac:dyDescent="0.2">
      <c r="A77" s="215"/>
      <c r="B77" s="215"/>
      <c r="C77" s="2"/>
      <c r="D77" s="2"/>
      <c r="E77" s="2"/>
      <c r="F77" s="2"/>
      <c r="G77" s="2"/>
      <c r="H77" s="2"/>
      <c r="I77" s="2"/>
      <c r="J77" s="2"/>
    </row>
    <row r="78" spans="1:10" ht="13.5" x14ac:dyDescent="0.25">
      <c r="A78" s="216" t="s">
        <v>745</v>
      </c>
      <c r="B78" s="215"/>
      <c r="C78" s="2"/>
      <c r="D78" s="2"/>
      <c r="E78" s="2">
        <v>542</v>
      </c>
      <c r="F78" s="2">
        <v>608</v>
      </c>
      <c r="G78" s="2">
        <v>608</v>
      </c>
      <c r="H78" s="2">
        <v>608</v>
      </c>
      <c r="I78" s="2">
        <v>608</v>
      </c>
      <c r="J78" s="2">
        <v>608</v>
      </c>
    </row>
    <row r="79" spans="1:10" x14ac:dyDescent="0.2">
      <c r="A79" s="215" t="s">
        <v>1747</v>
      </c>
      <c r="B79" s="215"/>
      <c r="C79" s="2"/>
      <c r="D79" s="2">
        <f>304+304</f>
        <v>608</v>
      </c>
      <c r="E79" s="2"/>
      <c r="F79" s="2"/>
      <c r="G79" s="2"/>
      <c r="H79" s="2"/>
      <c r="I79" s="2"/>
      <c r="J79" s="2"/>
    </row>
    <row r="80" spans="1:10" x14ac:dyDescent="0.2">
      <c r="A80" s="215"/>
      <c r="B80" s="215"/>
      <c r="C80" s="215"/>
      <c r="D80" s="2"/>
      <c r="E80" s="2"/>
      <c r="F80" s="2"/>
      <c r="G80" s="2"/>
      <c r="H80" s="2"/>
      <c r="I80" s="2"/>
      <c r="J80" s="2"/>
    </row>
    <row r="81" spans="1:10" ht="13.5" x14ac:dyDescent="0.25">
      <c r="A81" s="216" t="s">
        <v>746</v>
      </c>
      <c r="B81" s="215"/>
      <c r="C81" s="215"/>
      <c r="D81" s="2"/>
      <c r="E81" s="2">
        <v>1422</v>
      </c>
      <c r="F81" s="2">
        <v>1800</v>
      </c>
      <c r="G81" s="2">
        <v>2423</v>
      </c>
      <c r="H81" s="2">
        <v>2423</v>
      </c>
      <c r="I81" s="2">
        <v>2423</v>
      </c>
      <c r="J81" s="2">
        <v>2423</v>
      </c>
    </row>
    <row r="82" spans="1:10" x14ac:dyDescent="0.2">
      <c r="A82" s="215" t="s">
        <v>1107</v>
      </c>
      <c r="B82" s="2">
        <v>850</v>
      </c>
      <c r="C82" s="11">
        <v>2.85</v>
      </c>
      <c r="D82" s="2">
        <f>ROUND(B82*C82,0)</f>
        <v>2423</v>
      </c>
      <c r="E82" s="2"/>
      <c r="F82" s="2"/>
      <c r="G82" s="2"/>
      <c r="H82" s="2"/>
      <c r="I82" s="2"/>
      <c r="J82" s="2"/>
    </row>
    <row r="83" spans="1:10" x14ac:dyDescent="0.2">
      <c r="A83" s="215"/>
      <c r="B83" s="215"/>
      <c r="C83" s="215"/>
      <c r="D83" s="2"/>
      <c r="E83" s="2"/>
      <c r="F83" s="2"/>
      <c r="G83" s="2"/>
      <c r="H83" s="2"/>
      <c r="I83" s="2"/>
      <c r="J83" s="2"/>
    </row>
    <row r="84" spans="1:10" ht="13.5" x14ac:dyDescent="0.25">
      <c r="A84" s="216" t="s">
        <v>747</v>
      </c>
      <c r="B84" s="215"/>
      <c r="C84" s="215"/>
      <c r="D84" s="2"/>
      <c r="E84" s="2">
        <v>1287</v>
      </c>
      <c r="F84" s="2">
        <v>930</v>
      </c>
      <c r="G84" s="2">
        <v>1080</v>
      </c>
      <c r="H84" s="2">
        <v>1080</v>
      </c>
      <c r="I84" s="2">
        <v>1080</v>
      </c>
      <c r="J84" s="2">
        <v>1080</v>
      </c>
    </row>
    <row r="85" spans="1:10" x14ac:dyDescent="0.2">
      <c r="A85" s="215" t="s">
        <v>74</v>
      </c>
      <c r="B85" s="2" t="s">
        <v>345</v>
      </c>
      <c r="C85" s="2"/>
      <c r="D85" s="2">
        <v>450</v>
      </c>
      <c r="E85" s="2"/>
      <c r="F85" s="2"/>
      <c r="G85" s="2"/>
      <c r="H85" s="2"/>
      <c r="I85" s="2"/>
      <c r="J85" s="2"/>
    </row>
    <row r="86" spans="1:10" ht="15" x14ac:dyDescent="0.35">
      <c r="A86" s="215" t="s">
        <v>86</v>
      </c>
      <c r="B86" s="2"/>
      <c r="C86" s="2"/>
      <c r="D86" s="10">
        <v>630</v>
      </c>
      <c r="E86" s="2"/>
      <c r="F86" s="2"/>
      <c r="G86" s="2"/>
      <c r="H86" s="2"/>
      <c r="I86" s="2"/>
      <c r="J86" s="2"/>
    </row>
    <row r="87" spans="1:10" x14ac:dyDescent="0.2">
      <c r="A87" s="215" t="s">
        <v>1073</v>
      </c>
      <c r="B87" s="2"/>
      <c r="C87" s="2"/>
      <c r="D87" s="2">
        <f>SUM(D85:D86)</f>
        <v>1080</v>
      </c>
      <c r="E87" s="2"/>
      <c r="F87" s="2"/>
      <c r="G87" s="2"/>
      <c r="H87" s="2"/>
      <c r="I87" s="2"/>
      <c r="J87" s="2"/>
    </row>
    <row r="88" spans="1:10" x14ac:dyDescent="0.2">
      <c r="A88" s="215"/>
      <c r="B88" s="215"/>
      <c r="C88" s="2"/>
      <c r="D88" s="2"/>
      <c r="E88" s="2"/>
      <c r="F88" s="2"/>
      <c r="G88" s="2"/>
      <c r="H88" s="2"/>
      <c r="I88" s="2"/>
      <c r="J88" s="2"/>
    </row>
    <row r="89" spans="1:10" ht="13.5" x14ac:dyDescent="0.25">
      <c r="A89" s="16" t="s">
        <v>748</v>
      </c>
      <c r="B89" s="215"/>
      <c r="C89" s="2"/>
      <c r="D89" s="2"/>
      <c r="E89" s="2">
        <v>4913</v>
      </c>
      <c r="F89" s="2">
        <v>4881</v>
      </c>
      <c r="G89" s="2">
        <v>5977</v>
      </c>
      <c r="H89" s="2">
        <v>5977</v>
      </c>
      <c r="I89" s="2">
        <v>5977</v>
      </c>
      <c r="J89" s="2">
        <v>5977</v>
      </c>
    </row>
    <row r="90" spans="1:10" x14ac:dyDescent="0.2">
      <c r="A90" s="215" t="s">
        <v>1420</v>
      </c>
      <c r="B90" s="215"/>
      <c r="C90" s="2"/>
      <c r="D90" s="2">
        <v>5977</v>
      </c>
      <c r="E90" s="2"/>
      <c r="F90" s="2"/>
      <c r="G90" s="2"/>
      <c r="H90" s="2"/>
      <c r="I90" s="2"/>
      <c r="J90" s="2"/>
    </row>
    <row r="91" spans="1:10" x14ac:dyDescent="0.2">
      <c r="A91" s="215"/>
      <c r="B91" s="215"/>
      <c r="C91" s="2"/>
      <c r="D91" s="2"/>
      <c r="E91" s="2"/>
      <c r="F91" s="2"/>
      <c r="G91" s="2"/>
      <c r="H91" s="2"/>
      <c r="I91" s="2"/>
      <c r="J91" s="2"/>
    </row>
    <row r="92" spans="1:10" x14ac:dyDescent="0.2">
      <c r="A92" s="215"/>
      <c r="B92" s="215"/>
      <c r="C92" s="2"/>
      <c r="D92" s="2"/>
      <c r="E92" s="2"/>
      <c r="F92" s="2"/>
      <c r="G92" s="2"/>
      <c r="H92" s="2"/>
      <c r="I92" s="2"/>
      <c r="J92" s="2"/>
    </row>
    <row r="93" spans="1:10" ht="13.5" x14ac:dyDescent="0.25">
      <c r="A93" s="216" t="s">
        <v>749</v>
      </c>
      <c r="B93" s="215"/>
      <c r="C93" s="2"/>
      <c r="D93" s="2"/>
      <c r="E93" s="2">
        <v>70511</v>
      </c>
      <c r="F93" s="2">
        <v>45973</v>
      </c>
      <c r="G93" s="2">
        <v>49325</v>
      </c>
      <c r="H93" s="2">
        <v>49325</v>
      </c>
      <c r="I93" s="2">
        <v>49325</v>
      </c>
      <c r="J93" s="2">
        <v>49325</v>
      </c>
    </row>
    <row r="94" spans="1:10" x14ac:dyDescent="0.2">
      <c r="A94" s="215" t="s">
        <v>1421</v>
      </c>
      <c r="B94" s="215"/>
      <c r="C94" s="2"/>
      <c r="D94" s="2">
        <v>5000</v>
      </c>
      <c r="E94" s="2"/>
      <c r="F94" s="2"/>
      <c r="G94" s="2"/>
      <c r="H94" s="2"/>
      <c r="I94" s="2"/>
      <c r="J94" s="2"/>
    </row>
    <row r="95" spans="1:10" x14ac:dyDescent="0.2">
      <c r="A95" s="215" t="s">
        <v>92</v>
      </c>
      <c r="B95" s="215"/>
      <c r="C95" s="2"/>
      <c r="D95" s="2">
        <v>2500</v>
      </c>
      <c r="E95" s="2"/>
      <c r="F95" s="2"/>
      <c r="G95" s="2"/>
      <c r="H95" s="2"/>
      <c r="I95" s="2"/>
      <c r="J95" s="2"/>
    </row>
    <row r="96" spans="1:10" x14ac:dyDescent="0.2">
      <c r="A96" s="215" t="s">
        <v>1136</v>
      </c>
      <c r="B96" s="215"/>
      <c r="C96" s="2"/>
      <c r="D96" s="2">
        <v>3000</v>
      </c>
      <c r="E96" s="2"/>
      <c r="F96" s="2"/>
      <c r="G96" s="2"/>
      <c r="H96" s="2"/>
      <c r="I96" s="2"/>
      <c r="J96" s="2"/>
    </row>
    <row r="97" spans="1:10" x14ac:dyDescent="0.2">
      <c r="A97" s="215" t="s">
        <v>1137</v>
      </c>
      <c r="B97" s="215"/>
      <c r="C97" s="2"/>
      <c r="D97" s="2">
        <v>500</v>
      </c>
      <c r="E97" s="2"/>
      <c r="F97" s="2"/>
      <c r="G97" s="2"/>
      <c r="H97" s="2"/>
      <c r="I97" s="2"/>
      <c r="J97" s="2"/>
    </row>
    <row r="98" spans="1:10" x14ac:dyDescent="0.2">
      <c r="A98" s="215" t="s">
        <v>1646</v>
      </c>
      <c r="B98" s="215"/>
      <c r="C98" s="2"/>
      <c r="D98" s="2">
        <v>3500</v>
      </c>
      <c r="E98" s="2"/>
      <c r="F98" s="2"/>
      <c r="G98" s="2"/>
      <c r="H98" s="2"/>
      <c r="I98" s="2"/>
      <c r="J98" s="2"/>
    </row>
    <row r="99" spans="1:10" x14ac:dyDescent="0.2">
      <c r="A99" s="215" t="s">
        <v>1538</v>
      </c>
      <c r="B99" s="215"/>
      <c r="C99" s="2"/>
      <c r="D99" s="2">
        <v>1500</v>
      </c>
      <c r="E99" s="2"/>
      <c r="F99" s="2"/>
      <c r="G99" s="2"/>
      <c r="H99" s="2"/>
      <c r="I99" s="2"/>
      <c r="J99" s="2"/>
    </row>
    <row r="100" spans="1:10" x14ac:dyDescent="0.2">
      <c r="A100" s="215" t="s">
        <v>1138</v>
      </c>
      <c r="B100" s="215"/>
      <c r="C100" s="2"/>
      <c r="D100" s="2">
        <v>1100</v>
      </c>
      <c r="E100" s="2"/>
      <c r="F100" s="2"/>
      <c r="G100" s="2"/>
      <c r="H100" s="2"/>
      <c r="I100" s="2"/>
      <c r="J100" s="2"/>
    </row>
    <row r="101" spans="1:10" x14ac:dyDescent="0.2">
      <c r="A101" s="215" t="s">
        <v>837</v>
      </c>
      <c r="B101" s="215"/>
      <c r="C101" s="2"/>
      <c r="D101" s="2">
        <v>500</v>
      </c>
      <c r="E101" s="2"/>
      <c r="F101" s="2"/>
      <c r="G101" s="2"/>
      <c r="H101" s="2"/>
      <c r="I101" s="2"/>
      <c r="J101" s="2"/>
    </row>
    <row r="102" spans="1:10" x14ac:dyDescent="0.2">
      <c r="A102" s="5" t="s">
        <v>871</v>
      </c>
      <c r="B102" s="5"/>
      <c r="C102" s="2"/>
      <c r="D102" s="2">
        <v>11000</v>
      </c>
      <c r="E102" s="2"/>
      <c r="F102" s="2"/>
      <c r="G102" s="2"/>
      <c r="H102" s="2"/>
      <c r="I102" s="2"/>
      <c r="J102" s="2"/>
    </row>
    <row r="103" spans="1:10" x14ac:dyDescent="0.2">
      <c r="A103" s="5" t="s">
        <v>1560</v>
      </c>
      <c r="B103" s="5"/>
      <c r="C103" s="2"/>
      <c r="D103" s="2">
        <v>795</v>
      </c>
      <c r="E103" s="2"/>
      <c r="F103" s="2"/>
      <c r="G103" s="2"/>
      <c r="H103" s="2"/>
      <c r="I103" s="2"/>
      <c r="J103" s="2"/>
    </row>
    <row r="104" spans="1:10" x14ac:dyDescent="0.2">
      <c r="A104" s="5" t="s">
        <v>1716</v>
      </c>
      <c r="B104" s="5"/>
      <c r="C104" s="2"/>
      <c r="D104" s="2">
        <v>1000</v>
      </c>
      <c r="E104" s="2"/>
      <c r="F104" s="2"/>
      <c r="G104" s="2"/>
      <c r="H104" s="2"/>
      <c r="I104" s="2"/>
      <c r="J104" s="2"/>
    </row>
    <row r="105" spans="1:10" x14ac:dyDescent="0.2">
      <c r="A105" s="5" t="s">
        <v>1717</v>
      </c>
      <c r="B105" s="5"/>
      <c r="C105" s="2"/>
      <c r="D105" s="2">
        <v>1600</v>
      </c>
      <c r="E105" s="2"/>
      <c r="F105" s="2"/>
      <c r="G105" s="2"/>
      <c r="H105" s="2"/>
      <c r="I105" s="2"/>
      <c r="J105" s="2"/>
    </row>
    <row r="106" spans="1:10" x14ac:dyDescent="0.2">
      <c r="A106" s="5" t="s">
        <v>1718</v>
      </c>
      <c r="B106" s="5"/>
      <c r="C106" s="2"/>
      <c r="D106" s="2">
        <v>1100</v>
      </c>
      <c r="E106" s="2"/>
      <c r="F106" s="2"/>
      <c r="G106" s="2"/>
      <c r="H106" s="2"/>
      <c r="I106" s="2"/>
      <c r="J106" s="2"/>
    </row>
    <row r="107" spans="1:10" x14ac:dyDescent="0.2">
      <c r="A107" s="5" t="s">
        <v>1719</v>
      </c>
      <c r="B107" s="5"/>
      <c r="C107" s="2"/>
      <c r="D107" s="2">
        <v>1000</v>
      </c>
      <c r="E107" s="2"/>
      <c r="F107" s="2"/>
      <c r="G107" s="2"/>
      <c r="H107" s="2"/>
      <c r="I107" s="2"/>
      <c r="J107" s="2"/>
    </row>
    <row r="108" spans="1:10" x14ac:dyDescent="0.2">
      <c r="A108" s="5" t="s">
        <v>895</v>
      </c>
      <c r="B108" s="5"/>
      <c r="C108" s="2"/>
      <c r="D108" s="2">
        <v>1500</v>
      </c>
      <c r="E108" s="2"/>
      <c r="F108" s="2"/>
      <c r="G108" s="2"/>
      <c r="H108" s="2"/>
      <c r="I108" s="2"/>
      <c r="J108" s="2"/>
    </row>
    <row r="109" spans="1:10" x14ac:dyDescent="0.2">
      <c r="A109" s="5" t="s">
        <v>2032</v>
      </c>
      <c r="B109" s="5"/>
      <c r="C109" s="2"/>
      <c r="D109" s="2">
        <v>850</v>
      </c>
      <c r="E109" s="2"/>
      <c r="F109" s="2"/>
      <c r="G109" s="2"/>
      <c r="H109" s="2"/>
      <c r="I109" s="2"/>
      <c r="J109" s="2"/>
    </row>
    <row r="110" spans="1:10" x14ac:dyDescent="0.2">
      <c r="A110" s="5" t="s">
        <v>2033</v>
      </c>
      <c r="B110" s="5"/>
      <c r="C110" s="2"/>
      <c r="D110" s="2">
        <v>2000</v>
      </c>
      <c r="E110" s="2"/>
      <c r="F110" s="2"/>
      <c r="G110" s="2"/>
      <c r="H110" s="2"/>
      <c r="I110" s="2"/>
      <c r="J110" s="2"/>
    </row>
    <row r="111" spans="1:10" x14ac:dyDescent="0.2">
      <c r="A111" s="5" t="s">
        <v>1720</v>
      </c>
      <c r="B111" s="5"/>
      <c r="C111" s="2"/>
      <c r="D111" s="2">
        <v>2000</v>
      </c>
      <c r="E111" s="2"/>
      <c r="F111" s="2"/>
      <c r="G111" s="2"/>
      <c r="H111" s="2"/>
      <c r="I111" s="2"/>
      <c r="J111" s="2"/>
    </row>
    <row r="112" spans="1:10" x14ac:dyDescent="0.2">
      <c r="A112" s="5" t="s">
        <v>1498</v>
      </c>
      <c r="B112" s="5"/>
      <c r="C112" s="2"/>
      <c r="D112" s="2">
        <v>880</v>
      </c>
      <c r="E112" s="2"/>
      <c r="F112" s="2"/>
      <c r="G112" s="2"/>
      <c r="H112" s="2"/>
      <c r="I112" s="2"/>
      <c r="J112" s="2"/>
    </row>
    <row r="113" spans="1:10" ht="15" x14ac:dyDescent="0.35">
      <c r="A113" s="215" t="s">
        <v>1721</v>
      </c>
      <c r="B113" s="215"/>
      <c r="C113" s="10"/>
      <c r="D113" s="10">
        <v>8000</v>
      </c>
      <c r="E113" s="2"/>
      <c r="F113" s="2"/>
      <c r="G113" s="2"/>
      <c r="H113" s="2"/>
      <c r="I113" s="2"/>
      <c r="J113" s="2"/>
    </row>
    <row r="114" spans="1:10" x14ac:dyDescent="0.2">
      <c r="A114" s="215" t="s">
        <v>1073</v>
      </c>
      <c r="B114" s="215"/>
      <c r="C114" s="2"/>
      <c r="D114" s="2">
        <f>SUM(D94:D113)</f>
        <v>49325</v>
      </c>
      <c r="E114" s="2"/>
      <c r="F114" s="215"/>
      <c r="G114" s="215"/>
      <c r="H114" s="227"/>
      <c r="I114" s="231"/>
      <c r="J114" s="233"/>
    </row>
    <row r="115" spans="1:10" x14ac:dyDescent="0.2">
      <c r="A115" s="215"/>
      <c r="B115" s="215"/>
      <c r="C115" s="2"/>
      <c r="D115" s="2"/>
      <c r="E115" s="2"/>
      <c r="F115" s="2"/>
      <c r="G115" s="2"/>
      <c r="H115" s="2"/>
      <c r="I115" s="2"/>
      <c r="J115" s="2"/>
    </row>
    <row r="116" spans="1:10" ht="13.5" x14ac:dyDescent="0.25">
      <c r="A116" s="216" t="s">
        <v>844</v>
      </c>
      <c r="B116" s="215"/>
      <c r="C116" s="2"/>
      <c r="D116" s="2"/>
      <c r="E116" s="2">
        <v>8825</v>
      </c>
      <c r="F116" s="2">
        <v>5250</v>
      </c>
      <c r="G116" s="2">
        <v>6000</v>
      </c>
      <c r="H116" s="2">
        <v>6000</v>
      </c>
      <c r="I116" s="2">
        <v>6000</v>
      </c>
      <c r="J116" s="2">
        <v>6000</v>
      </c>
    </row>
    <row r="117" spans="1:10" x14ac:dyDescent="0.2">
      <c r="A117" s="215" t="s">
        <v>845</v>
      </c>
      <c r="B117" s="215"/>
      <c r="C117" s="2">
        <v>750</v>
      </c>
      <c r="D117" s="2">
        <v>1000</v>
      </c>
      <c r="E117" s="2"/>
      <c r="F117" s="2"/>
      <c r="G117" s="2"/>
      <c r="H117" s="2"/>
      <c r="I117" s="2"/>
      <c r="J117" s="2"/>
    </row>
    <row r="118" spans="1:10" x14ac:dyDescent="0.2">
      <c r="A118" s="215" t="s">
        <v>856</v>
      </c>
      <c r="B118" s="215"/>
      <c r="C118" s="2">
        <v>750</v>
      </c>
      <c r="D118" s="2">
        <v>1000</v>
      </c>
      <c r="E118" s="2"/>
      <c r="F118" s="2"/>
      <c r="G118" s="2"/>
      <c r="H118" s="2"/>
      <c r="I118" s="2"/>
      <c r="J118" s="2"/>
    </row>
    <row r="119" spans="1:10" x14ac:dyDescent="0.2">
      <c r="A119" s="215" t="s">
        <v>1491</v>
      </c>
      <c r="B119" s="215"/>
      <c r="C119" s="2">
        <v>3000</v>
      </c>
      <c r="D119" s="2">
        <v>3000</v>
      </c>
      <c r="E119" s="2"/>
      <c r="F119" s="2"/>
      <c r="G119" s="2"/>
      <c r="H119" s="2"/>
      <c r="I119" s="2"/>
      <c r="J119" s="2"/>
    </row>
    <row r="120" spans="1:10" ht="15" x14ac:dyDescent="0.35">
      <c r="A120" s="215" t="s">
        <v>2034</v>
      </c>
      <c r="B120" s="215"/>
      <c r="C120" s="10">
        <v>750</v>
      </c>
      <c r="D120" s="10">
        <v>1000</v>
      </c>
      <c r="E120" s="2"/>
      <c r="F120" s="2"/>
      <c r="G120" s="2"/>
      <c r="H120" s="2"/>
      <c r="I120" s="2"/>
      <c r="J120" s="2"/>
    </row>
    <row r="121" spans="1:10" x14ac:dyDescent="0.2">
      <c r="A121" s="215" t="s">
        <v>1073</v>
      </c>
      <c r="B121" s="215"/>
      <c r="C121" s="2">
        <f>SUM(C117:C120)</f>
        <v>5250</v>
      </c>
      <c r="D121" s="2">
        <f>SUM(D117:D120)</f>
        <v>6000</v>
      </c>
      <c r="E121" s="2"/>
      <c r="F121" s="2"/>
      <c r="G121" s="2"/>
      <c r="H121" s="2"/>
      <c r="I121" s="2"/>
      <c r="J121" s="2"/>
    </row>
    <row r="122" spans="1:10" x14ac:dyDescent="0.2">
      <c r="A122" s="215"/>
      <c r="B122" s="215"/>
      <c r="C122" s="2"/>
      <c r="D122" s="2"/>
      <c r="E122" s="2"/>
      <c r="F122" s="2"/>
      <c r="G122" s="2"/>
      <c r="H122" s="2"/>
      <c r="I122" s="2"/>
      <c r="J122" s="2"/>
    </row>
    <row r="123" spans="1:10" ht="13.5" x14ac:dyDescent="0.25">
      <c r="A123" s="216" t="s">
        <v>1285</v>
      </c>
      <c r="B123" s="215"/>
      <c r="C123" s="2"/>
      <c r="D123" s="2"/>
      <c r="E123" s="2">
        <v>1620</v>
      </c>
      <c r="F123" s="2">
        <v>750</v>
      </c>
      <c r="G123" s="2">
        <v>750</v>
      </c>
      <c r="H123" s="2">
        <v>750</v>
      </c>
      <c r="I123" s="2">
        <v>750</v>
      </c>
      <c r="J123" s="2">
        <v>750</v>
      </c>
    </row>
    <row r="124" spans="1:10" x14ac:dyDescent="0.2">
      <c r="A124" s="22" t="s">
        <v>1422</v>
      </c>
      <c r="B124" s="215"/>
      <c r="C124" s="2"/>
      <c r="D124" s="2">
        <v>750</v>
      </c>
      <c r="E124" s="2"/>
      <c r="F124" s="2"/>
      <c r="G124" s="2"/>
      <c r="H124" s="2"/>
      <c r="I124" s="2"/>
      <c r="J124" s="2"/>
    </row>
    <row r="125" spans="1:10" x14ac:dyDescent="0.2">
      <c r="A125" s="215"/>
      <c r="B125" s="215"/>
      <c r="C125" s="2"/>
      <c r="D125" s="2"/>
      <c r="E125" s="2"/>
      <c r="F125" s="2"/>
      <c r="G125" s="2"/>
      <c r="H125" s="2"/>
      <c r="I125" s="2"/>
      <c r="J125" s="2"/>
    </row>
    <row r="126" spans="1:10" ht="13.5" x14ac:dyDescent="0.25">
      <c r="A126" s="216" t="s">
        <v>933</v>
      </c>
      <c r="B126" s="215"/>
      <c r="C126" s="2"/>
      <c r="D126" s="2"/>
      <c r="E126" s="2">
        <v>349</v>
      </c>
      <c r="F126" s="2">
        <v>500</v>
      </c>
      <c r="G126" s="2">
        <v>500</v>
      </c>
      <c r="H126" s="2">
        <v>500</v>
      </c>
      <c r="I126" s="2">
        <v>500</v>
      </c>
      <c r="J126" s="2">
        <v>500</v>
      </c>
    </row>
    <row r="127" spans="1:10" x14ac:dyDescent="0.2">
      <c r="A127" s="215" t="s">
        <v>1539</v>
      </c>
      <c r="B127" s="215"/>
      <c r="C127" s="2"/>
      <c r="D127" s="2">
        <v>500</v>
      </c>
      <c r="E127" s="2"/>
      <c r="F127" s="2"/>
      <c r="G127" s="2"/>
      <c r="H127" s="2"/>
      <c r="I127" s="2"/>
      <c r="J127" s="2"/>
    </row>
    <row r="128" spans="1:10" x14ac:dyDescent="0.2">
      <c r="A128" s="215"/>
      <c r="B128" s="215"/>
      <c r="C128" s="2"/>
      <c r="D128" s="2"/>
      <c r="E128" s="2"/>
      <c r="F128" s="2"/>
      <c r="G128" s="2"/>
      <c r="H128" s="2"/>
      <c r="I128" s="2"/>
      <c r="J128" s="2"/>
    </row>
    <row r="129" spans="1:10" x14ac:dyDescent="0.2">
      <c r="A129" s="215"/>
      <c r="B129" s="215"/>
      <c r="C129" s="2"/>
      <c r="D129" s="2"/>
      <c r="E129" s="2"/>
      <c r="F129" s="2"/>
      <c r="G129" s="2"/>
      <c r="H129" s="2"/>
      <c r="I129" s="2"/>
      <c r="J129" s="2"/>
    </row>
    <row r="130" spans="1:10" s="198" customFormat="1" ht="13.5" x14ac:dyDescent="0.25">
      <c r="A130" s="216" t="s">
        <v>1985</v>
      </c>
      <c r="B130" s="215"/>
      <c r="C130" s="2"/>
      <c r="D130" s="2"/>
      <c r="E130" s="2">
        <v>287</v>
      </c>
      <c r="F130" s="2">
        <v>0</v>
      </c>
      <c r="G130" s="2">
        <v>250</v>
      </c>
      <c r="H130" s="2">
        <v>250</v>
      </c>
      <c r="I130" s="2">
        <v>250</v>
      </c>
      <c r="J130" s="2">
        <v>250</v>
      </c>
    </row>
    <row r="131" spans="1:10" s="198" customFormat="1" x14ac:dyDescent="0.2">
      <c r="A131" s="215"/>
      <c r="B131" s="215"/>
      <c r="C131" s="2"/>
      <c r="D131" s="2">
        <v>0</v>
      </c>
      <c r="E131" s="2"/>
      <c r="F131" s="2"/>
      <c r="G131" s="2"/>
      <c r="H131" s="2"/>
      <c r="I131" s="2"/>
      <c r="J131" s="2"/>
    </row>
    <row r="132" spans="1:10" s="198" customFormat="1" x14ac:dyDescent="0.2">
      <c r="A132" s="215"/>
      <c r="B132" s="215"/>
      <c r="C132" s="2"/>
      <c r="D132" s="2"/>
      <c r="E132" s="2"/>
      <c r="F132" s="2"/>
      <c r="G132" s="2"/>
      <c r="H132" s="2"/>
      <c r="I132" s="2"/>
      <c r="J132" s="2"/>
    </row>
    <row r="133" spans="1:10" ht="13.5" x14ac:dyDescent="0.25">
      <c r="A133" s="216" t="s">
        <v>1521</v>
      </c>
      <c r="B133" s="215"/>
      <c r="C133" s="2"/>
      <c r="D133" s="2"/>
      <c r="E133" s="2">
        <v>0</v>
      </c>
      <c r="F133" s="2">
        <v>25000</v>
      </c>
      <c r="G133" s="2">
        <v>25000</v>
      </c>
      <c r="H133" s="2">
        <v>25000</v>
      </c>
      <c r="I133" s="2">
        <v>25000</v>
      </c>
      <c r="J133" s="2">
        <v>25000</v>
      </c>
    </row>
    <row r="134" spans="1:10" x14ac:dyDescent="0.2">
      <c r="A134" s="215" t="s">
        <v>1647</v>
      </c>
      <c r="B134" s="215"/>
      <c r="C134" s="2"/>
      <c r="D134" s="2">
        <v>25000</v>
      </c>
      <c r="E134" s="2"/>
      <c r="F134" s="2"/>
      <c r="G134" s="2"/>
      <c r="H134" s="2"/>
      <c r="I134" s="2"/>
      <c r="J134" s="2"/>
    </row>
    <row r="135" spans="1:10" ht="13.5" x14ac:dyDescent="0.25">
      <c r="A135" s="216"/>
      <c r="B135" s="215"/>
      <c r="C135" s="2"/>
      <c r="D135" s="2"/>
      <c r="E135" s="2"/>
      <c r="F135" s="2"/>
      <c r="G135" s="2"/>
      <c r="H135" s="2"/>
      <c r="I135" s="2"/>
      <c r="J135" s="2"/>
    </row>
    <row r="136" spans="1:10" x14ac:dyDescent="0.2">
      <c r="A136" s="215"/>
      <c r="B136" s="215"/>
      <c r="C136" s="2"/>
      <c r="D136" s="2"/>
      <c r="E136" s="2"/>
      <c r="F136" s="2"/>
      <c r="G136" s="2"/>
      <c r="H136" s="2"/>
      <c r="I136" s="2"/>
      <c r="J136" s="2"/>
    </row>
    <row r="137" spans="1:10" ht="13.5" x14ac:dyDescent="0.25">
      <c r="A137" s="216" t="s">
        <v>469</v>
      </c>
      <c r="B137" s="215"/>
      <c r="C137" s="7"/>
      <c r="D137" s="7"/>
      <c r="E137" s="2">
        <v>98269</v>
      </c>
      <c r="F137" s="2">
        <v>0</v>
      </c>
      <c r="G137" s="2">
        <v>160000</v>
      </c>
      <c r="H137" s="2">
        <v>0</v>
      </c>
      <c r="I137" s="2">
        <v>0</v>
      </c>
      <c r="J137" s="2">
        <v>0</v>
      </c>
    </row>
    <row r="138" spans="1:10" x14ac:dyDescent="0.2">
      <c r="A138" s="215" t="s">
        <v>2035</v>
      </c>
      <c r="B138" s="215"/>
      <c r="C138" s="7"/>
      <c r="D138" s="2">
        <v>25000</v>
      </c>
      <c r="E138" s="2"/>
      <c r="F138" s="215"/>
      <c r="G138" s="215"/>
      <c r="H138" s="227"/>
      <c r="I138" s="231"/>
      <c r="J138" s="233"/>
    </row>
    <row r="139" spans="1:10" ht="15" x14ac:dyDescent="0.35">
      <c r="A139" s="215" t="s">
        <v>2036</v>
      </c>
      <c r="B139" s="215"/>
      <c r="C139" s="8"/>
      <c r="D139" s="17">
        <v>135000</v>
      </c>
      <c r="E139" s="2"/>
      <c r="F139" s="215"/>
      <c r="G139" s="215"/>
      <c r="H139" s="227"/>
      <c r="I139" s="231"/>
      <c r="J139" s="233"/>
    </row>
    <row r="140" spans="1:10" x14ac:dyDescent="0.2">
      <c r="A140" s="215" t="s">
        <v>1073</v>
      </c>
      <c r="B140" s="215"/>
      <c r="C140" s="2"/>
      <c r="D140" s="2">
        <f>SUM(D138:D139)</f>
        <v>160000</v>
      </c>
      <c r="E140" s="2"/>
      <c r="F140" s="215"/>
      <c r="G140" s="215"/>
      <c r="H140" s="227"/>
      <c r="I140" s="231"/>
      <c r="J140" s="233"/>
    </row>
    <row r="141" spans="1:10" x14ac:dyDescent="0.2">
      <c r="A141" s="215"/>
      <c r="B141" s="215"/>
      <c r="C141" s="2"/>
      <c r="D141" s="2"/>
      <c r="E141" s="2"/>
      <c r="F141" s="215"/>
      <c r="G141" s="215"/>
      <c r="H141" s="227"/>
      <c r="I141" s="231"/>
      <c r="J141" s="233"/>
    </row>
    <row r="142" spans="1:10" ht="13.5" x14ac:dyDescent="0.25">
      <c r="A142" s="216" t="s">
        <v>1986</v>
      </c>
      <c r="B142" s="215"/>
      <c r="C142" s="2"/>
      <c r="D142" s="2"/>
      <c r="E142" s="2">
        <v>0</v>
      </c>
      <c r="F142" s="2">
        <v>0</v>
      </c>
      <c r="G142" s="2">
        <v>0</v>
      </c>
      <c r="H142" s="2">
        <v>0</v>
      </c>
      <c r="I142" s="2">
        <v>0</v>
      </c>
      <c r="J142" s="2">
        <v>0</v>
      </c>
    </row>
    <row r="143" spans="1:10" x14ac:dyDescent="0.2">
      <c r="A143" s="215" t="s">
        <v>2037</v>
      </c>
      <c r="B143" s="215"/>
      <c r="C143" s="2"/>
      <c r="D143" s="2"/>
      <c r="E143" s="2"/>
      <c r="F143" s="2"/>
      <c r="G143" s="215"/>
      <c r="H143" s="227"/>
      <c r="I143" s="231"/>
      <c r="J143" s="233"/>
    </row>
    <row r="144" spans="1:10" ht="15" x14ac:dyDescent="0.35">
      <c r="A144" s="215"/>
      <c r="B144" s="215"/>
      <c r="C144" s="7"/>
      <c r="D144" s="17"/>
      <c r="E144" s="10">
        <v>2689</v>
      </c>
      <c r="F144" s="10">
        <v>0</v>
      </c>
      <c r="G144" s="10">
        <v>0</v>
      </c>
      <c r="H144" s="10">
        <v>0</v>
      </c>
      <c r="I144" s="10">
        <v>0</v>
      </c>
      <c r="J144" s="10">
        <v>0</v>
      </c>
    </row>
    <row r="145" spans="1:10" x14ac:dyDescent="0.2">
      <c r="A145" s="215"/>
      <c r="B145" s="215"/>
      <c r="C145" s="2"/>
      <c r="D145" s="2"/>
      <c r="E145" s="2"/>
      <c r="F145" s="2"/>
      <c r="G145" s="2"/>
      <c r="H145" s="2"/>
      <c r="I145" s="2"/>
      <c r="J145" s="2"/>
    </row>
    <row r="146" spans="1:10" x14ac:dyDescent="0.2">
      <c r="C146" s="2"/>
      <c r="D146" s="2"/>
      <c r="E146" s="2"/>
      <c r="F146" s="2"/>
      <c r="G146" s="2"/>
      <c r="H146" s="2"/>
      <c r="I146" s="2"/>
      <c r="J146" s="2"/>
    </row>
    <row r="147" spans="1:10" x14ac:dyDescent="0.2">
      <c r="C147" s="2"/>
      <c r="D147" s="2"/>
      <c r="E147" s="2"/>
      <c r="F147" s="2"/>
      <c r="G147" s="2"/>
      <c r="H147" s="2"/>
      <c r="I147" s="2"/>
      <c r="J147" s="2"/>
    </row>
    <row r="148" spans="1:10" x14ac:dyDescent="0.2">
      <c r="C148" s="2"/>
      <c r="D148" s="2"/>
      <c r="E148" s="2"/>
      <c r="F148" s="2"/>
      <c r="G148" s="2"/>
      <c r="H148" s="2"/>
      <c r="I148" s="2"/>
      <c r="J148" s="2"/>
    </row>
    <row r="149" spans="1:10" x14ac:dyDescent="0.2">
      <c r="A149" s="183" t="s">
        <v>1151</v>
      </c>
      <c r="C149" s="2"/>
      <c r="D149" s="2"/>
      <c r="E149" s="2">
        <f t="shared" ref="E149:J149" si="0">SUM(E6:E145)</f>
        <v>448679</v>
      </c>
      <c r="F149" s="2">
        <f t="shared" si="0"/>
        <v>330175</v>
      </c>
      <c r="G149" s="2">
        <f t="shared" si="0"/>
        <v>502114</v>
      </c>
      <c r="H149" s="2">
        <f t="shared" si="0"/>
        <v>342114</v>
      </c>
      <c r="I149" s="2">
        <f t="shared" ref="I149" si="1">SUM(I6:I145)</f>
        <v>345141</v>
      </c>
      <c r="J149" s="2">
        <f t="shared" si="0"/>
        <v>345141</v>
      </c>
    </row>
    <row r="150" spans="1:10" x14ac:dyDescent="0.2">
      <c r="I150" s="231"/>
    </row>
    <row r="151" spans="1:10" x14ac:dyDescent="0.2">
      <c r="A151" s="183" t="s">
        <v>519</v>
      </c>
      <c r="E151" s="2">
        <f t="shared" ref="E151:J151" si="2">SUM(E6:E55)</f>
        <v>212413</v>
      </c>
      <c r="F151" s="2">
        <f t="shared" si="2"/>
        <v>206067</v>
      </c>
      <c r="G151" s="2">
        <f t="shared" si="2"/>
        <v>202701</v>
      </c>
      <c r="H151" s="2">
        <f t="shared" si="2"/>
        <v>202701</v>
      </c>
      <c r="I151" s="2">
        <f t="shared" ref="I151" si="3">SUM(I6:I55)</f>
        <v>205728</v>
      </c>
      <c r="J151" s="2">
        <f t="shared" si="2"/>
        <v>205728</v>
      </c>
    </row>
    <row r="152" spans="1:10" x14ac:dyDescent="0.2">
      <c r="A152" s="183" t="s">
        <v>809</v>
      </c>
      <c r="E152" s="2">
        <f t="shared" ref="E152" si="4">SUM(E56:E134)</f>
        <v>135308</v>
      </c>
      <c r="F152" s="2">
        <f t="shared" ref="F152:J152" si="5">SUM(F56:F134)</f>
        <v>124108</v>
      </c>
      <c r="G152" s="2">
        <f t="shared" si="5"/>
        <v>139413</v>
      </c>
      <c r="H152" s="2">
        <f t="shared" si="5"/>
        <v>139413</v>
      </c>
      <c r="I152" s="2">
        <f t="shared" ref="I152" si="6">SUM(I56:I134)</f>
        <v>139413</v>
      </c>
      <c r="J152" s="2">
        <f t="shared" si="5"/>
        <v>139413</v>
      </c>
    </row>
    <row r="153" spans="1:10" ht="15" x14ac:dyDescent="0.35">
      <c r="A153" s="183" t="s">
        <v>810</v>
      </c>
      <c r="E153" s="10">
        <f>SUM(E137:E145)</f>
        <v>100958</v>
      </c>
      <c r="F153" s="10">
        <f t="shared" ref="F153:J153" si="7">SUM(F137:F145)</f>
        <v>0</v>
      </c>
      <c r="G153" s="10">
        <f t="shared" si="7"/>
        <v>160000</v>
      </c>
      <c r="H153" s="10">
        <f t="shared" si="7"/>
        <v>0</v>
      </c>
      <c r="I153" s="10">
        <f t="shared" ref="I153" si="8">SUM(I137:I145)</f>
        <v>0</v>
      </c>
      <c r="J153" s="10">
        <f t="shared" si="7"/>
        <v>0</v>
      </c>
    </row>
    <row r="154" spans="1:10" x14ac:dyDescent="0.2">
      <c r="A154" s="183" t="s">
        <v>1073</v>
      </c>
      <c r="E154" s="2">
        <f t="shared" ref="E154" si="9">SUM(E151:E153)</f>
        <v>448679</v>
      </c>
      <c r="F154" s="2">
        <f t="shared" ref="F154:J154" si="10">SUM(F151:F153)</f>
        <v>330175</v>
      </c>
      <c r="G154" s="2">
        <f t="shared" si="10"/>
        <v>502114</v>
      </c>
      <c r="H154" s="2">
        <f t="shared" si="10"/>
        <v>342114</v>
      </c>
      <c r="I154" s="2">
        <f t="shared" ref="I154" si="11">SUM(I151:I153)</f>
        <v>345141</v>
      </c>
      <c r="J154" s="2">
        <f t="shared" si="10"/>
        <v>345141</v>
      </c>
    </row>
    <row r="155" spans="1:10" x14ac:dyDescent="0.2">
      <c r="I155" s="231"/>
    </row>
    <row r="156" spans="1:10" x14ac:dyDescent="0.2">
      <c r="I156" s="231"/>
    </row>
    <row r="157" spans="1:10" x14ac:dyDescent="0.2">
      <c r="I157" s="231"/>
      <c r="J157" s="2">
        <f>+J153-I153</f>
        <v>0</v>
      </c>
    </row>
    <row r="158" spans="1:10" x14ac:dyDescent="0.2">
      <c r="I158" s="231"/>
    </row>
    <row r="159" spans="1:10" x14ac:dyDescent="0.2">
      <c r="A159" s="183" t="s">
        <v>1813</v>
      </c>
      <c r="C159" s="7"/>
      <c r="D159" s="2"/>
      <c r="I159" s="231"/>
    </row>
    <row r="160" spans="1:10" x14ac:dyDescent="0.2">
      <c r="A160" s="183" t="s">
        <v>1814</v>
      </c>
      <c r="C160" s="7"/>
      <c r="D160" s="2">
        <v>52146</v>
      </c>
      <c r="I160" s="231"/>
    </row>
    <row r="161" spans="9:9" x14ac:dyDescent="0.2">
      <c r="I161" s="231"/>
    </row>
    <row r="162" spans="9:9" x14ac:dyDescent="0.2">
      <c r="I162" s="231"/>
    </row>
    <row r="163" spans="9:9" x14ac:dyDescent="0.2">
      <c r="I163" s="231"/>
    </row>
    <row r="164" spans="9:9" x14ac:dyDescent="0.2">
      <c r="I164" s="231"/>
    </row>
    <row r="165" spans="9:9" x14ac:dyDescent="0.2">
      <c r="I165" s="231"/>
    </row>
    <row r="166" spans="9:9" x14ac:dyDescent="0.2">
      <c r="I166" s="231"/>
    </row>
    <row r="167" spans="9:9" x14ac:dyDescent="0.2">
      <c r="I167" s="231"/>
    </row>
    <row r="168" spans="9:9" x14ac:dyDescent="0.2">
      <c r="I168" s="231"/>
    </row>
    <row r="169" spans="9:9" x14ac:dyDescent="0.2">
      <c r="I169" s="231"/>
    </row>
    <row r="170" spans="9:9" x14ac:dyDescent="0.2">
      <c r="I170" s="231"/>
    </row>
    <row r="171" spans="9:9" x14ac:dyDescent="0.2">
      <c r="I171" s="231"/>
    </row>
    <row r="172" spans="9:9" x14ac:dyDescent="0.2">
      <c r="I172" s="231"/>
    </row>
    <row r="173" spans="9:9" x14ac:dyDescent="0.2">
      <c r="I173" s="231"/>
    </row>
    <row r="174" spans="9:9" x14ac:dyDescent="0.2">
      <c r="I174" s="231"/>
    </row>
    <row r="175" spans="9:9" x14ac:dyDescent="0.2">
      <c r="I175" s="231"/>
    </row>
    <row r="176" spans="9:9" x14ac:dyDescent="0.2">
      <c r="I176" s="231"/>
    </row>
    <row r="177" spans="9:9" x14ac:dyDescent="0.2">
      <c r="I177" s="231"/>
    </row>
    <row r="178" spans="9:9" x14ac:dyDescent="0.2">
      <c r="I178" s="231"/>
    </row>
    <row r="179" spans="9:9" x14ac:dyDescent="0.2">
      <c r="I179" s="231"/>
    </row>
    <row r="180" spans="9:9" x14ac:dyDescent="0.2">
      <c r="I180" s="231"/>
    </row>
    <row r="181" spans="9:9" x14ac:dyDescent="0.2">
      <c r="I181" s="231"/>
    </row>
    <row r="182" spans="9:9" x14ac:dyDescent="0.2">
      <c r="I182" s="231"/>
    </row>
    <row r="183" spans="9:9" x14ac:dyDescent="0.2">
      <c r="I183" s="231"/>
    </row>
    <row r="184" spans="9:9" x14ac:dyDescent="0.2">
      <c r="I184" s="231"/>
    </row>
    <row r="185" spans="9:9" x14ac:dyDescent="0.2">
      <c r="I185" s="231"/>
    </row>
    <row r="186" spans="9:9" x14ac:dyDescent="0.2">
      <c r="I186" s="231"/>
    </row>
    <row r="187" spans="9:9" x14ac:dyDescent="0.2">
      <c r="I187" s="231"/>
    </row>
    <row r="188" spans="9:9" x14ac:dyDescent="0.2">
      <c r="I188" s="231"/>
    </row>
    <row r="189" spans="9:9" x14ac:dyDescent="0.2">
      <c r="I189" s="231"/>
    </row>
    <row r="190" spans="9:9" x14ac:dyDescent="0.2">
      <c r="I190" s="231"/>
    </row>
    <row r="191" spans="9:9" x14ac:dyDescent="0.2">
      <c r="I191" s="231"/>
    </row>
    <row r="192" spans="9:9" x14ac:dyDescent="0.2">
      <c r="I192" s="231"/>
    </row>
    <row r="193" spans="9:9" x14ac:dyDescent="0.2">
      <c r="I193" s="231"/>
    </row>
    <row r="194" spans="9:9" x14ac:dyDescent="0.2">
      <c r="I194" s="231"/>
    </row>
    <row r="195" spans="9:9" x14ac:dyDescent="0.2">
      <c r="I195" s="231"/>
    </row>
    <row r="196" spans="9:9" x14ac:dyDescent="0.2">
      <c r="I196" s="231"/>
    </row>
    <row r="197" spans="9:9" x14ac:dyDescent="0.2">
      <c r="I197" s="231"/>
    </row>
    <row r="198" spans="9:9" x14ac:dyDescent="0.2">
      <c r="I198" s="231"/>
    </row>
    <row r="199" spans="9:9" x14ac:dyDescent="0.2">
      <c r="I199" s="231"/>
    </row>
    <row r="200" spans="9:9" x14ac:dyDescent="0.2">
      <c r="I200" s="231"/>
    </row>
    <row r="201" spans="9:9" x14ac:dyDescent="0.2">
      <c r="I201" s="231"/>
    </row>
    <row r="202" spans="9:9" x14ac:dyDescent="0.2">
      <c r="I202" s="231"/>
    </row>
    <row r="203" spans="9:9" x14ac:dyDescent="0.2">
      <c r="I203" s="231"/>
    </row>
    <row r="204" spans="9:9" x14ac:dyDescent="0.2">
      <c r="I204" s="231"/>
    </row>
    <row r="205" spans="9:9" x14ac:dyDescent="0.2">
      <c r="I205" s="231"/>
    </row>
    <row r="206" spans="9:9" x14ac:dyDescent="0.2">
      <c r="I206" s="231"/>
    </row>
    <row r="207" spans="9:9" x14ac:dyDescent="0.2">
      <c r="I207" s="231"/>
    </row>
    <row r="208" spans="9:9" x14ac:dyDescent="0.2">
      <c r="I208" s="231"/>
    </row>
    <row r="209" spans="9:9" x14ac:dyDescent="0.2">
      <c r="I209" s="231"/>
    </row>
    <row r="210" spans="9:9" x14ac:dyDescent="0.2">
      <c r="I210" s="231"/>
    </row>
    <row r="211" spans="9:9" x14ac:dyDescent="0.2">
      <c r="I211" s="231"/>
    </row>
    <row r="212" spans="9:9" x14ac:dyDescent="0.2">
      <c r="I212" s="231"/>
    </row>
    <row r="213" spans="9:9" x14ac:dyDescent="0.2">
      <c r="I213" s="231"/>
    </row>
    <row r="214" spans="9:9" x14ac:dyDescent="0.2">
      <c r="I214" s="231"/>
    </row>
    <row r="215" spans="9:9" x14ac:dyDescent="0.2">
      <c r="I215" s="231"/>
    </row>
    <row r="216" spans="9:9" x14ac:dyDescent="0.2">
      <c r="I216" s="231"/>
    </row>
    <row r="217" spans="9:9" x14ac:dyDescent="0.2">
      <c r="I217" s="231"/>
    </row>
    <row r="218" spans="9:9" x14ac:dyDescent="0.2">
      <c r="I218" s="231"/>
    </row>
    <row r="219" spans="9:9" x14ac:dyDescent="0.2">
      <c r="I219" s="231"/>
    </row>
    <row r="220" spans="9:9" x14ac:dyDescent="0.2">
      <c r="I220" s="231"/>
    </row>
    <row r="221" spans="9:9" x14ac:dyDescent="0.2">
      <c r="I221" s="231"/>
    </row>
    <row r="222" spans="9:9" x14ac:dyDescent="0.2">
      <c r="I222" s="231"/>
    </row>
    <row r="223" spans="9:9" x14ac:dyDescent="0.2">
      <c r="I223" s="231"/>
    </row>
    <row r="224" spans="9:9" x14ac:dyDescent="0.2">
      <c r="I224" s="231"/>
    </row>
    <row r="225" spans="9:9" x14ac:dyDescent="0.2">
      <c r="I225" s="231"/>
    </row>
    <row r="226" spans="9:9" x14ac:dyDescent="0.2">
      <c r="I226" s="231"/>
    </row>
    <row r="227" spans="9:9" x14ac:dyDescent="0.2">
      <c r="I227" s="231"/>
    </row>
    <row r="228" spans="9:9" x14ac:dyDescent="0.2">
      <c r="I228" s="231"/>
    </row>
    <row r="229" spans="9:9" x14ac:dyDescent="0.2">
      <c r="I229" s="231"/>
    </row>
    <row r="230" spans="9:9" x14ac:dyDescent="0.2">
      <c r="I230" s="231"/>
    </row>
    <row r="231" spans="9:9" x14ac:dyDescent="0.2">
      <c r="I231" s="231"/>
    </row>
    <row r="232" spans="9:9" x14ac:dyDescent="0.2">
      <c r="I232" s="231"/>
    </row>
    <row r="233" spans="9:9" x14ac:dyDescent="0.2">
      <c r="I233" s="231"/>
    </row>
    <row r="234" spans="9:9" x14ac:dyDescent="0.2">
      <c r="I234" s="231"/>
    </row>
    <row r="235" spans="9:9" x14ac:dyDescent="0.2">
      <c r="I235" s="231"/>
    </row>
    <row r="236" spans="9:9" x14ac:dyDescent="0.2">
      <c r="I236" s="231"/>
    </row>
    <row r="237" spans="9:9" x14ac:dyDescent="0.2">
      <c r="I237" s="231"/>
    </row>
    <row r="238" spans="9:9" x14ac:dyDescent="0.2">
      <c r="I238" s="231"/>
    </row>
    <row r="239" spans="9:9" x14ac:dyDescent="0.2">
      <c r="I239" s="231"/>
    </row>
    <row r="240" spans="9:9" x14ac:dyDescent="0.2">
      <c r="I240" s="231"/>
    </row>
    <row r="241" spans="9:9" x14ac:dyDescent="0.2">
      <c r="I241" s="231"/>
    </row>
    <row r="242" spans="9:9" x14ac:dyDescent="0.2">
      <c r="I242" s="231"/>
    </row>
    <row r="243" spans="9:9" x14ac:dyDescent="0.2">
      <c r="I243" s="231"/>
    </row>
    <row r="244" spans="9:9" x14ac:dyDescent="0.2">
      <c r="I244" s="231"/>
    </row>
    <row r="245" spans="9:9" x14ac:dyDescent="0.2">
      <c r="I245" s="231"/>
    </row>
    <row r="246" spans="9:9" x14ac:dyDescent="0.2">
      <c r="I246" s="231"/>
    </row>
    <row r="247" spans="9:9" x14ac:dyDescent="0.2">
      <c r="I247" s="231"/>
    </row>
    <row r="248" spans="9:9" x14ac:dyDescent="0.2">
      <c r="I248" s="231"/>
    </row>
    <row r="249" spans="9:9" x14ac:dyDescent="0.2">
      <c r="I249" s="231"/>
    </row>
    <row r="250" spans="9:9" x14ac:dyDescent="0.2">
      <c r="I250" s="231"/>
    </row>
    <row r="251" spans="9:9" x14ac:dyDescent="0.2">
      <c r="I251" s="231"/>
    </row>
    <row r="252" spans="9:9" x14ac:dyDescent="0.2">
      <c r="I252" s="231"/>
    </row>
  </sheetData>
  <mergeCells count="1">
    <mergeCell ref="A1:J1"/>
  </mergeCells>
  <phoneticPr fontId="0" type="noConversion"/>
  <printOptions gridLines="1"/>
  <pageMargins left="0.75" right="0.16" top="0.51" bottom="0.22" header="0.5" footer="0"/>
  <pageSetup scale="86" fitToHeight="5"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II205"/>
  <sheetViews>
    <sheetView view="pageBreakPreview" zoomScaleNormal="100" zoomScaleSheetLayoutView="100" workbookViewId="0">
      <pane ySplit="5" topLeftCell="A6" activePane="bottomLeft" state="frozen"/>
      <selection activeCell="D43" sqref="D43"/>
      <selection pane="bottomLeft" activeCell="B150" sqref="B150"/>
    </sheetView>
  </sheetViews>
  <sheetFormatPr defaultColWidth="8.85546875" defaultRowHeight="12.75" x14ac:dyDescent="0.2"/>
  <cols>
    <col min="1" max="1" width="55.140625" style="183" customWidth="1"/>
    <col min="2" max="2" width="8.7109375" style="183" bestFit="1" customWidth="1"/>
    <col min="3" max="3" width="7.7109375" style="183" bestFit="1" customWidth="1"/>
    <col min="4" max="4" width="8.7109375" style="183" bestFit="1" customWidth="1"/>
    <col min="5" max="6" width="9" style="183" bestFit="1" customWidth="1"/>
    <col min="7" max="7" width="11.7109375" style="2" bestFit="1" customWidth="1"/>
    <col min="8" max="8" width="13.5703125" style="2" bestFit="1" customWidth="1"/>
    <col min="9" max="10" width="10.85546875" style="183" customWidth="1"/>
    <col min="11" max="16384" width="8.85546875" style="183"/>
  </cols>
  <sheetData>
    <row r="1" spans="1:243" x14ac:dyDescent="0.2">
      <c r="A1" s="254" t="e">
        <f>#REF!</f>
        <v>#REF!</v>
      </c>
      <c r="B1" s="255"/>
      <c r="C1" s="255"/>
      <c r="D1" s="255"/>
      <c r="E1" s="255"/>
      <c r="F1" s="255"/>
      <c r="G1" s="255"/>
      <c r="H1" s="255"/>
      <c r="I1" s="255"/>
      <c r="J1" s="255"/>
    </row>
    <row r="2" spans="1:243" ht="18.75" x14ac:dyDescent="0.3">
      <c r="A2" s="91" t="s">
        <v>1582</v>
      </c>
      <c r="B2" s="91"/>
      <c r="C2" s="91"/>
      <c r="D2" s="91"/>
      <c r="E2" s="91"/>
      <c r="F2" s="91"/>
      <c r="I2" s="20"/>
      <c r="J2" s="20"/>
    </row>
    <row r="3" spans="1:243" x14ac:dyDescent="0.2">
      <c r="B3" s="2"/>
      <c r="C3" s="2"/>
      <c r="D3" s="2"/>
      <c r="E3" s="2"/>
      <c r="F3" s="2"/>
      <c r="I3" s="20"/>
      <c r="J3" s="20"/>
    </row>
    <row r="4" spans="1:243" x14ac:dyDescent="0.2">
      <c r="B4" s="2"/>
      <c r="C4" s="2"/>
      <c r="D4" s="2"/>
      <c r="E4" s="15" t="s">
        <v>204</v>
      </c>
      <c r="F4" s="15" t="s">
        <v>205</v>
      </c>
      <c r="G4" s="15" t="s">
        <v>61</v>
      </c>
      <c r="H4" s="15" t="s">
        <v>358</v>
      </c>
      <c r="I4" s="15" t="s">
        <v>270</v>
      </c>
      <c r="J4" s="15" t="s">
        <v>301</v>
      </c>
    </row>
    <row r="5" spans="1:243" ht="15" x14ac:dyDescent="0.35">
      <c r="B5" s="2"/>
      <c r="C5" s="2"/>
      <c r="D5" s="2"/>
      <c r="E5" s="196" t="s">
        <v>1757</v>
      </c>
      <c r="F5" s="196" t="s">
        <v>1838</v>
      </c>
      <c r="G5" s="196" t="s">
        <v>1977</v>
      </c>
      <c r="H5" s="196" t="s">
        <v>1977</v>
      </c>
      <c r="I5" s="196" t="s">
        <v>1977</v>
      </c>
      <c r="J5" s="196" t="s">
        <v>1977</v>
      </c>
    </row>
    <row r="6" spans="1:243" ht="13.5" x14ac:dyDescent="0.25">
      <c r="A6" s="205" t="s">
        <v>1186</v>
      </c>
      <c r="B6" s="2"/>
      <c r="C6" s="2"/>
      <c r="D6" s="2"/>
      <c r="E6" s="2">
        <v>41151</v>
      </c>
      <c r="F6" s="40">
        <v>42506</v>
      </c>
      <c r="G6" s="40">
        <v>41756</v>
      </c>
      <c r="H6" s="40">
        <v>41756</v>
      </c>
      <c r="I6" s="40">
        <v>42796</v>
      </c>
      <c r="J6" s="40">
        <v>42796</v>
      </c>
      <c r="II6" s="40"/>
    </row>
    <row r="7" spans="1:243" x14ac:dyDescent="0.2">
      <c r="A7" s="203" t="s">
        <v>115</v>
      </c>
      <c r="B7" s="2">
        <v>52</v>
      </c>
      <c r="C7" s="2">
        <v>823</v>
      </c>
      <c r="D7" s="2">
        <f>ROUND(B7*C7,0)</f>
        <v>42796</v>
      </c>
      <c r="E7" s="2"/>
      <c r="F7" s="40"/>
      <c r="G7" s="40"/>
      <c r="H7" s="40"/>
      <c r="I7" s="40"/>
      <c r="J7" s="40"/>
      <c r="II7" s="40"/>
    </row>
    <row r="8" spans="1:243" ht="15" x14ac:dyDescent="0.35">
      <c r="A8" s="203" t="s">
        <v>824</v>
      </c>
      <c r="B8" s="2" t="s">
        <v>345</v>
      </c>
      <c r="C8" s="2" t="s">
        <v>345</v>
      </c>
      <c r="D8" s="10">
        <v>0</v>
      </c>
      <c r="E8" s="2"/>
      <c r="F8" s="54"/>
      <c r="G8" s="54"/>
      <c r="H8" s="54"/>
      <c r="I8" s="54"/>
      <c r="J8" s="54"/>
      <c r="II8" s="54"/>
    </row>
    <row r="9" spans="1:243" x14ac:dyDescent="0.2">
      <c r="A9" s="203" t="s">
        <v>1073</v>
      </c>
      <c r="B9" s="2"/>
      <c r="C9" s="2"/>
      <c r="D9" s="2">
        <f>SUM(D7:D8)</f>
        <v>42796</v>
      </c>
      <c r="E9" s="2"/>
      <c r="F9" s="40"/>
      <c r="G9" s="40"/>
      <c r="H9" s="40"/>
      <c r="I9" s="40"/>
      <c r="J9" s="40"/>
      <c r="II9" s="40"/>
    </row>
    <row r="10" spans="1:243" x14ac:dyDescent="0.2">
      <c r="A10" s="203"/>
      <c r="B10" s="2"/>
      <c r="C10" s="2"/>
      <c r="D10" s="2"/>
      <c r="E10" s="2"/>
      <c r="F10" s="40"/>
      <c r="G10" s="40"/>
      <c r="H10" s="40"/>
      <c r="I10" s="40"/>
      <c r="J10" s="40"/>
      <c r="II10" s="40"/>
    </row>
    <row r="11" spans="1:243" ht="13.5" x14ac:dyDescent="0.25">
      <c r="A11" s="205" t="s">
        <v>336</v>
      </c>
      <c r="B11" s="2"/>
      <c r="C11" s="2"/>
      <c r="D11" s="2"/>
      <c r="E11" s="2">
        <v>176422</v>
      </c>
      <c r="F11" s="40">
        <v>183272</v>
      </c>
      <c r="G11" s="40">
        <v>179932</v>
      </c>
      <c r="H11" s="40">
        <v>179932</v>
      </c>
      <c r="I11" s="40">
        <v>184352</v>
      </c>
      <c r="J11" s="40">
        <v>184352</v>
      </c>
      <c r="II11" s="40"/>
    </row>
    <row r="12" spans="1:243" x14ac:dyDescent="0.2">
      <c r="A12" s="203" t="s">
        <v>337</v>
      </c>
      <c r="B12" s="2">
        <v>52</v>
      </c>
      <c r="C12" s="2">
        <v>2089</v>
      </c>
      <c r="D12" s="2">
        <f>ROUND(B12*C12,0)</f>
        <v>108628</v>
      </c>
      <c r="E12" s="2"/>
      <c r="F12" s="40"/>
      <c r="G12" s="40"/>
      <c r="H12" s="40"/>
      <c r="I12" s="40"/>
      <c r="J12" s="40"/>
      <c r="II12" s="40"/>
    </row>
    <row r="13" spans="1:243" x14ac:dyDescent="0.2">
      <c r="A13" s="203" t="s">
        <v>338</v>
      </c>
      <c r="B13" s="2">
        <v>52</v>
      </c>
      <c r="C13" s="2">
        <v>1417</v>
      </c>
      <c r="D13" s="2">
        <f>ROUND(B13*C13,0)</f>
        <v>73684</v>
      </c>
      <c r="E13" s="2"/>
      <c r="F13" s="40"/>
      <c r="G13" s="40"/>
      <c r="H13" s="40"/>
      <c r="I13" s="40"/>
      <c r="J13" s="40"/>
      <c r="II13" s="40"/>
    </row>
    <row r="14" spans="1:243" ht="15" x14ac:dyDescent="0.35">
      <c r="A14" s="203" t="s">
        <v>824</v>
      </c>
      <c r="B14" s="2"/>
      <c r="C14" s="2"/>
      <c r="D14" s="10">
        <v>2040</v>
      </c>
      <c r="E14" s="2"/>
      <c r="F14" s="40"/>
      <c r="G14" s="40"/>
      <c r="H14" s="40"/>
      <c r="I14" s="40"/>
      <c r="J14" s="40"/>
      <c r="II14" s="40"/>
    </row>
    <row r="15" spans="1:243" x14ac:dyDescent="0.2">
      <c r="A15" s="203" t="s">
        <v>1073</v>
      </c>
      <c r="B15" s="2"/>
      <c r="C15" s="2"/>
      <c r="D15" s="2">
        <f>SUM(D12:D14)</f>
        <v>184352</v>
      </c>
      <c r="E15" s="2"/>
      <c r="F15" s="40"/>
      <c r="G15" s="40"/>
      <c r="H15" s="40"/>
      <c r="I15" s="40"/>
      <c r="J15" s="40"/>
      <c r="II15" s="40"/>
    </row>
    <row r="16" spans="1:243" x14ac:dyDescent="0.2">
      <c r="A16" s="203"/>
      <c r="B16" s="2"/>
      <c r="C16" s="2"/>
      <c r="D16" s="2"/>
      <c r="E16" s="2"/>
      <c r="F16" s="40"/>
      <c r="G16" s="40"/>
      <c r="H16" s="40"/>
      <c r="I16" s="40"/>
      <c r="J16" s="40"/>
      <c r="II16" s="40"/>
    </row>
    <row r="17" spans="1:243" ht="13.5" x14ac:dyDescent="0.25">
      <c r="A17" s="205" t="s">
        <v>442</v>
      </c>
      <c r="B17" s="2"/>
      <c r="C17" s="2"/>
      <c r="D17" s="2"/>
      <c r="E17" s="2">
        <v>58495</v>
      </c>
      <c r="F17" s="40">
        <v>60769</v>
      </c>
      <c r="G17" s="40">
        <v>59644</v>
      </c>
      <c r="H17" s="40">
        <v>59644</v>
      </c>
      <c r="I17" s="40">
        <v>61152</v>
      </c>
      <c r="J17" s="40">
        <v>61152</v>
      </c>
      <c r="II17" s="40"/>
    </row>
    <row r="18" spans="1:243" ht="15" x14ac:dyDescent="0.35">
      <c r="A18" s="203" t="s">
        <v>268</v>
      </c>
      <c r="B18" s="2">
        <v>52</v>
      </c>
      <c r="C18" s="2">
        <v>1176</v>
      </c>
      <c r="D18" s="10">
        <f>ROUND(B18*C18,0)</f>
        <v>61152</v>
      </c>
      <c r="E18" s="2"/>
      <c r="F18" s="40"/>
      <c r="G18" s="40"/>
      <c r="H18" s="40"/>
      <c r="I18" s="40"/>
      <c r="J18" s="40"/>
      <c r="II18" s="40"/>
    </row>
    <row r="19" spans="1:243" x14ac:dyDescent="0.2">
      <c r="A19" s="203" t="s">
        <v>1073</v>
      </c>
      <c r="B19" s="2"/>
      <c r="C19" s="2"/>
      <c r="D19" s="2">
        <f>SUM(D18:D18)</f>
        <v>61152</v>
      </c>
      <c r="E19" s="2"/>
      <c r="F19" s="40"/>
      <c r="G19" s="40"/>
      <c r="H19" s="40"/>
      <c r="I19" s="40"/>
      <c r="J19" s="40"/>
      <c r="II19" s="40"/>
    </row>
    <row r="20" spans="1:243" x14ac:dyDescent="0.2">
      <c r="A20" s="203"/>
      <c r="B20" s="236"/>
      <c r="C20" s="236"/>
      <c r="D20" s="2"/>
      <c r="E20" s="2"/>
      <c r="F20" s="40"/>
      <c r="G20" s="40"/>
      <c r="H20" s="40"/>
      <c r="I20" s="40"/>
      <c r="J20" s="40"/>
      <c r="II20" s="40"/>
    </row>
    <row r="21" spans="1:243" ht="13.5" x14ac:dyDescent="0.25">
      <c r="A21" s="205" t="s">
        <v>546</v>
      </c>
      <c r="B21" s="236"/>
      <c r="C21" s="236"/>
      <c r="D21" s="2"/>
      <c r="E21" s="2">
        <v>23328</v>
      </c>
      <c r="F21" s="40">
        <v>24664</v>
      </c>
      <c r="G21" s="40">
        <v>23250</v>
      </c>
      <c r="H21" s="40">
        <v>23250</v>
      </c>
      <c r="I21" s="40">
        <v>23837</v>
      </c>
      <c r="J21" s="40">
        <v>23837</v>
      </c>
      <c r="II21" s="40"/>
    </row>
    <row r="22" spans="1:243" ht="15" x14ac:dyDescent="0.35">
      <c r="A22" s="203" t="s">
        <v>98</v>
      </c>
      <c r="B22" s="2">
        <v>1248</v>
      </c>
      <c r="C22" s="11">
        <v>19.100000000000001</v>
      </c>
      <c r="D22" s="10">
        <f>ROUND(B22*C22,0)</f>
        <v>23837</v>
      </c>
      <c r="E22" s="2"/>
      <c r="F22" s="40"/>
      <c r="G22" s="40"/>
      <c r="H22" s="40"/>
      <c r="I22" s="40"/>
      <c r="J22" s="40"/>
      <c r="II22" s="40"/>
    </row>
    <row r="23" spans="1:243" x14ac:dyDescent="0.2">
      <c r="A23" s="203" t="s">
        <v>1073</v>
      </c>
      <c r="B23" s="2"/>
      <c r="C23" s="11"/>
      <c r="D23" s="2">
        <f>SUM(D22:D22)</f>
        <v>23837</v>
      </c>
      <c r="E23" s="2"/>
      <c r="F23" s="40"/>
      <c r="G23" s="40"/>
      <c r="H23" s="40"/>
      <c r="I23" s="40"/>
      <c r="J23" s="40"/>
      <c r="II23" s="40"/>
    </row>
    <row r="24" spans="1:243" x14ac:dyDescent="0.2">
      <c r="A24" s="203"/>
      <c r="B24" s="236"/>
      <c r="C24" s="236"/>
      <c r="D24" s="236"/>
      <c r="E24" s="236"/>
      <c r="F24" s="40"/>
      <c r="G24" s="40"/>
      <c r="H24" s="40"/>
      <c r="I24" s="40"/>
      <c r="J24" s="40"/>
      <c r="II24" s="40"/>
    </row>
    <row r="25" spans="1:243" ht="13.5" x14ac:dyDescent="0.25">
      <c r="A25" s="205" t="s">
        <v>1601</v>
      </c>
      <c r="B25" s="2"/>
      <c r="C25" s="11"/>
      <c r="D25" s="2"/>
      <c r="E25" s="2">
        <v>93</v>
      </c>
      <c r="F25" s="2">
        <v>750</v>
      </c>
      <c r="G25" s="2">
        <v>300</v>
      </c>
      <c r="H25" s="2">
        <v>300</v>
      </c>
      <c r="I25" s="2">
        <v>300</v>
      </c>
      <c r="J25" s="2">
        <v>300</v>
      </c>
      <c r="II25" s="40"/>
    </row>
    <row r="26" spans="1:243" x14ac:dyDescent="0.2">
      <c r="A26" s="203"/>
      <c r="B26" s="236"/>
      <c r="C26" s="236"/>
      <c r="D26" s="2"/>
      <c r="E26" s="2"/>
      <c r="F26" s="40"/>
      <c r="G26" s="40"/>
      <c r="H26" s="40"/>
      <c r="I26" s="40"/>
      <c r="J26" s="40"/>
      <c r="II26" s="40"/>
    </row>
    <row r="27" spans="1:243" ht="13.5" x14ac:dyDescent="0.25">
      <c r="A27" s="205" t="s">
        <v>174</v>
      </c>
      <c r="B27" s="61"/>
      <c r="C27" s="236"/>
      <c r="D27" s="2"/>
      <c r="E27" s="2">
        <v>22391</v>
      </c>
      <c r="F27" s="40">
        <v>23722</v>
      </c>
      <c r="G27" s="40">
        <v>23301</v>
      </c>
      <c r="H27" s="40">
        <v>23301</v>
      </c>
      <c r="I27" s="40">
        <v>23879</v>
      </c>
      <c r="J27" s="40">
        <v>23879</v>
      </c>
      <c r="II27" s="40"/>
    </row>
    <row r="28" spans="1:243" hidden="1" x14ac:dyDescent="0.2">
      <c r="A28" s="12" t="s">
        <v>1074</v>
      </c>
      <c r="B28" s="2">
        <f>+D9</f>
        <v>42796</v>
      </c>
      <c r="C28" s="13">
        <v>7.6499999999999999E-2</v>
      </c>
      <c r="D28" s="2">
        <f>ROUND(B28*C28,0)</f>
        <v>3274</v>
      </c>
      <c r="E28" s="2"/>
      <c r="F28" s="40"/>
      <c r="G28" s="40"/>
      <c r="H28" s="40"/>
      <c r="I28" s="40"/>
      <c r="J28" s="40"/>
      <c r="II28" s="40"/>
    </row>
    <row r="29" spans="1:243" hidden="1" x14ac:dyDescent="0.2">
      <c r="A29" s="12" t="s">
        <v>1075</v>
      </c>
      <c r="B29" s="2">
        <f>+D15</f>
        <v>184352</v>
      </c>
      <c r="C29" s="13">
        <v>7.6499999999999999E-2</v>
      </c>
      <c r="D29" s="2">
        <f>ROUND(B29*C29,0)</f>
        <v>14103</v>
      </c>
      <c r="E29" s="2"/>
      <c r="F29" s="40"/>
      <c r="G29" s="40"/>
      <c r="H29" s="40"/>
      <c r="I29" s="40"/>
      <c r="J29" s="40"/>
      <c r="II29" s="40"/>
    </row>
    <row r="30" spans="1:243" hidden="1" x14ac:dyDescent="0.2">
      <c r="A30" s="12" t="s">
        <v>1076</v>
      </c>
      <c r="B30" s="2">
        <f>+D18</f>
        <v>61152</v>
      </c>
      <c r="C30" s="13">
        <v>7.6499999999999999E-2</v>
      </c>
      <c r="D30" s="2">
        <f>ROUND(B30*C30,0)</f>
        <v>4678</v>
      </c>
      <c r="E30" s="2"/>
      <c r="F30" s="40"/>
      <c r="G30" s="40"/>
      <c r="H30" s="40"/>
      <c r="I30" s="40"/>
      <c r="J30" s="40"/>
      <c r="II30" s="40"/>
    </row>
    <row r="31" spans="1:243" ht="15" hidden="1" x14ac:dyDescent="0.35">
      <c r="A31" s="12" t="s">
        <v>1077</v>
      </c>
      <c r="B31" s="2">
        <f>+D23</f>
        <v>23837</v>
      </c>
      <c r="C31" s="13">
        <v>7.6499999999999999E-2</v>
      </c>
      <c r="D31" s="10">
        <f>ROUND(B31*C31,0)</f>
        <v>1824</v>
      </c>
      <c r="E31" s="2"/>
      <c r="F31" s="40"/>
      <c r="G31" s="40"/>
      <c r="H31" s="40"/>
      <c r="I31" s="40"/>
      <c r="J31" s="40"/>
      <c r="II31" s="40"/>
    </row>
    <row r="32" spans="1:243" hidden="1" x14ac:dyDescent="0.2">
      <c r="A32" s="203" t="s">
        <v>1073</v>
      </c>
      <c r="B32" s="2" t="s">
        <v>345</v>
      </c>
      <c r="C32" s="236"/>
      <c r="D32" s="2">
        <f>SUM(D28:D31)</f>
        <v>23879</v>
      </c>
      <c r="E32" s="2"/>
      <c r="F32" s="40"/>
      <c r="G32" s="40"/>
      <c r="H32" s="40"/>
      <c r="I32" s="40"/>
      <c r="J32" s="40"/>
      <c r="II32" s="40"/>
    </row>
    <row r="33" spans="1:243" x14ac:dyDescent="0.2">
      <c r="A33" s="203"/>
      <c r="B33" s="236"/>
      <c r="C33" s="236"/>
      <c r="D33" s="2"/>
      <c r="E33" s="2"/>
      <c r="F33" s="40"/>
      <c r="G33" s="40"/>
      <c r="H33" s="40"/>
      <c r="I33" s="40"/>
      <c r="J33" s="40"/>
      <c r="II33" s="40"/>
    </row>
    <row r="34" spans="1:243" ht="13.5" x14ac:dyDescent="0.25">
      <c r="A34" s="14" t="s">
        <v>175</v>
      </c>
      <c r="B34" s="236"/>
      <c r="C34" s="236"/>
      <c r="D34" s="2"/>
      <c r="E34" s="2">
        <v>31059</v>
      </c>
      <c r="F34" s="40">
        <v>40130</v>
      </c>
      <c r="G34" s="40">
        <v>39555</v>
      </c>
      <c r="H34" s="40">
        <v>39555</v>
      </c>
      <c r="I34" s="40">
        <v>40535</v>
      </c>
      <c r="J34" s="40">
        <v>40535</v>
      </c>
      <c r="II34" s="40"/>
    </row>
    <row r="35" spans="1:243" hidden="1" x14ac:dyDescent="0.2">
      <c r="A35" s="12" t="s">
        <v>1074</v>
      </c>
      <c r="B35" s="2">
        <f>+D9</f>
        <v>42796</v>
      </c>
      <c r="C35" s="190">
        <v>0.1406</v>
      </c>
      <c r="D35" s="2">
        <f>ROUND(B35*C35,0)</f>
        <v>6017</v>
      </c>
      <c r="E35" s="2"/>
      <c r="F35" s="40"/>
      <c r="G35" s="40"/>
      <c r="H35" s="40"/>
      <c r="I35" s="40"/>
      <c r="J35" s="40"/>
      <c r="II35" s="40"/>
    </row>
    <row r="36" spans="1:243" hidden="1" x14ac:dyDescent="0.2">
      <c r="A36" s="12" t="s">
        <v>1075</v>
      </c>
      <c r="B36" s="2">
        <f>+D15</f>
        <v>184352</v>
      </c>
      <c r="C36" s="190">
        <v>0.1406</v>
      </c>
      <c r="D36" s="2">
        <f>ROUND(B36*C36,0)</f>
        <v>25920</v>
      </c>
      <c r="E36" s="2"/>
      <c r="F36" s="40"/>
      <c r="G36" s="40"/>
      <c r="H36" s="40"/>
      <c r="I36" s="40"/>
      <c r="J36" s="40"/>
      <c r="II36" s="40"/>
    </row>
    <row r="37" spans="1:243" ht="15" hidden="1" x14ac:dyDescent="0.35">
      <c r="A37" s="12" t="s">
        <v>1076</v>
      </c>
      <c r="B37" s="2">
        <f>+D18</f>
        <v>61152</v>
      </c>
      <c r="C37" s="190">
        <v>0.1406</v>
      </c>
      <c r="D37" s="10">
        <f>ROUND(B37*C37,0)</f>
        <v>8598</v>
      </c>
      <c r="E37" s="2"/>
      <c r="F37" s="40"/>
      <c r="G37" s="40"/>
      <c r="H37" s="40"/>
      <c r="I37" s="40"/>
      <c r="J37" s="40"/>
      <c r="II37" s="40"/>
    </row>
    <row r="38" spans="1:243" hidden="1" x14ac:dyDescent="0.2">
      <c r="A38" s="203" t="s">
        <v>1073</v>
      </c>
      <c r="B38" s="236"/>
      <c r="C38" s="236"/>
      <c r="D38" s="2">
        <f>SUM(D35:D37)</f>
        <v>40535</v>
      </c>
      <c r="E38" s="2"/>
      <c r="F38" s="40"/>
      <c r="G38" s="40"/>
      <c r="H38" s="40"/>
      <c r="I38" s="40"/>
      <c r="J38" s="40"/>
      <c r="II38" s="40"/>
    </row>
    <row r="39" spans="1:243" x14ac:dyDescent="0.2">
      <c r="A39" s="203"/>
      <c r="B39" s="236"/>
      <c r="C39" s="236"/>
      <c r="D39" s="2"/>
      <c r="E39" s="2"/>
      <c r="F39" s="40"/>
      <c r="G39" s="40"/>
      <c r="H39" s="40"/>
      <c r="I39" s="40"/>
      <c r="J39" s="40"/>
      <c r="II39" s="40"/>
    </row>
    <row r="40" spans="1:243" ht="13.5" x14ac:dyDescent="0.25">
      <c r="A40" s="205" t="s">
        <v>454</v>
      </c>
      <c r="B40" s="236"/>
      <c r="C40" s="236"/>
      <c r="D40" s="2"/>
      <c r="E40" s="2">
        <v>77847</v>
      </c>
      <c r="F40" s="40">
        <v>79000</v>
      </c>
      <c r="G40" s="40">
        <v>78000</v>
      </c>
      <c r="H40" s="40">
        <v>78000</v>
      </c>
      <c r="I40" s="40">
        <v>76000</v>
      </c>
      <c r="J40" s="40">
        <v>76000</v>
      </c>
      <c r="II40" s="40"/>
    </row>
    <row r="41" spans="1:243" hidden="1" x14ac:dyDescent="0.2">
      <c r="A41" s="203" t="s">
        <v>196</v>
      </c>
      <c r="B41" s="2">
        <v>4</v>
      </c>
      <c r="C41" s="2">
        <v>19000</v>
      </c>
      <c r="D41" s="2">
        <f>ROUND(B41*C41,0)</f>
        <v>76000</v>
      </c>
      <c r="E41" s="2"/>
      <c r="F41" s="40"/>
      <c r="G41" s="40"/>
      <c r="H41" s="40"/>
      <c r="I41" s="40"/>
      <c r="J41" s="40"/>
      <c r="II41" s="40"/>
    </row>
    <row r="42" spans="1:243" x14ac:dyDescent="0.2">
      <c r="A42" s="203"/>
      <c r="B42" s="236"/>
      <c r="C42" s="236"/>
      <c r="D42" s="2"/>
      <c r="E42" s="2"/>
      <c r="F42" s="40"/>
      <c r="G42" s="40"/>
      <c r="H42" s="40"/>
      <c r="I42" s="40"/>
      <c r="J42" s="40"/>
      <c r="II42" s="40"/>
    </row>
    <row r="43" spans="1:243" ht="13.5" x14ac:dyDescent="0.25">
      <c r="A43" s="205" t="s">
        <v>455</v>
      </c>
      <c r="B43" s="236"/>
      <c r="C43" s="236"/>
      <c r="D43" s="2"/>
      <c r="E43" s="2">
        <v>4969</v>
      </c>
      <c r="F43" s="40">
        <v>5040</v>
      </c>
      <c r="G43" s="40">
        <v>4950</v>
      </c>
      <c r="H43" s="40">
        <v>4950</v>
      </c>
      <c r="I43" s="40">
        <v>4950</v>
      </c>
      <c r="J43" s="40">
        <v>4950</v>
      </c>
      <c r="II43" s="40"/>
    </row>
    <row r="44" spans="1:243" hidden="1" x14ac:dyDescent="0.2">
      <c r="A44" s="203" t="s">
        <v>365</v>
      </c>
      <c r="B44" s="2">
        <v>4</v>
      </c>
      <c r="C44" s="2">
        <v>1375</v>
      </c>
      <c r="D44" s="2">
        <f>ROUND(B44*C44,0)</f>
        <v>5500</v>
      </c>
      <c r="E44" s="2"/>
      <c r="F44" s="40"/>
      <c r="G44" s="40"/>
      <c r="H44" s="40"/>
      <c r="I44" s="40"/>
      <c r="J44" s="40"/>
      <c r="II44" s="40"/>
    </row>
    <row r="45" spans="1:243" ht="15" hidden="1" x14ac:dyDescent="0.35">
      <c r="A45" s="203" t="s">
        <v>198</v>
      </c>
      <c r="B45" s="2"/>
      <c r="C45" s="2"/>
      <c r="D45" s="10">
        <f>-C44*B44*0.1</f>
        <v>-550</v>
      </c>
      <c r="E45" s="2"/>
      <c r="F45" s="40"/>
      <c r="G45" s="40"/>
      <c r="H45" s="40"/>
      <c r="I45" s="40"/>
      <c r="J45" s="40"/>
      <c r="II45" s="40"/>
    </row>
    <row r="46" spans="1:243" hidden="1" x14ac:dyDescent="0.2">
      <c r="A46" s="203" t="s">
        <v>683</v>
      </c>
      <c r="B46" s="2"/>
      <c r="C46" s="2"/>
      <c r="D46" s="2">
        <f>SUM(D44:D45)</f>
        <v>4950</v>
      </c>
      <c r="E46" s="2"/>
      <c r="F46" s="40"/>
      <c r="G46" s="40"/>
      <c r="H46" s="40"/>
      <c r="I46" s="40"/>
      <c r="J46" s="40"/>
      <c r="II46" s="40"/>
    </row>
    <row r="47" spans="1:243" x14ac:dyDescent="0.2">
      <c r="A47" s="203"/>
      <c r="B47" s="236"/>
      <c r="C47" s="236"/>
      <c r="D47" s="2"/>
      <c r="E47" s="2"/>
      <c r="F47" s="40"/>
      <c r="G47" s="40"/>
      <c r="H47" s="40"/>
      <c r="I47" s="40"/>
      <c r="J47" s="40"/>
      <c r="II47" s="40"/>
    </row>
    <row r="48" spans="1:243" ht="13.5" x14ac:dyDescent="0.25">
      <c r="A48" s="205" t="s">
        <v>414</v>
      </c>
      <c r="B48" s="236"/>
      <c r="C48" s="236"/>
      <c r="D48" s="2"/>
      <c r="E48" s="2">
        <v>607</v>
      </c>
      <c r="F48" s="40">
        <v>540</v>
      </c>
      <c r="G48" s="40">
        <v>540</v>
      </c>
      <c r="H48" s="40">
        <v>540</v>
      </c>
      <c r="I48" s="40">
        <v>540</v>
      </c>
      <c r="J48" s="40">
        <v>540</v>
      </c>
      <c r="II48" s="40"/>
    </row>
    <row r="49" spans="1:243" hidden="1" x14ac:dyDescent="0.2">
      <c r="A49" s="203" t="s">
        <v>365</v>
      </c>
      <c r="B49" s="2">
        <v>4</v>
      </c>
      <c r="C49" s="2">
        <v>135</v>
      </c>
      <c r="D49" s="2">
        <f>ROUND(B49*C49,0)</f>
        <v>540</v>
      </c>
      <c r="E49" s="2"/>
      <c r="F49" s="40"/>
      <c r="G49" s="40"/>
      <c r="H49" s="40"/>
      <c r="I49" s="40"/>
      <c r="J49" s="40"/>
      <c r="II49" s="40"/>
    </row>
    <row r="50" spans="1:243" x14ac:dyDescent="0.2">
      <c r="A50" s="203"/>
      <c r="B50" s="236"/>
      <c r="C50" s="236"/>
      <c r="D50" s="2"/>
      <c r="E50" s="2"/>
      <c r="F50" s="40"/>
      <c r="G50" s="40"/>
      <c r="H50" s="40"/>
      <c r="I50" s="40"/>
      <c r="J50" s="40"/>
      <c r="II50" s="40"/>
    </row>
    <row r="51" spans="1:243" ht="13.5" x14ac:dyDescent="0.25">
      <c r="A51" s="205" t="s">
        <v>415</v>
      </c>
      <c r="B51" s="236"/>
      <c r="C51" s="236"/>
      <c r="D51" s="2"/>
      <c r="E51" s="2">
        <v>3185</v>
      </c>
      <c r="F51" s="40">
        <v>2200</v>
      </c>
      <c r="G51" s="40">
        <v>2100</v>
      </c>
      <c r="H51" s="40">
        <v>2100</v>
      </c>
      <c r="I51" s="40">
        <v>2100</v>
      </c>
      <c r="J51" s="40">
        <v>2100</v>
      </c>
      <c r="II51" s="40"/>
    </row>
    <row r="52" spans="1:243" hidden="1" x14ac:dyDescent="0.2">
      <c r="A52" s="203" t="s">
        <v>365</v>
      </c>
      <c r="B52" s="2">
        <v>4</v>
      </c>
      <c r="C52" s="2">
        <v>525</v>
      </c>
      <c r="D52" s="2">
        <f>ROUND(B52*C52,0)</f>
        <v>2100</v>
      </c>
      <c r="E52" s="2"/>
      <c r="F52" s="40"/>
      <c r="G52" s="40"/>
      <c r="H52" s="40"/>
      <c r="I52" s="40"/>
      <c r="J52" s="40"/>
      <c r="II52" s="40"/>
    </row>
    <row r="53" spans="1:243" x14ac:dyDescent="0.2">
      <c r="A53" s="203"/>
      <c r="B53" s="236"/>
      <c r="C53" s="236"/>
      <c r="D53" s="2"/>
      <c r="E53" s="2"/>
      <c r="F53" s="40"/>
      <c r="G53" s="40"/>
      <c r="H53" s="40"/>
      <c r="I53" s="40"/>
      <c r="J53" s="40"/>
      <c r="II53" s="40"/>
    </row>
    <row r="54" spans="1:243" ht="13.5" x14ac:dyDescent="0.25">
      <c r="A54" s="205" t="s">
        <v>416</v>
      </c>
      <c r="B54" s="236"/>
      <c r="C54" s="236"/>
      <c r="D54" s="2"/>
      <c r="E54" s="2">
        <v>7726</v>
      </c>
      <c r="F54" s="40">
        <v>7714</v>
      </c>
      <c r="G54" s="40">
        <v>7221</v>
      </c>
      <c r="H54" s="40">
        <v>7221</v>
      </c>
      <c r="I54" s="40">
        <v>7396</v>
      </c>
      <c r="J54" s="40">
        <v>7396</v>
      </c>
      <c r="II54" s="40"/>
    </row>
    <row r="55" spans="1:243" hidden="1" x14ac:dyDescent="0.2">
      <c r="A55" s="12" t="s">
        <v>1074</v>
      </c>
      <c r="B55" s="2">
        <f>+D9</f>
        <v>42796</v>
      </c>
      <c r="C55" s="13">
        <v>1.74E-3</v>
      </c>
      <c r="D55" s="2">
        <f>ROUND(B55*C55,0)</f>
        <v>74</v>
      </c>
      <c r="E55" s="2"/>
      <c r="F55" s="40"/>
      <c r="G55" s="40"/>
      <c r="H55" s="40"/>
      <c r="I55" s="40"/>
      <c r="J55" s="40"/>
      <c r="II55" s="40"/>
    </row>
    <row r="56" spans="1:243" hidden="1" x14ac:dyDescent="0.2">
      <c r="A56" s="22" t="s">
        <v>1078</v>
      </c>
      <c r="B56" s="2">
        <f>+D15-D13</f>
        <v>110668</v>
      </c>
      <c r="C56" s="13">
        <v>3.8899999999999997E-2</v>
      </c>
      <c r="D56" s="2">
        <f>ROUND(B56*C56,0)</f>
        <v>4305</v>
      </c>
      <c r="E56" s="2"/>
      <c r="F56" s="40"/>
      <c r="G56" s="40"/>
      <c r="H56" s="40"/>
      <c r="I56" s="40"/>
      <c r="J56" s="40"/>
      <c r="II56" s="40"/>
    </row>
    <row r="57" spans="1:243" hidden="1" x14ac:dyDescent="0.2">
      <c r="A57" s="203" t="s">
        <v>793</v>
      </c>
      <c r="B57" s="2">
        <f>+D13</f>
        <v>73684</v>
      </c>
      <c r="C57" s="13">
        <v>3.8899999999999997E-2</v>
      </c>
      <c r="D57" s="2">
        <f>ROUND(B57*C57,0)</f>
        <v>2866</v>
      </c>
      <c r="E57" s="2"/>
      <c r="F57" s="40"/>
      <c r="G57" s="40"/>
      <c r="H57" s="40"/>
      <c r="I57" s="40"/>
      <c r="J57" s="40"/>
      <c r="II57" s="40"/>
    </row>
    <row r="58" spans="1:243" hidden="1" x14ac:dyDescent="0.2">
      <c r="A58" s="12" t="s">
        <v>257</v>
      </c>
      <c r="B58" s="2">
        <f>+D18</f>
        <v>61152</v>
      </c>
      <c r="C58" s="13">
        <v>1.74E-3</v>
      </c>
      <c r="D58" s="2">
        <f>ROUND(B58*C58,0)</f>
        <v>106</v>
      </c>
      <c r="E58" s="2"/>
      <c r="F58" s="40"/>
      <c r="G58" s="40"/>
      <c r="H58" s="40"/>
      <c r="I58" s="40"/>
      <c r="J58" s="40"/>
      <c r="II58" s="40"/>
    </row>
    <row r="59" spans="1:243" ht="15" hidden="1" x14ac:dyDescent="0.35">
      <c r="A59" s="12" t="s">
        <v>1080</v>
      </c>
      <c r="B59" s="2">
        <f>+D23</f>
        <v>23837</v>
      </c>
      <c r="C59" s="13">
        <v>1.74E-3</v>
      </c>
      <c r="D59" s="10">
        <f>ROUND(B59*C59,0)</f>
        <v>41</v>
      </c>
      <c r="E59" s="2"/>
      <c r="F59" s="40"/>
      <c r="G59" s="40"/>
      <c r="H59" s="40"/>
      <c r="I59" s="40"/>
      <c r="J59" s="40"/>
      <c r="II59" s="40"/>
    </row>
    <row r="60" spans="1:243" hidden="1" x14ac:dyDescent="0.2">
      <c r="A60" s="203" t="s">
        <v>1073</v>
      </c>
      <c r="B60" s="236"/>
      <c r="C60" s="236"/>
      <c r="D60" s="2">
        <f>SUM(D55:D59)+4</f>
        <v>7396</v>
      </c>
      <c r="E60" s="2"/>
      <c r="F60" s="40"/>
      <c r="G60" s="40"/>
      <c r="H60" s="40"/>
      <c r="I60" s="40"/>
      <c r="J60" s="40"/>
      <c r="II60" s="40"/>
    </row>
    <row r="61" spans="1:243" x14ac:dyDescent="0.2">
      <c r="A61" s="203"/>
      <c r="B61" s="236"/>
      <c r="C61" s="236"/>
      <c r="D61" s="2"/>
      <c r="E61" s="2"/>
      <c r="F61" s="40"/>
      <c r="G61" s="40"/>
      <c r="H61" s="40"/>
      <c r="I61" s="40"/>
      <c r="J61" s="40"/>
      <c r="II61" s="40"/>
    </row>
    <row r="62" spans="1:243" ht="13.5" x14ac:dyDescent="0.25">
      <c r="A62" s="205" t="s">
        <v>418</v>
      </c>
      <c r="B62" s="236"/>
      <c r="C62" s="236"/>
      <c r="D62" s="2"/>
      <c r="E62" s="2">
        <v>103</v>
      </c>
      <c r="F62" s="40">
        <v>100</v>
      </c>
      <c r="G62" s="40">
        <v>100</v>
      </c>
      <c r="H62" s="40">
        <v>100</v>
      </c>
      <c r="I62" s="40">
        <v>100</v>
      </c>
      <c r="J62" s="40">
        <v>100</v>
      </c>
      <c r="II62" s="40"/>
    </row>
    <row r="63" spans="1:243" hidden="1" x14ac:dyDescent="0.2">
      <c r="A63" s="12" t="s">
        <v>1074</v>
      </c>
      <c r="B63" s="2">
        <v>1</v>
      </c>
      <c r="C63" s="2">
        <v>20</v>
      </c>
      <c r="D63" s="2">
        <f>ROUND(B63*C63,0)</f>
        <v>20</v>
      </c>
      <c r="E63" s="2"/>
      <c r="F63" s="40"/>
      <c r="G63" s="40"/>
      <c r="H63" s="40"/>
      <c r="I63" s="40"/>
      <c r="J63" s="40"/>
      <c r="II63" s="40"/>
    </row>
    <row r="64" spans="1:243" hidden="1" x14ac:dyDescent="0.2">
      <c r="A64" s="12" t="s">
        <v>1075</v>
      </c>
      <c r="B64" s="2">
        <v>2</v>
      </c>
      <c r="C64" s="2">
        <v>20</v>
      </c>
      <c r="D64" s="2">
        <f>ROUND(B64*C64,0)</f>
        <v>40</v>
      </c>
      <c r="E64" s="2"/>
      <c r="F64" s="40"/>
      <c r="G64" s="40"/>
      <c r="H64" s="40"/>
      <c r="I64" s="40"/>
      <c r="J64" s="40"/>
      <c r="II64" s="40"/>
    </row>
    <row r="65" spans="1:243" hidden="1" x14ac:dyDescent="0.2">
      <c r="A65" s="12" t="s">
        <v>1076</v>
      </c>
      <c r="B65" s="2">
        <v>1</v>
      </c>
      <c r="C65" s="2">
        <v>20</v>
      </c>
      <c r="D65" s="2">
        <f>ROUND(B65*C65,0)</f>
        <v>20</v>
      </c>
      <c r="E65" s="2"/>
      <c r="F65" s="40"/>
      <c r="G65" s="40"/>
      <c r="H65" s="40"/>
      <c r="I65" s="40"/>
      <c r="J65" s="40"/>
      <c r="II65" s="40"/>
    </row>
    <row r="66" spans="1:243" hidden="1" x14ac:dyDescent="0.2">
      <c r="A66" s="12" t="s">
        <v>1670</v>
      </c>
      <c r="B66" s="2">
        <v>1</v>
      </c>
      <c r="C66" s="2">
        <v>20</v>
      </c>
      <c r="D66" s="17">
        <f>ROUND(B66*C66,0)</f>
        <v>20</v>
      </c>
      <c r="E66" s="2"/>
      <c r="F66" s="40"/>
      <c r="G66" s="40"/>
      <c r="H66" s="40"/>
      <c r="I66" s="40"/>
      <c r="J66" s="40"/>
      <c r="II66" s="40"/>
    </row>
    <row r="67" spans="1:243" hidden="1" x14ac:dyDescent="0.2">
      <c r="A67" s="203" t="s">
        <v>1073</v>
      </c>
      <c r="B67" s="2" t="s">
        <v>345</v>
      </c>
      <c r="C67" s="13" t="s">
        <v>345</v>
      </c>
      <c r="D67" s="2">
        <f>SUM(D63:D66)</f>
        <v>100</v>
      </c>
      <c r="E67" s="2"/>
      <c r="F67" s="40"/>
      <c r="G67" s="40"/>
      <c r="H67" s="40"/>
      <c r="I67" s="40"/>
      <c r="J67" s="40"/>
      <c r="II67" s="40"/>
    </row>
    <row r="68" spans="1:243" x14ac:dyDescent="0.2">
      <c r="A68" s="203"/>
      <c r="B68" s="236"/>
      <c r="C68" s="236"/>
      <c r="D68" s="2"/>
      <c r="E68" s="2"/>
      <c r="F68" s="40"/>
      <c r="G68" s="40"/>
      <c r="H68" s="40"/>
      <c r="I68" s="40"/>
      <c r="J68" s="40"/>
      <c r="II68" s="40"/>
    </row>
    <row r="69" spans="1:243" ht="13.5" x14ac:dyDescent="0.25">
      <c r="A69" s="205" t="s">
        <v>419</v>
      </c>
      <c r="B69" s="236"/>
      <c r="C69" s="236"/>
      <c r="D69" s="2"/>
      <c r="E69" s="2">
        <v>1511</v>
      </c>
      <c r="F69" s="40">
        <v>3500</v>
      </c>
      <c r="G69" s="40">
        <v>2500</v>
      </c>
      <c r="H69" s="40">
        <v>2500</v>
      </c>
      <c r="I69" s="40">
        <v>2500</v>
      </c>
      <c r="J69" s="40">
        <v>2500</v>
      </c>
      <c r="II69" s="40"/>
    </row>
    <row r="70" spans="1:243" x14ac:dyDescent="0.2">
      <c r="A70" s="203" t="s">
        <v>1385</v>
      </c>
      <c r="B70" s="236"/>
      <c r="C70" s="236"/>
      <c r="D70" s="2">
        <v>2500</v>
      </c>
      <c r="E70" s="2"/>
      <c r="F70" s="40"/>
      <c r="G70" s="40"/>
      <c r="H70" s="40"/>
      <c r="I70" s="40"/>
      <c r="J70" s="40"/>
      <c r="II70" s="40"/>
    </row>
    <row r="71" spans="1:243" x14ac:dyDescent="0.2">
      <c r="A71" s="203" t="s">
        <v>345</v>
      </c>
      <c r="B71" s="236"/>
      <c r="C71" s="236"/>
      <c r="D71" s="2" t="s">
        <v>345</v>
      </c>
      <c r="E71" s="2"/>
      <c r="F71" s="40"/>
      <c r="G71" s="40"/>
      <c r="H71" s="40"/>
      <c r="I71" s="40"/>
      <c r="J71" s="40"/>
      <c r="II71" s="40"/>
    </row>
    <row r="72" spans="1:243" ht="13.5" x14ac:dyDescent="0.25">
      <c r="A72" s="205" t="s">
        <v>409</v>
      </c>
      <c r="B72" s="236"/>
      <c r="C72" s="236"/>
      <c r="D72" s="2"/>
      <c r="E72" s="2">
        <v>0</v>
      </c>
      <c r="F72" s="40">
        <v>100</v>
      </c>
      <c r="G72" s="40">
        <v>100</v>
      </c>
      <c r="H72" s="40">
        <v>100</v>
      </c>
      <c r="I72" s="40">
        <v>100</v>
      </c>
      <c r="J72" s="40">
        <v>100</v>
      </c>
      <c r="II72" s="40"/>
    </row>
    <row r="73" spans="1:243" x14ac:dyDescent="0.2">
      <c r="A73" s="203" t="s">
        <v>410</v>
      </c>
      <c r="B73" s="2"/>
      <c r="C73" s="236"/>
      <c r="D73" s="2">
        <v>100</v>
      </c>
      <c r="E73" s="2"/>
      <c r="F73" s="40"/>
      <c r="G73" s="40"/>
      <c r="H73" s="40"/>
      <c r="I73" s="40"/>
      <c r="J73" s="40"/>
      <c r="II73" s="40"/>
    </row>
    <row r="74" spans="1:243" x14ac:dyDescent="0.2">
      <c r="A74" s="203"/>
      <c r="B74" s="236"/>
      <c r="C74" s="236"/>
      <c r="D74" s="2"/>
      <c r="E74" s="2"/>
      <c r="F74" s="40"/>
      <c r="G74" s="40"/>
      <c r="H74" s="40"/>
      <c r="I74" s="40"/>
      <c r="J74" s="40"/>
      <c r="II74" s="40"/>
    </row>
    <row r="75" spans="1:243" ht="13.5" x14ac:dyDescent="0.25">
      <c r="A75" s="205" t="s">
        <v>756</v>
      </c>
      <c r="B75" s="236"/>
      <c r="C75" s="236"/>
      <c r="D75" s="2"/>
      <c r="E75" s="2">
        <v>317</v>
      </c>
      <c r="F75" s="40">
        <v>200</v>
      </c>
      <c r="G75" s="40">
        <v>200</v>
      </c>
      <c r="H75" s="40">
        <v>200</v>
      </c>
      <c r="I75" s="40">
        <v>200</v>
      </c>
      <c r="J75" s="40">
        <v>200</v>
      </c>
      <c r="II75" s="40"/>
    </row>
    <row r="76" spans="1:243" x14ac:dyDescent="0.2">
      <c r="A76" s="203" t="s">
        <v>708</v>
      </c>
      <c r="B76" s="236"/>
      <c r="C76" s="236"/>
      <c r="D76" s="2">
        <v>200</v>
      </c>
      <c r="E76" s="2"/>
      <c r="F76" s="40"/>
      <c r="G76" s="40"/>
      <c r="H76" s="40"/>
      <c r="I76" s="40"/>
      <c r="J76" s="40"/>
      <c r="II76" s="40"/>
    </row>
    <row r="77" spans="1:243" x14ac:dyDescent="0.2">
      <c r="A77" s="203"/>
      <c r="B77" s="236"/>
      <c r="C77" s="236"/>
      <c r="D77" s="2"/>
      <c r="E77" s="2"/>
      <c r="F77" s="40"/>
      <c r="G77" s="40"/>
      <c r="H77" s="40"/>
      <c r="I77" s="40"/>
      <c r="J77" s="40"/>
      <c r="II77" s="40"/>
    </row>
    <row r="78" spans="1:243" ht="13.5" x14ac:dyDescent="0.25">
      <c r="A78" s="205" t="s">
        <v>757</v>
      </c>
      <c r="B78" s="236"/>
      <c r="C78" s="236"/>
      <c r="D78" s="2"/>
      <c r="E78" s="2">
        <v>9361</v>
      </c>
      <c r="F78" s="40">
        <v>8500</v>
      </c>
      <c r="G78" s="40">
        <v>9100</v>
      </c>
      <c r="H78" s="40">
        <v>9100</v>
      </c>
      <c r="I78" s="40">
        <v>9100</v>
      </c>
      <c r="J78" s="40">
        <v>9100</v>
      </c>
      <c r="II78" s="40"/>
    </row>
    <row r="79" spans="1:243" x14ac:dyDescent="0.2">
      <c r="A79" s="203" t="s">
        <v>277</v>
      </c>
      <c r="B79" s="2" t="s">
        <v>345</v>
      </c>
      <c r="C79" s="236"/>
      <c r="D79" s="2">
        <v>0</v>
      </c>
      <c r="E79" s="2"/>
      <c r="F79" s="40"/>
      <c r="G79" s="40"/>
      <c r="H79" s="40"/>
      <c r="I79" s="40"/>
      <c r="J79" s="40"/>
      <c r="II79" s="40"/>
    </row>
    <row r="80" spans="1:243" ht="15" x14ac:dyDescent="0.35">
      <c r="A80" s="203" t="s">
        <v>280</v>
      </c>
      <c r="B80" s="2"/>
      <c r="C80" s="236"/>
      <c r="D80" s="10">
        <v>9100</v>
      </c>
      <c r="E80" s="2"/>
      <c r="F80" s="2"/>
      <c r="I80" s="2"/>
      <c r="J80" s="2"/>
      <c r="II80" s="2"/>
    </row>
    <row r="81" spans="1:243" x14ac:dyDescent="0.2">
      <c r="A81" s="203" t="s">
        <v>1073</v>
      </c>
      <c r="B81" s="2"/>
      <c r="C81" s="236"/>
      <c r="D81" s="2">
        <f>SUM(D79:D80)</f>
        <v>9100</v>
      </c>
      <c r="E81" s="2"/>
      <c r="F81" s="40"/>
      <c r="G81" s="40"/>
      <c r="H81" s="40"/>
      <c r="I81" s="40"/>
      <c r="J81" s="40"/>
      <c r="II81" s="40"/>
    </row>
    <row r="82" spans="1:243" x14ac:dyDescent="0.2">
      <c r="A82" s="203"/>
      <c r="B82" s="236"/>
      <c r="C82" s="236"/>
      <c r="D82" s="236"/>
      <c r="E82" s="2"/>
      <c r="F82" s="40"/>
      <c r="G82" s="40"/>
      <c r="H82" s="40"/>
      <c r="I82" s="40"/>
      <c r="J82" s="40"/>
      <c r="II82" s="40"/>
    </row>
    <row r="83" spans="1:243" ht="13.5" x14ac:dyDescent="0.25">
      <c r="A83" s="205" t="s">
        <v>39</v>
      </c>
      <c r="B83" s="236"/>
      <c r="C83" s="236"/>
      <c r="D83" s="236"/>
      <c r="E83" s="2">
        <v>52</v>
      </c>
      <c r="F83" s="40">
        <v>56</v>
      </c>
      <c r="G83" s="40">
        <v>71</v>
      </c>
      <c r="H83" s="40">
        <v>71</v>
      </c>
      <c r="I83" s="40">
        <v>71</v>
      </c>
      <c r="J83" s="40">
        <v>71</v>
      </c>
      <c r="II83" s="40"/>
    </row>
    <row r="84" spans="1:243" x14ac:dyDescent="0.2">
      <c r="A84" s="203" t="s">
        <v>1107</v>
      </c>
      <c r="B84" s="2">
        <v>25</v>
      </c>
      <c r="C84" s="11">
        <v>2.85</v>
      </c>
      <c r="D84" s="2">
        <f>+C84*B84</f>
        <v>71.25</v>
      </c>
      <c r="E84" s="2"/>
      <c r="F84" s="40"/>
      <c r="G84" s="40"/>
      <c r="H84" s="40"/>
      <c r="I84" s="40"/>
      <c r="J84" s="40"/>
      <c r="II84" s="40"/>
    </row>
    <row r="85" spans="1:243" x14ac:dyDescent="0.2">
      <c r="A85" s="203"/>
      <c r="B85" s="2"/>
      <c r="C85" s="236"/>
      <c r="D85" s="13"/>
      <c r="E85" s="2"/>
      <c r="F85" s="40"/>
      <c r="G85" s="40"/>
      <c r="H85" s="40"/>
      <c r="I85" s="40"/>
      <c r="J85" s="40"/>
      <c r="II85" s="40"/>
    </row>
    <row r="86" spans="1:243" ht="13.5" x14ac:dyDescent="0.25">
      <c r="A86" s="205" t="s">
        <v>184</v>
      </c>
      <c r="B86" s="2"/>
      <c r="C86" s="236"/>
      <c r="D86" s="13"/>
      <c r="E86" s="2">
        <v>3358</v>
      </c>
      <c r="F86" s="40">
        <v>3120</v>
      </c>
      <c r="G86" s="40">
        <v>3220</v>
      </c>
      <c r="H86" s="40">
        <v>3220</v>
      </c>
      <c r="I86" s="40">
        <v>3220</v>
      </c>
      <c r="J86" s="40">
        <v>3220</v>
      </c>
      <c r="II86" s="40"/>
    </row>
    <row r="87" spans="1:243" x14ac:dyDescent="0.2">
      <c r="A87" s="203" t="s">
        <v>811</v>
      </c>
      <c r="B87" s="2"/>
      <c r="C87" s="236"/>
      <c r="D87" s="2">
        <v>2200</v>
      </c>
      <c r="E87" s="2"/>
      <c r="F87" s="40"/>
      <c r="G87" s="40"/>
      <c r="H87" s="40"/>
      <c r="I87" s="40"/>
      <c r="J87" s="40"/>
      <c r="II87" s="40"/>
    </row>
    <row r="88" spans="1:243" x14ac:dyDescent="0.2">
      <c r="A88" s="203" t="s">
        <v>1877</v>
      </c>
      <c r="B88" s="2"/>
      <c r="C88" s="236"/>
      <c r="D88" s="2">
        <v>0</v>
      </c>
      <c r="E88" s="2"/>
      <c r="F88" s="40"/>
      <c r="G88" s="40"/>
      <c r="H88" s="40"/>
      <c r="I88" s="40"/>
      <c r="J88" s="40"/>
      <c r="II88" s="40"/>
    </row>
    <row r="89" spans="1:243" ht="15" x14ac:dyDescent="0.35">
      <c r="A89" s="203" t="s">
        <v>185</v>
      </c>
      <c r="B89" s="2"/>
      <c r="C89" s="236"/>
      <c r="D89" s="10">
        <v>1020</v>
      </c>
      <c r="E89" s="2"/>
      <c r="F89" s="40"/>
      <c r="G89" s="40"/>
      <c r="H89" s="40"/>
      <c r="I89" s="40"/>
      <c r="J89" s="40"/>
      <c r="II89" s="40"/>
    </row>
    <row r="90" spans="1:243" x14ac:dyDescent="0.2">
      <c r="A90" s="203" t="s">
        <v>1073</v>
      </c>
      <c r="B90" s="2"/>
      <c r="C90" s="236"/>
      <c r="D90" s="2">
        <f>SUM(D87:D89)</f>
        <v>3220</v>
      </c>
      <c r="E90" s="2"/>
      <c r="F90" s="40"/>
      <c r="G90" s="40"/>
      <c r="H90" s="40"/>
      <c r="I90" s="40"/>
      <c r="J90" s="40"/>
      <c r="II90" s="40"/>
    </row>
    <row r="91" spans="1:243" x14ac:dyDescent="0.2">
      <c r="A91" s="203"/>
      <c r="B91" s="236"/>
      <c r="C91" s="236"/>
      <c r="D91" s="2"/>
      <c r="E91" s="2"/>
      <c r="F91" s="40"/>
      <c r="G91" s="40"/>
      <c r="H91" s="40"/>
      <c r="I91" s="40"/>
      <c r="J91" s="40"/>
      <c r="II91" s="40"/>
    </row>
    <row r="92" spans="1:243" ht="13.5" x14ac:dyDescent="0.25">
      <c r="A92" s="205" t="s">
        <v>565</v>
      </c>
      <c r="B92" s="236"/>
      <c r="C92" s="236"/>
      <c r="D92" s="2"/>
      <c r="E92" s="2">
        <v>22494</v>
      </c>
      <c r="F92" s="40">
        <v>23393</v>
      </c>
      <c r="G92" s="40">
        <v>23393</v>
      </c>
      <c r="H92" s="40">
        <v>23393</v>
      </c>
      <c r="I92" s="40">
        <v>23393</v>
      </c>
      <c r="J92" s="40">
        <v>23393</v>
      </c>
      <c r="II92" s="40"/>
    </row>
    <row r="93" spans="1:243" x14ac:dyDescent="0.2">
      <c r="A93" s="203" t="s">
        <v>121</v>
      </c>
      <c r="B93" s="2" t="s">
        <v>345</v>
      </c>
      <c r="C93" s="236"/>
      <c r="D93" s="2">
        <v>20893</v>
      </c>
      <c r="E93" s="2"/>
      <c r="F93" s="2"/>
      <c r="I93" s="2"/>
      <c r="J93" s="2"/>
      <c r="II93" s="2"/>
    </row>
    <row r="94" spans="1:243" x14ac:dyDescent="0.2">
      <c r="A94" s="203" t="s">
        <v>1625</v>
      </c>
      <c r="B94" s="236"/>
      <c r="C94" s="236"/>
      <c r="D94" s="2">
        <v>2000</v>
      </c>
      <c r="E94" s="2"/>
      <c r="F94" s="2"/>
      <c r="I94" s="2"/>
      <c r="J94" s="2"/>
      <c r="II94" s="2"/>
    </row>
    <row r="95" spans="1:243" ht="15" x14ac:dyDescent="0.35">
      <c r="A95" s="203" t="s">
        <v>739</v>
      </c>
      <c r="B95" s="236"/>
      <c r="C95" s="236"/>
      <c r="D95" s="10">
        <v>500</v>
      </c>
      <c r="E95" s="2"/>
      <c r="F95" s="40"/>
      <c r="G95" s="40"/>
      <c r="H95" s="40"/>
      <c r="I95" s="40"/>
      <c r="J95" s="40"/>
      <c r="II95" s="40"/>
    </row>
    <row r="96" spans="1:243" x14ac:dyDescent="0.2">
      <c r="A96" s="203" t="s">
        <v>1073</v>
      </c>
      <c r="B96" s="236"/>
      <c r="C96" s="236"/>
      <c r="D96" s="2">
        <f>SUM(D93:D95)</f>
        <v>23393</v>
      </c>
      <c r="E96" s="2"/>
      <c r="F96" s="40"/>
      <c r="G96" s="40"/>
      <c r="H96" s="40"/>
      <c r="I96" s="40"/>
      <c r="J96" s="40"/>
      <c r="II96" s="40"/>
    </row>
    <row r="97" spans="1:243" x14ac:dyDescent="0.2">
      <c r="A97" s="203"/>
      <c r="B97" s="236"/>
      <c r="C97" s="236"/>
      <c r="D97" s="2"/>
      <c r="E97" s="2"/>
      <c r="F97" s="40"/>
      <c r="G97" s="40"/>
      <c r="H97" s="40"/>
      <c r="I97" s="40"/>
      <c r="J97" s="40"/>
      <c r="II97" s="40"/>
    </row>
    <row r="98" spans="1:243" ht="13.5" x14ac:dyDescent="0.25">
      <c r="A98" s="16" t="s">
        <v>740</v>
      </c>
      <c r="B98" s="236"/>
      <c r="C98" s="236"/>
      <c r="D98" s="2"/>
      <c r="E98" s="2">
        <v>3209</v>
      </c>
      <c r="F98" s="40">
        <v>3299</v>
      </c>
      <c r="G98" s="40">
        <v>3904</v>
      </c>
      <c r="H98" s="40">
        <v>3904</v>
      </c>
      <c r="I98" s="40">
        <v>3904</v>
      </c>
      <c r="J98" s="40">
        <v>3904</v>
      </c>
      <c r="II98" s="40"/>
    </row>
    <row r="99" spans="1:243" x14ac:dyDescent="0.2">
      <c r="A99" s="203" t="s">
        <v>741</v>
      </c>
      <c r="B99" s="236"/>
      <c r="C99" s="236"/>
      <c r="D99" s="2">
        <v>3904</v>
      </c>
      <c r="E99" s="2"/>
      <c r="F99" s="40"/>
      <c r="G99" s="40"/>
      <c r="H99" s="40"/>
      <c r="I99" s="40"/>
      <c r="J99" s="40"/>
      <c r="II99" s="40"/>
    </row>
    <row r="100" spans="1:243" x14ac:dyDescent="0.2">
      <c r="A100" s="203"/>
      <c r="B100" s="236"/>
      <c r="C100" s="236"/>
      <c r="D100" s="2"/>
      <c r="E100" s="2"/>
      <c r="F100" s="40"/>
      <c r="G100" s="40"/>
      <c r="H100" s="40"/>
      <c r="I100" s="40"/>
      <c r="J100" s="40"/>
      <c r="II100" s="40"/>
    </row>
    <row r="101" spans="1:243" ht="13.5" x14ac:dyDescent="0.25">
      <c r="A101" s="205" t="s">
        <v>742</v>
      </c>
      <c r="B101" s="236"/>
      <c r="C101" s="236"/>
      <c r="D101" s="2"/>
      <c r="E101" s="2">
        <v>0</v>
      </c>
      <c r="F101" s="40">
        <v>1500</v>
      </c>
      <c r="G101" s="40">
        <v>750</v>
      </c>
      <c r="H101" s="40">
        <v>750</v>
      </c>
      <c r="I101" s="40">
        <v>750</v>
      </c>
      <c r="J101" s="40">
        <v>750</v>
      </c>
      <c r="II101" s="40"/>
    </row>
    <row r="102" spans="1:243" x14ac:dyDescent="0.2">
      <c r="A102" s="203" t="s">
        <v>456</v>
      </c>
      <c r="B102" s="236"/>
      <c r="C102" s="236"/>
      <c r="D102" s="2">
        <v>750</v>
      </c>
      <c r="E102" s="2"/>
      <c r="F102" s="40"/>
      <c r="G102" s="40"/>
      <c r="H102" s="40"/>
      <c r="I102" s="40"/>
      <c r="J102" s="40"/>
      <c r="II102" s="40"/>
    </row>
    <row r="103" spans="1:243" x14ac:dyDescent="0.2">
      <c r="A103" s="203" t="s">
        <v>345</v>
      </c>
      <c r="B103" s="236"/>
      <c r="C103" s="236"/>
      <c r="D103" s="2" t="s">
        <v>345</v>
      </c>
      <c r="E103" s="2"/>
      <c r="F103" s="40"/>
      <c r="G103" s="40"/>
      <c r="H103" s="40"/>
      <c r="I103" s="40"/>
      <c r="J103" s="40"/>
      <c r="II103" s="40"/>
    </row>
    <row r="104" spans="1:243" ht="13.5" x14ac:dyDescent="0.25">
      <c r="A104" s="205" t="s">
        <v>146</v>
      </c>
      <c r="B104" s="236"/>
      <c r="C104" s="236"/>
      <c r="D104" s="2"/>
      <c r="E104" s="2">
        <v>0</v>
      </c>
      <c r="F104" s="40">
        <v>100</v>
      </c>
      <c r="G104" s="40">
        <v>100</v>
      </c>
      <c r="H104" s="40">
        <v>100</v>
      </c>
      <c r="I104" s="40">
        <v>100</v>
      </c>
      <c r="J104" s="40">
        <v>100</v>
      </c>
      <c r="II104" s="40"/>
    </row>
    <row r="105" spans="1:243" x14ac:dyDescent="0.2">
      <c r="A105" s="203" t="s">
        <v>147</v>
      </c>
      <c r="B105" s="236"/>
      <c r="C105" s="236"/>
      <c r="D105" s="2">
        <v>100</v>
      </c>
      <c r="E105" s="2"/>
      <c r="F105" s="40"/>
      <c r="G105" s="40"/>
      <c r="H105" s="40"/>
      <c r="I105" s="40"/>
      <c r="J105" s="40"/>
      <c r="II105" s="40"/>
    </row>
    <row r="106" spans="1:243" x14ac:dyDescent="0.2">
      <c r="A106" s="203"/>
      <c r="B106" s="236"/>
      <c r="C106" s="236"/>
      <c r="D106" s="2"/>
      <c r="E106" s="2"/>
      <c r="F106" s="40"/>
      <c r="G106" s="40"/>
      <c r="H106" s="40"/>
      <c r="I106" s="40"/>
      <c r="J106" s="40"/>
      <c r="II106" s="40"/>
    </row>
    <row r="107" spans="1:243" ht="13.5" x14ac:dyDescent="0.25">
      <c r="A107" s="205" t="s">
        <v>1108</v>
      </c>
      <c r="B107" s="236"/>
      <c r="C107" s="236"/>
      <c r="D107" s="2"/>
      <c r="E107" s="2">
        <v>3831</v>
      </c>
      <c r="F107" s="40">
        <v>900</v>
      </c>
      <c r="G107" s="40">
        <v>900</v>
      </c>
      <c r="H107" s="40">
        <v>900</v>
      </c>
      <c r="I107" s="40">
        <v>900</v>
      </c>
      <c r="J107" s="40">
        <v>900</v>
      </c>
      <c r="II107" s="40"/>
    </row>
    <row r="108" spans="1:243" x14ac:dyDescent="0.2">
      <c r="A108" s="203" t="s">
        <v>690</v>
      </c>
      <c r="B108" s="236"/>
      <c r="C108" s="236"/>
      <c r="D108" s="2">
        <v>900</v>
      </c>
      <c r="E108" s="2"/>
      <c r="F108" s="40"/>
      <c r="G108" s="40"/>
      <c r="H108" s="40"/>
      <c r="I108" s="40"/>
      <c r="J108" s="40"/>
      <c r="II108" s="40"/>
    </row>
    <row r="109" spans="1:243" x14ac:dyDescent="0.2">
      <c r="A109" s="203"/>
      <c r="B109" s="236"/>
      <c r="C109" s="236"/>
      <c r="D109" s="236"/>
      <c r="E109" s="2"/>
      <c r="F109" s="40"/>
      <c r="G109" s="40"/>
      <c r="H109" s="40"/>
      <c r="I109" s="40"/>
      <c r="J109" s="40"/>
      <c r="II109" s="40"/>
    </row>
    <row r="110" spans="1:243" ht="13.5" x14ac:dyDescent="0.25">
      <c r="A110" s="205" t="s">
        <v>197</v>
      </c>
      <c r="B110" s="27" t="s">
        <v>345</v>
      </c>
      <c r="C110" s="236"/>
      <c r="D110" s="33"/>
      <c r="E110" s="2">
        <v>0</v>
      </c>
      <c r="F110" s="40">
        <v>1000</v>
      </c>
      <c r="G110" s="40">
        <v>500</v>
      </c>
      <c r="H110" s="40">
        <v>500</v>
      </c>
      <c r="I110" s="40">
        <v>500</v>
      </c>
      <c r="J110" s="40">
        <v>500</v>
      </c>
      <c r="II110" s="40"/>
    </row>
    <row r="111" spans="1:243" x14ac:dyDescent="0.2">
      <c r="A111" s="203" t="s">
        <v>1705</v>
      </c>
      <c r="B111" s="2" t="s">
        <v>345</v>
      </c>
      <c r="C111" s="236"/>
      <c r="D111" s="2">
        <v>500</v>
      </c>
      <c r="E111" s="2"/>
      <c r="F111" s="2"/>
      <c r="I111" s="2"/>
      <c r="J111" s="2"/>
      <c r="II111" s="2"/>
    </row>
    <row r="112" spans="1:243" x14ac:dyDescent="0.2">
      <c r="A112" s="203"/>
      <c r="B112" s="2"/>
      <c r="C112" s="236"/>
      <c r="D112" s="2"/>
      <c r="E112" s="2"/>
      <c r="F112" s="2"/>
      <c r="I112" s="2"/>
      <c r="J112" s="2"/>
      <c r="II112" s="2"/>
    </row>
    <row r="113" spans="1:243" ht="13.5" x14ac:dyDescent="0.25">
      <c r="A113" s="205" t="s">
        <v>645</v>
      </c>
      <c r="B113" s="236"/>
      <c r="C113" s="236"/>
      <c r="D113" s="236"/>
      <c r="E113" s="2">
        <v>903</v>
      </c>
      <c r="F113" s="40">
        <v>2500</v>
      </c>
      <c r="G113" s="40">
        <v>2000</v>
      </c>
      <c r="H113" s="40">
        <v>2000</v>
      </c>
      <c r="I113" s="40">
        <v>2000</v>
      </c>
      <c r="J113" s="40">
        <v>2000</v>
      </c>
      <c r="II113" s="40"/>
    </row>
    <row r="114" spans="1:243" x14ac:dyDescent="0.2">
      <c r="A114" s="203" t="s">
        <v>38</v>
      </c>
      <c r="B114" s="236"/>
      <c r="C114" s="236"/>
      <c r="D114" s="2">
        <v>500</v>
      </c>
      <c r="E114" s="2"/>
      <c r="F114" s="40"/>
      <c r="G114" s="40"/>
      <c r="H114" s="40"/>
      <c r="I114" s="40"/>
      <c r="J114" s="40"/>
      <c r="II114" s="40"/>
    </row>
    <row r="115" spans="1:243" x14ac:dyDescent="0.2">
      <c r="A115" s="203" t="s">
        <v>1626</v>
      </c>
      <c r="B115" s="236"/>
      <c r="C115" s="236"/>
      <c r="D115" s="2">
        <v>600</v>
      </c>
      <c r="E115" s="2"/>
      <c r="F115" s="40"/>
      <c r="G115" s="40"/>
      <c r="H115" s="40"/>
      <c r="I115" s="40"/>
      <c r="J115" s="40"/>
      <c r="II115" s="40"/>
    </row>
    <row r="116" spans="1:243" x14ac:dyDescent="0.2">
      <c r="A116" s="203" t="s">
        <v>1627</v>
      </c>
      <c r="B116" s="236"/>
      <c r="C116" s="236"/>
      <c r="D116" s="2">
        <v>700</v>
      </c>
      <c r="E116" s="2"/>
      <c r="F116" s="40"/>
      <c r="G116" s="40"/>
      <c r="H116" s="40"/>
      <c r="I116" s="40"/>
      <c r="J116" s="40"/>
      <c r="II116" s="40"/>
    </row>
    <row r="117" spans="1:243" ht="15" x14ac:dyDescent="0.35">
      <c r="A117" s="203" t="s">
        <v>1130</v>
      </c>
      <c r="B117" s="236"/>
      <c r="C117" s="236"/>
      <c r="D117" s="10">
        <v>200</v>
      </c>
      <c r="E117" s="2"/>
      <c r="F117" s="40"/>
      <c r="G117" s="40"/>
      <c r="H117" s="40"/>
      <c r="I117" s="40"/>
      <c r="J117" s="40"/>
      <c r="II117" s="40"/>
    </row>
    <row r="118" spans="1:243" x14ac:dyDescent="0.2">
      <c r="A118" s="203" t="s">
        <v>1073</v>
      </c>
      <c r="B118" s="236"/>
      <c r="C118" s="236"/>
      <c r="D118" s="2">
        <f>SUM(D114:D117)</f>
        <v>2000</v>
      </c>
      <c r="E118" s="2"/>
      <c r="F118" s="40"/>
      <c r="G118" s="40"/>
      <c r="H118" s="40"/>
      <c r="I118" s="40"/>
      <c r="J118" s="40"/>
      <c r="II118" s="40"/>
    </row>
    <row r="119" spans="1:243" x14ac:dyDescent="0.2">
      <c r="A119" s="203"/>
      <c r="B119" s="236"/>
      <c r="C119" s="236"/>
      <c r="D119" s="2"/>
      <c r="E119" s="2"/>
      <c r="F119" s="40"/>
      <c r="G119" s="40"/>
      <c r="H119" s="40"/>
      <c r="I119" s="40"/>
      <c r="J119" s="40"/>
      <c r="II119" s="40"/>
    </row>
    <row r="120" spans="1:243" ht="13.5" x14ac:dyDescent="0.25">
      <c r="A120" s="205" t="s">
        <v>15</v>
      </c>
      <c r="B120" s="236"/>
      <c r="C120" s="236"/>
      <c r="D120" s="33"/>
      <c r="E120" s="2">
        <v>6956</v>
      </c>
      <c r="F120" s="40">
        <v>750</v>
      </c>
      <c r="G120" s="40">
        <v>750</v>
      </c>
      <c r="H120" s="40">
        <v>750</v>
      </c>
      <c r="I120" s="40">
        <v>750</v>
      </c>
      <c r="J120" s="40">
        <v>750</v>
      </c>
      <c r="II120" s="40"/>
    </row>
    <row r="121" spans="1:243" x14ac:dyDescent="0.2">
      <c r="A121" s="203" t="s">
        <v>16</v>
      </c>
      <c r="B121" s="236"/>
      <c r="C121" s="236"/>
      <c r="D121" s="2">
        <v>500</v>
      </c>
      <c r="E121" s="2"/>
      <c r="F121" s="40"/>
      <c r="G121" s="40"/>
      <c r="H121" s="40"/>
      <c r="I121" s="40"/>
      <c r="J121" s="40"/>
      <c r="II121" s="40"/>
    </row>
    <row r="122" spans="1:243" ht="15" x14ac:dyDescent="0.35">
      <c r="A122" s="203" t="s">
        <v>663</v>
      </c>
      <c r="B122" s="236"/>
      <c r="C122" s="236"/>
      <c r="D122" s="10">
        <v>250</v>
      </c>
      <c r="E122" s="2"/>
      <c r="F122" s="40"/>
      <c r="G122" s="40"/>
      <c r="H122" s="40"/>
      <c r="I122" s="40"/>
      <c r="J122" s="40"/>
      <c r="II122" s="40"/>
    </row>
    <row r="123" spans="1:243" x14ac:dyDescent="0.2">
      <c r="A123" s="203" t="s">
        <v>1073</v>
      </c>
      <c r="B123" s="236"/>
      <c r="C123" s="236"/>
      <c r="D123" s="2">
        <f>SUM(D121:D122)</f>
        <v>750</v>
      </c>
      <c r="E123" s="2"/>
      <c r="F123" s="40"/>
      <c r="G123" s="40"/>
      <c r="H123" s="40"/>
      <c r="I123" s="40"/>
      <c r="J123" s="40"/>
      <c r="II123" s="40"/>
    </row>
    <row r="124" spans="1:243" x14ac:dyDescent="0.2">
      <c r="A124" s="203"/>
      <c r="B124" s="236"/>
      <c r="C124" s="236"/>
      <c r="D124" s="2"/>
      <c r="E124" s="2"/>
      <c r="F124" s="40"/>
      <c r="G124" s="40"/>
      <c r="H124" s="40"/>
      <c r="I124" s="40"/>
      <c r="J124" s="40"/>
      <c r="II124" s="40"/>
    </row>
    <row r="125" spans="1:243" ht="13.5" x14ac:dyDescent="0.25">
      <c r="A125" s="205" t="s">
        <v>1160</v>
      </c>
      <c r="B125" s="236"/>
      <c r="C125" s="236"/>
      <c r="D125" s="2"/>
      <c r="E125" s="7">
        <v>2500</v>
      </c>
      <c r="F125" s="40">
        <v>2500</v>
      </c>
      <c r="G125" s="40">
        <v>500</v>
      </c>
      <c r="H125" s="40">
        <v>500</v>
      </c>
      <c r="I125" s="40">
        <v>500</v>
      </c>
      <c r="J125" s="40">
        <v>500</v>
      </c>
      <c r="II125" s="40"/>
    </row>
    <row r="126" spans="1:243" x14ac:dyDescent="0.2">
      <c r="A126" s="203" t="s">
        <v>1706</v>
      </c>
      <c r="B126" s="236"/>
      <c r="C126" s="236"/>
      <c r="D126" s="7">
        <v>500</v>
      </c>
      <c r="E126" s="2"/>
      <c r="F126" s="40"/>
      <c r="G126" s="40"/>
      <c r="H126" s="40"/>
      <c r="I126" s="40"/>
      <c r="J126" s="40"/>
      <c r="II126" s="40"/>
    </row>
    <row r="127" spans="1:243" x14ac:dyDescent="0.2">
      <c r="A127" s="203"/>
      <c r="B127" s="236"/>
      <c r="C127" s="236"/>
      <c r="D127" s="236"/>
      <c r="E127" s="2"/>
      <c r="F127" s="40"/>
      <c r="G127" s="40"/>
      <c r="H127" s="40"/>
      <c r="I127" s="40"/>
      <c r="J127" s="40"/>
      <c r="II127" s="40"/>
    </row>
    <row r="128" spans="1:243" ht="13.5" x14ac:dyDescent="0.25">
      <c r="A128" s="205" t="s">
        <v>566</v>
      </c>
      <c r="B128" s="236"/>
      <c r="C128" s="236"/>
      <c r="D128" s="33"/>
      <c r="E128" s="2">
        <v>1200</v>
      </c>
      <c r="F128" s="40">
        <v>5168</v>
      </c>
      <c r="G128" s="40">
        <v>5168</v>
      </c>
      <c r="H128" s="40">
        <v>5168</v>
      </c>
      <c r="I128" s="40">
        <v>5168</v>
      </c>
      <c r="J128" s="40">
        <v>5168</v>
      </c>
      <c r="II128" s="40"/>
    </row>
    <row r="129" spans="1:243" x14ac:dyDescent="0.2">
      <c r="A129" s="203" t="s">
        <v>567</v>
      </c>
      <c r="B129" s="236"/>
      <c r="C129" s="236"/>
      <c r="D129" s="236"/>
      <c r="E129" s="2"/>
      <c r="F129" s="40"/>
      <c r="G129" s="40"/>
      <c r="H129" s="40"/>
      <c r="I129" s="40"/>
      <c r="J129" s="40"/>
      <c r="II129" s="40"/>
    </row>
    <row r="130" spans="1:243" x14ac:dyDescent="0.2">
      <c r="A130" s="203" t="s">
        <v>1628</v>
      </c>
      <c r="B130" s="236"/>
      <c r="C130" s="236"/>
      <c r="D130" s="2">
        <v>850</v>
      </c>
      <c r="E130" s="2"/>
      <c r="F130" s="2"/>
      <c r="I130" s="2"/>
      <c r="J130" s="2"/>
      <c r="II130" s="2"/>
    </row>
    <row r="131" spans="1:243" x14ac:dyDescent="0.2">
      <c r="A131" s="203" t="s">
        <v>1629</v>
      </c>
      <c r="B131" s="236"/>
      <c r="C131" s="236"/>
      <c r="D131" s="2">
        <v>1050</v>
      </c>
      <c r="E131" s="2"/>
      <c r="F131" s="2"/>
      <c r="I131" s="2"/>
      <c r="J131" s="2"/>
      <c r="II131" s="2"/>
    </row>
    <row r="132" spans="1:243" x14ac:dyDescent="0.2">
      <c r="A132" s="203" t="s">
        <v>32</v>
      </c>
      <c r="B132" s="236"/>
      <c r="C132" s="236"/>
      <c r="D132" s="2">
        <v>250</v>
      </c>
      <c r="E132" s="2"/>
      <c r="F132" s="2"/>
      <c r="I132" s="2"/>
      <c r="J132" s="2"/>
      <c r="II132" s="2"/>
    </row>
    <row r="133" spans="1:243" x14ac:dyDescent="0.2">
      <c r="A133" s="203" t="s">
        <v>471</v>
      </c>
      <c r="B133" s="236"/>
      <c r="C133" s="236"/>
      <c r="D133" s="2">
        <v>200</v>
      </c>
      <c r="E133" s="2"/>
      <c r="F133" s="40"/>
      <c r="G133" s="40"/>
      <c r="H133" s="40"/>
      <c r="I133" s="40"/>
      <c r="J133" s="40"/>
      <c r="II133" s="40"/>
    </row>
    <row r="134" spans="1:243" x14ac:dyDescent="0.2">
      <c r="A134" s="203" t="s">
        <v>1366</v>
      </c>
      <c r="B134" s="236"/>
      <c r="C134" s="236"/>
      <c r="D134" s="2">
        <v>400</v>
      </c>
      <c r="E134" s="2"/>
      <c r="F134" s="40"/>
      <c r="G134" s="40"/>
      <c r="H134" s="40"/>
      <c r="I134" s="40"/>
      <c r="J134" s="40"/>
      <c r="II134" s="40"/>
    </row>
    <row r="135" spans="1:243" x14ac:dyDescent="0.2">
      <c r="A135" s="203" t="s">
        <v>957</v>
      </c>
      <c r="B135" s="236"/>
      <c r="C135" s="236"/>
      <c r="D135" s="2">
        <v>380</v>
      </c>
      <c r="E135" s="2"/>
      <c r="F135" s="40"/>
      <c r="G135" s="40"/>
      <c r="H135" s="40"/>
      <c r="I135" s="40"/>
      <c r="J135" s="40"/>
      <c r="II135" s="40"/>
    </row>
    <row r="136" spans="1:243" x14ac:dyDescent="0.2">
      <c r="A136" s="203" t="s">
        <v>1367</v>
      </c>
      <c r="B136" s="236"/>
      <c r="C136" s="236"/>
      <c r="D136" s="2">
        <v>150</v>
      </c>
      <c r="E136" s="2"/>
      <c r="F136" s="40"/>
      <c r="G136" s="40"/>
      <c r="H136" s="40"/>
      <c r="I136" s="40"/>
      <c r="J136" s="40"/>
      <c r="II136" s="40"/>
    </row>
    <row r="137" spans="1:243" x14ac:dyDescent="0.2">
      <c r="A137" s="203" t="s">
        <v>349</v>
      </c>
      <c r="B137" s="236"/>
      <c r="C137" s="236"/>
      <c r="D137" s="2">
        <v>200</v>
      </c>
      <c r="E137" s="2"/>
      <c r="F137" s="40"/>
      <c r="G137" s="40"/>
      <c r="H137" s="40"/>
      <c r="I137" s="40"/>
      <c r="J137" s="40"/>
      <c r="II137" s="40"/>
    </row>
    <row r="138" spans="1:243" ht="15" x14ac:dyDescent="0.35">
      <c r="A138" s="203" t="s">
        <v>350</v>
      </c>
      <c r="B138" s="236"/>
      <c r="C138" s="236"/>
      <c r="D138" s="10">
        <v>1688</v>
      </c>
      <c r="E138" s="2"/>
      <c r="F138" s="40"/>
      <c r="G138" s="40"/>
      <c r="H138" s="40"/>
      <c r="I138" s="40"/>
      <c r="J138" s="40"/>
      <c r="II138" s="40"/>
    </row>
    <row r="139" spans="1:243" x14ac:dyDescent="0.2">
      <c r="A139" s="203" t="s">
        <v>351</v>
      </c>
      <c r="B139" s="236"/>
      <c r="C139" s="236"/>
      <c r="D139" s="2">
        <f>SUM(D130:D138)</f>
        <v>5168</v>
      </c>
      <c r="E139" s="2"/>
      <c r="F139" s="40"/>
      <c r="G139" s="40"/>
      <c r="H139" s="40"/>
      <c r="I139" s="40"/>
      <c r="J139" s="40"/>
      <c r="II139" s="40"/>
    </row>
    <row r="140" spans="1:243" x14ac:dyDescent="0.2">
      <c r="A140" s="203"/>
      <c r="B140" s="236"/>
      <c r="C140" s="236"/>
      <c r="D140" s="2"/>
      <c r="E140" s="2"/>
      <c r="F140" s="40"/>
      <c r="G140" s="40"/>
      <c r="H140" s="40"/>
      <c r="I140" s="40"/>
      <c r="J140" s="40"/>
      <c r="II140" s="40"/>
    </row>
    <row r="141" spans="1:243" ht="13.5" x14ac:dyDescent="0.25">
      <c r="A141" s="205" t="s">
        <v>426</v>
      </c>
      <c r="B141" s="236"/>
      <c r="C141" s="236"/>
      <c r="D141" s="236"/>
      <c r="E141" s="2">
        <v>5016</v>
      </c>
      <c r="F141" s="40">
        <v>3000</v>
      </c>
      <c r="G141" s="40">
        <v>3000</v>
      </c>
      <c r="H141" s="40">
        <v>3000</v>
      </c>
      <c r="I141" s="40">
        <v>3000</v>
      </c>
      <c r="J141" s="40">
        <v>3000</v>
      </c>
      <c r="II141" s="40"/>
    </row>
    <row r="142" spans="1:243" x14ac:dyDescent="0.2">
      <c r="A142" s="203" t="s">
        <v>189</v>
      </c>
      <c r="B142" s="236"/>
      <c r="C142" s="236"/>
      <c r="D142" s="2">
        <v>3000</v>
      </c>
      <c r="E142" s="2"/>
      <c r="F142" s="2"/>
      <c r="I142" s="2"/>
      <c r="J142" s="2"/>
      <c r="II142" s="40"/>
    </row>
    <row r="143" spans="1:243" x14ac:dyDescent="0.2">
      <c r="A143" s="203"/>
      <c r="B143" s="236"/>
      <c r="C143" s="236"/>
      <c r="D143" s="2"/>
      <c r="E143" s="2"/>
      <c r="F143" s="2"/>
      <c r="I143" s="2"/>
      <c r="J143" s="2"/>
      <c r="II143" s="40"/>
    </row>
    <row r="144" spans="1:243" ht="13.5" x14ac:dyDescent="0.25">
      <c r="A144" s="205" t="s">
        <v>105</v>
      </c>
      <c r="B144" s="236"/>
      <c r="C144" s="236"/>
      <c r="D144" s="2"/>
      <c r="E144" s="2"/>
      <c r="F144" s="2"/>
      <c r="I144" s="2"/>
      <c r="J144" s="2"/>
      <c r="II144" s="40"/>
    </row>
    <row r="145" spans="1:243" ht="15" x14ac:dyDescent="0.35">
      <c r="A145" s="203"/>
      <c r="B145" s="236"/>
      <c r="C145" s="236"/>
      <c r="D145" s="236"/>
      <c r="E145" s="2"/>
      <c r="F145" s="10"/>
      <c r="G145" s="10"/>
      <c r="H145" s="10"/>
      <c r="I145" s="10"/>
      <c r="J145" s="10"/>
      <c r="II145" s="10"/>
    </row>
    <row r="146" spans="1:243" ht="15" x14ac:dyDescent="0.35">
      <c r="A146" s="205" t="s">
        <v>355</v>
      </c>
      <c r="B146" s="236"/>
      <c r="C146" s="236"/>
      <c r="D146" s="236"/>
      <c r="E146" s="2">
        <v>0</v>
      </c>
      <c r="F146" s="10"/>
      <c r="G146" s="10"/>
      <c r="H146" s="10"/>
      <c r="I146" s="10"/>
      <c r="J146" s="10"/>
      <c r="II146" s="10"/>
    </row>
    <row r="147" spans="1:243" x14ac:dyDescent="0.2">
      <c r="A147" s="203"/>
      <c r="B147" s="236"/>
      <c r="C147" s="236"/>
      <c r="D147" s="236"/>
      <c r="E147" s="2"/>
      <c r="F147" s="2"/>
      <c r="I147" s="2"/>
      <c r="J147" s="2"/>
      <c r="II147" s="2"/>
    </row>
    <row r="148" spans="1:243" ht="13.5" x14ac:dyDescent="0.25">
      <c r="A148" s="205" t="s">
        <v>1660</v>
      </c>
      <c r="B148" s="236"/>
      <c r="C148" s="236"/>
      <c r="D148" s="236"/>
      <c r="E148" s="2">
        <v>0</v>
      </c>
      <c r="F148" s="2"/>
      <c r="I148" s="2"/>
      <c r="J148" s="2"/>
      <c r="II148" s="2"/>
    </row>
    <row r="149" spans="1:243" x14ac:dyDescent="0.2">
      <c r="A149" s="22" t="s">
        <v>1661</v>
      </c>
      <c r="B149" s="236"/>
      <c r="C149" s="236"/>
      <c r="D149" s="236">
        <v>0</v>
      </c>
      <c r="E149" s="2"/>
      <c r="F149" s="2"/>
      <c r="I149" s="2"/>
      <c r="J149" s="2"/>
      <c r="II149" s="2"/>
    </row>
    <row r="150" spans="1:243" x14ac:dyDescent="0.2">
      <c r="A150" s="203"/>
      <c r="B150" s="236"/>
      <c r="C150" s="236"/>
      <c r="D150" s="236"/>
      <c r="E150" s="2"/>
      <c r="F150" s="2"/>
      <c r="I150" s="2"/>
      <c r="J150" s="2"/>
      <c r="II150" s="2"/>
    </row>
    <row r="151" spans="1:243" ht="13.5" x14ac:dyDescent="0.25">
      <c r="A151" s="205" t="s">
        <v>233</v>
      </c>
      <c r="B151" s="236"/>
      <c r="C151" s="236"/>
      <c r="D151" s="33"/>
      <c r="E151" s="2">
        <v>4123</v>
      </c>
      <c r="F151" s="2"/>
      <c r="G151" s="2">
        <v>7500</v>
      </c>
      <c r="H151" s="2">
        <v>7500</v>
      </c>
      <c r="I151" s="2">
        <v>7500</v>
      </c>
      <c r="J151" s="2">
        <v>7500</v>
      </c>
      <c r="II151" s="2"/>
    </row>
    <row r="152" spans="1:243" ht="15" x14ac:dyDescent="0.35">
      <c r="A152" s="236" t="s">
        <v>2010</v>
      </c>
      <c r="B152" s="236"/>
      <c r="C152" s="236"/>
      <c r="D152" s="2">
        <v>0</v>
      </c>
      <c r="E152" s="10"/>
      <c r="F152" s="2"/>
      <c r="I152" s="2"/>
      <c r="J152" s="2"/>
      <c r="II152" s="2"/>
    </row>
    <row r="153" spans="1:243" ht="15" x14ac:dyDescent="0.35">
      <c r="A153" s="203"/>
      <c r="B153" s="236"/>
      <c r="C153" s="236"/>
      <c r="D153" s="2"/>
      <c r="E153" s="10"/>
      <c r="F153" s="2"/>
      <c r="I153" s="2"/>
      <c r="J153" s="2"/>
      <c r="II153" s="2"/>
    </row>
    <row r="154" spans="1:243" ht="13.5" x14ac:dyDescent="0.25">
      <c r="A154" s="235" t="s">
        <v>1743</v>
      </c>
      <c r="B154" s="236"/>
      <c r="C154" s="17"/>
      <c r="D154" s="236"/>
      <c r="E154" s="236"/>
      <c r="F154" s="236"/>
      <c r="I154" s="2"/>
      <c r="J154" s="107">
        <v>5000</v>
      </c>
      <c r="II154" s="2"/>
    </row>
    <row r="155" spans="1:243" x14ac:dyDescent="0.2">
      <c r="B155" s="236"/>
      <c r="C155" s="236"/>
      <c r="D155" s="236"/>
      <c r="E155" s="236"/>
      <c r="F155" s="236"/>
      <c r="I155" s="2"/>
      <c r="J155" s="236"/>
      <c r="II155" s="2"/>
    </row>
    <row r="156" spans="1:243" ht="13.5" x14ac:dyDescent="0.25">
      <c r="A156" s="46" t="s">
        <v>345</v>
      </c>
      <c r="B156" s="236"/>
      <c r="C156" s="236"/>
      <c r="D156" s="2"/>
      <c r="E156" s="2"/>
      <c r="F156" s="2"/>
      <c r="I156" s="2"/>
      <c r="J156" s="2"/>
      <c r="II156" s="2"/>
    </row>
    <row r="157" spans="1:243" x14ac:dyDescent="0.2">
      <c r="A157" s="19" t="s">
        <v>1151</v>
      </c>
      <c r="B157" s="236"/>
      <c r="C157" s="236"/>
      <c r="D157" s="2"/>
      <c r="E157" s="2">
        <f>SUM(E6:E153)</f>
        <v>512207</v>
      </c>
      <c r="F157" s="2">
        <f>SUM(F6:F153)</f>
        <v>529993</v>
      </c>
      <c r="G157" s="2">
        <f>SUM(G6:G153)</f>
        <v>524305</v>
      </c>
      <c r="H157" s="2">
        <f>SUM(H6:H153)</f>
        <v>524305</v>
      </c>
      <c r="I157" s="2">
        <f>SUM(I6:I153)</f>
        <v>531593</v>
      </c>
      <c r="J157" s="2">
        <f>SUM(J6:J155)</f>
        <v>536593</v>
      </c>
      <c r="II157" s="2"/>
    </row>
    <row r="158" spans="1:243" x14ac:dyDescent="0.2">
      <c r="A158" s="19"/>
      <c r="B158" s="236"/>
      <c r="C158" s="236"/>
      <c r="D158" s="2"/>
      <c r="E158" s="2"/>
      <c r="F158" s="2"/>
      <c r="I158" s="2"/>
      <c r="J158" s="2"/>
      <c r="II158" s="2"/>
    </row>
    <row r="159" spans="1:243" x14ac:dyDescent="0.2">
      <c r="A159" s="19"/>
      <c r="B159" s="236"/>
      <c r="C159" s="236"/>
      <c r="D159" s="2"/>
      <c r="E159" s="2"/>
      <c r="F159" s="2"/>
      <c r="I159" s="2"/>
      <c r="J159" s="2"/>
      <c r="II159" s="2"/>
    </row>
    <row r="160" spans="1:243" x14ac:dyDescent="0.2">
      <c r="A160" s="183" t="s">
        <v>519</v>
      </c>
      <c r="B160" s="236"/>
      <c r="C160" s="236"/>
      <c r="D160" s="236"/>
      <c r="E160" s="2">
        <f t="shared" ref="E160:J160" si="0">SUM(E6:E67)</f>
        <v>447376</v>
      </c>
      <c r="F160" s="2">
        <f t="shared" si="0"/>
        <v>470407</v>
      </c>
      <c r="G160" s="2">
        <f t="shared" si="0"/>
        <v>460649</v>
      </c>
      <c r="H160" s="2">
        <f t="shared" si="0"/>
        <v>460649</v>
      </c>
      <c r="I160" s="2">
        <f t="shared" si="0"/>
        <v>467937</v>
      </c>
      <c r="J160" s="2">
        <f t="shared" si="0"/>
        <v>467937</v>
      </c>
      <c r="II160" s="2"/>
    </row>
    <row r="161" spans="1:243" x14ac:dyDescent="0.2">
      <c r="A161" s="183" t="s">
        <v>809</v>
      </c>
      <c r="E161" s="2">
        <f t="shared" ref="E161:J161" si="1">SUM(E69:E145)</f>
        <v>60708</v>
      </c>
      <c r="F161" s="2">
        <f t="shared" si="1"/>
        <v>59586</v>
      </c>
      <c r="G161" s="2">
        <f t="shared" si="1"/>
        <v>56156</v>
      </c>
      <c r="H161" s="2">
        <f t="shared" si="1"/>
        <v>56156</v>
      </c>
      <c r="I161" s="2">
        <f t="shared" si="1"/>
        <v>56156</v>
      </c>
      <c r="J161" s="2">
        <f t="shared" si="1"/>
        <v>56156</v>
      </c>
      <c r="II161" s="2"/>
    </row>
    <row r="162" spans="1:243" ht="15" x14ac:dyDescent="0.35">
      <c r="A162" s="183" t="s">
        <v>810</v>
      </c>
      <c r="E162" s="10">
        <f>SUM(E148:E153)</f>
        <v>4123</v>
      </c>
      <c r="F162" s="10">
        <f>SUM(F148:F153)</f>
        <v>0</v>
      </c>
      <c r="G162" s="10">
        <f>SUM(G148:G153)</f>
        <v>7500</v>
      </c>
      <c r="H162" s="10">
        <f>SUM(H148:H153)</f>
        <v>7500</v>
      </c>
      <c r="I162" s="10">
        <f>SUM(I148:I153)</f>
        <v>7500</v>
      </c>
      <c r="J162" s="10">
        <f>SUM(J148:J155)</f>
        <v>12500</v>
      </c>
      <c r="II162" s="10"/>
    </row>
    <row r="163" spans="1:243" x14ac:dyDescent="0.2">
      <c r="E163" s="2">
        <f t="shared" ref="E163" si="2">SUM(E160:E162)</f>
        <v>512207</v>
      </c>
      <c r="F163" s="2">
        <f t="shared" ref="F163:J163" si="3">SUM(F160:F162)</f>
        <v>529993</v>
      </c>
      <c r="G163" s="2">
        <f t="shared" si="3"/>
        <v>524305</v>
      </c>
      <c r="H163" s="2">
        <f t="shared" ref="H163:I163" si="4">SUM(H160:H162)</f>
        <v>524305</v>
      </c>
      <c r="I163" s="2">
        <f t="shared" si="4"/>
        <v>531593</v>
      </c>
      <c r="J163" s="2">
        <f t="shared" si="3"/>
        <v>536593</v>
      </c>
      <c r="II163" s="2"/>
    </row>
    <row r="164" spans="1:243" x14ac:dyDescent="0.2">
      <c r="E164" s="2"/>
      <c r="F164" s="2"/>
      <c r="I164" s="2"/>
      <c r="J164" s="2"/>
      <c r="II164" s="2"/>
    </row>
    <row r="165" spans="1:243" x14ac:dyDescent="0.2">
      <c r="E165" s="2"/>
      <c r="F165" s="2"/>
      <c r="I165" s="2"/>
      <c r="J165" s="2"/>
      <c r="II165" s="2"/>
    </row>
    <row r="166" spans="1:243" x14ac:dyDescent="0.2">
      <c r="E166" s="2"/>
      <c r="F166" s="2"/>
      <c r="I166" s="2"/>
      <c r="J166" s="2"/>
      <c r="II166" s="2"/>
    </row>
    <row r="167" spans="1:243" x14ac:dyDescent="0.2">
      <c r="E167" s="2"/>
      <c r="F167" s="2"/>
      <c r="I167" s="2"/>
      <c r="J167" s="2"/>
      <c r="II167" s="2"/>
    </row>
    <row r="168" spans="1:243" x14ac:dyDescent="0.2">
      <c r="E168" s="2"/>
      <c r="F168" s="2"/>
      <c r="I168" s="2"/>
      <c r="J168" s="2">
        <f>+J163-I163</f>
        <v>5000</v>
      </c>
      <c r="II168" s="2"/>
    </row>
    <row r="169" spans="1:243" x14ac:dyDescent="0.2">
      <c r="E169" s="2"/>
      <c r="F169" s="2"/>
      <c r="I169" s="2"/>
      <c r="J169" s="2">
        <f>+J168-10574</f>
        <v>-5574</v>
      </c>
      <c r="II169" s="2"/>
    </row>
    <row r="170" spans="1:243" x14ac:dyDescent="0.2">
      <c r="E170" s="2"/>
      <c r="F170" s="2"/>
      <c r="I170" s="2"/>
      <c r="J170" s="2"/>
      <c r="II170" s="2"/>
    </row>
    <row r="171" spans="1:243" x14ac:dyDescent="0.2">
      <c r="G171" s="183"/>
      <c r="H171" s="183"/>
      <c r="I171" s="231"/>
      <c r="II171" s="2"/>
    </row>
    <row r="172" spans="1:243" x14ac:dyDescent="0.2">
      <c r="G172" s="183"/>
      <c r="H172" s="183"/>
      <c r="I172" s="231"/>
      <c r="II172" s="2"/>
    </row>
    <row r="173" spans="1:243" x14ac:dyDescent="0.2">
      <c r="G173" s="183"/>
      <c r="H173" s="183"/>
      <c r="I173" s="231"/>
      <c r="II173" s="2"/>
    </row>
    <row r="174" spans="1:243" x14ac:dyDescent="0.2">
      <c r="G174" s="183"/>
      <c r="H174" s="183"/>
      <c r="I174" s="231"/>
      <c r="II174" s="2"/>
    </row>
    <row r="175" spans="1:243" x14ac:dyDescent="0.2">
      <c r="G175" s="183"/>
      <c r="H175" s="183"/>
      <c r="I175" s="231"/>
      <c r="II175" s="2"/>
    </row>
    <row r="176" spans="1:243" x14ac:dyDescent="0.2">
      <c r="G176" s="183"/>
      <c r="H176" s="183"/>
      <c r="I176" s="231"/>
      <c r="II176" s="2"/>
    </row>
    <row r="177" spans="7:243" x14ac:dyDescent="0.2">
      <c r="G177" s="183"/>
      <c r="H177" s="183"/>
      <c r="I177" s="231"/>
      <c r="II177" s="2"/>
    </row>
    <row r="178" spans="7:243" x14ac:dyDescent="0.2">
      <c r="G178" s="183"/>
      <c r="H178" s="183"/>
      <c r="I178" s="231"/>
      <c r="II178" s="2"/>
    </row>
    <row r="179" spans="7:243" x14ac:dyDescent="0.2">
      <c r="G179" s="183"/>
      <c r="H179" s="183"/>
      <c r="I179" s="231"/>
      <c r="II179" s="2"/>
    </row>
    <row r="180" spans="7:243" x14ac:dyDescent="0.2">
      <c r="G180" s="183"/>
      <c r="H180" s="183"/>
      <c r="I180" s="231"/>
      <c r="II180" s="2"/>
    </row>
    <row r="181" spans="7:243" x14ac:dyDescent="0.2">
      <c r="G181" s="183"/>
      <c r="H181" s="183"/>
      <c r="I181" s="231"/>
    </row>
    <row r="182" spans="7:243" x14ac:dyDescent="0.2">
      <c r="G182" s="183"/>
      <c r="H182" s="183"/>
      <c r="I182" s="231"/>
    </row>
    <row r="183" spans="7:243" x14ac:dyDescent="0.2">
      <c r="G183" s="183"/>
      <c r="H183" s="183"/>
      <c r="I183" s="231"/>
    </row>
    <row r="184" spans="7:243" x14ac:dyDescent="0.2">
      <c r="G184" s="183"/>
      <c r="H184" s="183"/>
      <c r="I184" s="231"/>
    </row>
    <row r="185" spans="7:243" x14ac:dyDescent="0.2">
      <c r="G185" s="183"/>
      <c r="I185" s="2"/>
    </row>
    <row r="186" spans="7:243" x14ac:dyDescent="0.2">
      <c r="G186" s="183"/>
      <c r="I186" s="2"/>
    </row>
    <row r="187" spans="7:243" x14ac:dyDescent="0.2">
      <c r="G187" s="183"/>
      <c r="I187" s="2"/>
    </row>
    <row r="188" spans="7:243" x14ac:dyDescent="0.2">
      <c r="G188" s="183"/>
      <c r="I188" s="2"/>
    </row>
    <row r="189" spans="7:243" x14ac:dyDescent="0.2">
      <c r="G189" s="183"/>
      <c r="I189" s="2"/>
    </row>
    <row r="190" spans="7:243" x14ac:dyDescent="0.2">
      <c r="G190" s="183"/>
      <c r="I190" s="2"/>
    </row>
    <row r="191" spans="7:243" x14ac:dyDescent="0.2">
      <c r="G191" s="183"/>
      <c r="I191" s="2"/>
    </row>
    <row r="192" spans="7:243" x14ac:dyDescent="0.2">
      <c r="G192" s="183"/>
      <c r="I192" s="2"/>
    </row>
    <row r="193" spans="7:9" x14ac:dyDescent="0.2">
      <c r="G193" s="183"/>
      <c r="I193" s="2"/>
    </row>
    <row r="194" spans="7:9" x14ac:dyDescent="0.2">
      <c r="G194" s="183"/>
      <c r="I194" s="2"/>
    </row>
    <row r="195" spans="7:9" x14ac:dyDescent="0.2">
      <c r="G195" s="183"/>
      <c r="I195" s="2"/>
    </row>
    <row r="196" spans="7:9" x14ac:dyDescent="0.2">
      <c r="G196" s="183"/>
      <c r="I196" s="2"/>
    </row>
    <row r="197" spans="7:9" x14ac:dyDescent="0.2">
      <c r="G197" s="183"/>
      <c r="I197" s="2"/>
    </row>
    <row r="198" spans="7:9" x14ac:dyDescent="0.2">
      <c r="G198" s="183"/>
      <c r="I198" s="2"/>
    </row>
    <row r="199" spans="7:9" x14ac:dyDescent="0.2">
      <c r="G199" s="183"/>
      <c r="I199" s="2"/>
    </row>
    <row r="200" spans="7:9" x14ac:dyDescent="0.2">
      <c r="G200" s="183"/>
      <c r="I200" s="2"/>
    </row>
    <row r="201" spans="7:9" x14ac:dyDescent="0.2">
      <c r="I201" s="2"/>
    </row>
    <row r="202" spans="7:9" x14ac:dyDescent="0.2">
      <c r="I202" s="2"/>
    </row>
    <row r="203" spans="7:9" x14ac:dyDescent="0.2">
      <c r="I203" s="2"/>
    </row>
    <row r="204" spans="7:9" x14ac:dyDescent="0.2">
      <c r="I204" s="2"/>
    </row>
    <row r="205" spans="7:9" x14ac:dyDescent="0.2">
      <c r="I205" s="2"/>
    </row>
  </sheetData>
  <mergeCells count="1">
    <mergeCell ref="A1:J1"/>
  </mergeCells>
  <phoneticPr fontId="0" type="noConversion"/>
  <printOptions gridLines="1"/>
  <pageMargins left="0.75" right="0.16" top="0.51" bottom="0.22" header="0.5" footer="0"/>
  <pageSetup scale="86" fitToHeight="4" orientation="landscape" r:id="rId1"/>
  <headerFooter alignWithMargins="0"/>
  <rowBreaks count="1" manualBreakCount="1">
    <brk id="119" max="9"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M250"/>
  <sheetViews>
    <sheetView view="pageBreakPreview" zoomScaleNormal="100" zoomScaleSheetLayoutView="100" workbookViewId="0">
      <pane ySplit="5" topLeftCell="A85" activePane="bottomLeft" state="frozen"/>
      <selection activeCell="D43" sqref="D43"/>
      <selection pane="bottomLeft" activeCell="B121" sqref="B121"/>
    </sheetView>
  </sheetViews>
  <sheetFormatPr defaultColWidth="8.85546875" defaultRowHeight="12.75" x14ac:dyDescent="0.2"/>
  <cols>
    <col min="1" max="1" width="56.5703125" style="183" bestFit="1" customWidth="1"/>
    <col min="2" max="2" width="8.7109375" style="183" bestFit="1" customWidth="1"/>
    <col min="3" max="3" width="7.7109375" style="183" bestFit="1" customWidth="1"/>
    <col min="4" max="4" width="8.7109375" style="183" bestFit="1" customWidth="1"/>
    <col min="5" max="6" width="9" style="183" bestFit="1" customWidth="1"/>
    <col min="7" max="7" width="11.7109375" style="183" bestFit="1" customWidth="1"/>
    <col min="8" max="8" width="13.5703125" style="183" bestFit="1" customWidth="1"/>
    <col min="9" max="9" width="9.42578125" style="183" bestFit="1" customWidth="1"/>
    <col min="10" max="10" width="10.85546875" style="183" customWidth="1"/>
    <col min="11" max="16384" width="8.85546875" style="183"/>
  </cols>
  <sheetData>
    <row r="1" spans="1:13" x14ac:dyDescent="0.2">
      <c r="A1" s="254" t="e">
        <f>#REF!</f>
        <v>#REF!</v>
      </c>
      <c r="B1" s="255"/>
      <c r="C1" s="255"/>
      <c r="D1" s="255"/>
      <c r="E1" s="255"/>
      <c r="F1" s="255"/>
      <c r="G1" s="255"/>
      <c r="H1" s="255"/>
      <c r="I1" s="255"/>
      <c r="J1" s="255"/>
    </row>
    <row r="2" spans="1:13" ht="18.75" x14ac:dyDescent="0.3">
      <c r="A2" s="91" t="s">
        <v>1583</v>
      </c>
      <c r="B2" s="91"/>
      <c r="C2" s="91"/>
      <c r="D2" s="91"/>
      <c r="E2" s="91"/>
      <c r="F2" s="91"/>
    </row>
    <row r="3" spans="1:13" x14ac:dyDescent="0.2">
      <c r="B3" s="2"/>
      <c r="C3" s="2"/>
      <c r="D3" s="2"/>
      <c r="E3" s="2"/>
      <c r="F3" s="2"/>
    </row>
    <row r="4" spans="1:13" x14ac:dyDescent="0.2">
      <c r="B4" s="2"/>
      <c r="C4" s="2"/>
      <c r="D4" s="2"/>
      <c r="E4" s="15" t="s">
        <v>204</v>
      </c>
      <c r="F4" s="15" t="s">
        <v>205</v>
      </c>
      <c r="G4" s="15" t="s">
        <v>61</v>
      </c>
      <c r="H4" s="15" t="s">
        <v>358</v>
      </c>
      <c r="I4" s="15" t="s">
        <v>270</v>
      </c>
      <c r="J4" s="15" t="s">
        <v>301</v>
      </c>
    </row>
    <row r="5" spans="1:13" ht="15" x14ac:dyDescent="0.35">
      <c r="B5" s="2"/>
      <c r="C5" s="2"/>
      <c r="D5" s="2"/>
      <c r="E5" s="196" t="s">
        <v>1757</v>
      </c>
      <c r="F5" s="196" t="s">
        <v>1838</v>
      </c>
      <c r="G5" s="196" t="s">
        <v>1977</v>
      </c>
      <c r="H5" s="196" t="s">
        <v>1977</v>
      </c>
      <c r="I5" s="196" t="s">
        <v>1977</v>
      </c>
      <c r="J5" s="196" t="s">
        <v>1977</v>
      </c>
    </row>
    <row r="6" spans="1:13" ht="13.5" x14ac:dyDescent="0.25">
      <c r="A6" s="205" t="s">
        <v>890</v>
      </c>
      <c r="B6" s="2"/>
      <c r="C6" s="2"/>
      <c r="D6" s="2"/>
      <c r="E6" s="2">
        <v>81854</v>
      </c>
      <c r="F6" s="2">
        <v>85104</v>
      </c>
      <c r="G6" s="2">
        <v>83372</v>
      </c>
      <c r="H6" s="2">
        <v>83372</v>
      </c>
      <c r="I6" s="2">
        <v>85452</v>
      </c>
      <c r="J6" s="2">
        <v>85452</v>
      </c>
    </row>
    <row r="7" spans="1:13" x14ac:dyDescent="0.2">
      <c r="A7" s="203" t="s">
        <v>891</v>
      </c>
      <c r="B7" s="2">
        <v>52</v>
      </c>
      <c r="C7" s="2">
        <v>1616</v>
      </c>
      <c r="D7" s="2">
        <f>ROUND(B7*C7,0)</f>
        <v>84032</v>
      </c>
      <c r="E7" s="2"/>
      <c r="F7" s="2"/>
      <c r="G7" s="2"/>
      <c r="H7" s="2"/>
      <c r="I7" s="2"/>
      <c r="J7" s="2"/>
    </row>
    <row r="8" spans="1:13" ht="15" x14ac:dyDescent="0.35">
      <c r="A8" s="203" t="s">
        <v>824</v>
      </c>
      <c r="B8" s="2" t="s">
        <v>345</v>
      </c>
      <c r="C8" s="2" t="s">
        <v>345</v>
      </c>
      <c r="D8" s="10">
        <v>1420</v>
      </c>
      <c r="E8" s="2"/>
      <c r="F8" s="2"/>
      <c r="G8" s="2"/>
      <c r="H8" s="2"/>
      <c r="I8" s="2"/>
      <c r="J8" s="2"/>
    </row>
    <row r="9" spans="1:13" x14ac:dyDescent="0.2">
      <c r="A9" s="203" t="s">
        <v>1073</v>
      </c>
      <c r="B9" s="2"/>
      <c r="C9" s="2"/>
      <c r="D9" s="2">
        <f>SUM(D7:D8)</f>
        <v>85452</v>
      </c>
      <c r="E9" s="2"/>
      <c r="F9" s="2"/>
      <c r="G9" s="2"/>
      <c r="H9" s="2"/>
      <c r="I9" s="2"/>
      <c r="J9" s="2"/>
    </row>
    <row r="10" spans="1:13" x14ac:dyDescent="0.2">
      <c r="A10" s="203"/>
      <c r="B10" s="2"/>
      <c r="C10" s="2"/>
      <c r="D10" s="2"/>
      <c r="E10" s="2"/>
      <c r="F10" s="2"/>
      <c r="G10" s="2"/>
      <c r="H10" s="2"/>
      <c r="I10" s="2"/>
      <c r="J10" s="2"/>
    </row>
    <row r="11" spans="1:13" ht="13.5" x14ac:dyDescent="0.25">
      <c r="A11" s="205" t="s">
        <v>667</v>
      </c>
      <c r="B11" s="2"/>
      <c r="C11" s="2"/>
      <c r="D11" s="2"/>
      <c r="E11" s="2">
        <v>139152</v>
      </c>
      <c r="F11" s="2">
        <v>150801</v>
      </c>
      <c r="G11" s="2">
        <v>179920</v>
      </c>
      <c r="H11" s="2">
        <v>144976</v>
      </c>
      <c r="I11" s="2">
        <v>187720</v>
      </c>
      <c r="J11" s="2">
        <v>187720</v>
      </c>
      <c r="K11" s="2">
        <f>+H11-G11</f>
        <v>-34944</v>
      </c>
    </row>
    <row r="12" spans="1:13" ht="15" x14ac:dyDescent="0.25">
      <c r="A12" s="203" t="s">
        <v>1812</v>
      </c>
      <c r="B12" s="2">
        <v>52</v>
      </c>
      <c r="C12" s="2">
        <v>733</v>
      </c>
      <c r="D12" s="2">
        <f>ROUND(B12*C12,0)</f>
        <v>38116</v>
      </c>
      <c r="E12" s="2"/>
      <c r="F12" s="2"/>
      <c r="G12" s="2"/>
      <c r="H12" s="2"/>
      <c r="I12" s="2"/>
      <c r="J12" s="2"/>
      <c r="K12" s="2">
        <f t="shared" ref="K12:K75" si="0">+H12-G12</f>
        <v>0</v>
      </c>
      <c r="L12" s="84"/>
      <c r="M12" s="84"/>
    </row>
    <row r="13" spans="1:13" ht="15" x14ac:dyDescent="0.25">
      <c r="A13" s="203" t="s">
        <v>937</v>
      </c>
      <c r="B13" s="2">
        <v>52</v>
      </c>
      <c r="C13" s="2">
        <v>718</v>
      </c>
      <c r="D13" s="2">
        <f>ROUND(B13*C13,0)</f>
        <v>37336</v>
      </c>
      <c r="E13" s="2"/>
      <c r="F13" s="2"/>
      <c r="G13" s="2"/>
      <c r="H13" s="2"/>
      <c r="I13" s="2"/>
      <c r="J13" s="2"/>
      <c r="K13" s="2">
        <f t="shared" si="0"/>
        <v>0</v>
      </c>
      <c r="L13" s="84"/>
      <c r="M13" s="84"/>
    </row>
    <row r="14" spans="1:13" ht="15" x14ac:dyDescent="0.25">
      <c r="A14" s="213" t="s">
        <v>937</v>
      </c>
      <c r="B14" s="2">
        <v>52</v>
      </c>
      <c r="C14" s="2">
        <v>696</v>
      </c>
      <c r="D14" s="2">
        <f>ROUND(B14*C14,0)</f>
        <v>36192</v>
      </c>
      <c r="E14" s="2"/>
      <c r="F14" s="2"/>
      <c r="G14" s="214"/>
      <c r="H14" s="214"/>
      <c r="I14" s="214"/>
      <c r="J14" s="214"/>
      <c r="K14" s="2">
        <f t="shared" si="0"/>
        <v>0</v>
      </c>
      <c r="L14" s="84"/>
      <c r="M14" s="84"/>
    </row>
    <row r="15" spans="1:13" x14ac:dyDescent="0.2">
      <c r="A15" s="203" t="s">
        <v>937</v>
      </c>
      <c r="B15" s="2">
        <v>52</v>
      </c>
      <c r="C15" s="2">
        <v>733</v>
      </c>
      <c r="D15" s="2">
        <f>ROUND(B15*C15,0)</f>
        <v>38116</v>
      </c>
      <c r="E15" s="2"/>
      <c r="F15" s="2"/>
      <c r="G15" s="2"/>
      <c r="H15" s="2"/>
      <c r="I15" s="2"/>
      <c r="J15" s="2"/>
      <c r="K15" s="2">
        <f t="shared" si="0"/>
        <v>0</v>
      </c>
    </row>
    <row r="16" spans="1:13" x14ac:dyDescent="0.2">
      <c r="A16" s="203" t="s">
        <v>937</v>
      </c>
      <c r="B16" s="2">
        <v>52</v>
      </c>
      <c r="C16" s="2">
        <v>730</v>
      </c>
      <c r="D16" s="2">
        <f t="shared" ref="D16" si="1">ROUND(B16*C16,0)</f>
        <v>37960</v>
      </c>
      <c r="E16" s="2"/>
      <c r="F16" s="2"/>
      <c r="G16" s="2"/>
      <c r="H16" s="2"/>
      <c r="I16" s="2"/>
      <c r="J16" s="2"/>
      <c r="K16" s="2">
        <f t="shared" si="0"/>
        <v>0</v>
      </c>
    </row>
    <row r="17" spans="1:11" ht="15" x14ac:dyDescent="0.35">
      <c r="A17" s="203" t="s">
        <v>824</v>
      </c>
      <c r="B17" s="2" t="s">
        <v>345</v>
      </c>
      <c r="C17" s="2" t="s">
        <v>345</v>
      </c>
      <c r="D17" s="10">
        <v>0</v>
      </c>
      <c r="E17" s="2"/>
      <c r="F17" s="2"/>
      <c r="G17" s="2"/>
      <c r="H17" s="2"/>
      <c r="I17" s="2"/>
      <c r="J17" s="2"/>
      <c r="K17" s="2">
        <f t="shared" si="0"/>
        <v>0</v>
      </c>
    </row>
    <row r="18" spans="1:11" x14ac:dyDescent="0.2">
      <c r="A18" s="203" t="s">
        <v>1073</v>
      </c>
      <c r="B18" s="2"/>
      <c r="C18" s="2"/>
      <c r="D18" s="2">
        <f>SUM(D12:D17)</f>
        <v>187720</v>
      </c>
      <c r="E18" s="2"/>
      <c r="F18" s="2"/>
      <c r="G18" s="2"/>
      <c r="H18" s="2"/>
      <c r="I18" s="2"/>
      <c r="J18" s="2"/>
      <c r="K18" s="2">
        <f t="shared" si="0"/>
        <v>0</v>
      </c>
    </row>
    <row r="19" spans="1:11" x14ac:dyDescent="0.2">
      <c r="A19" s="203"/>
      <c r="B19" s="2"/>
      <c r="C19" s="2"/>
      <c r="D19" s="2"/>
      <c r="E19" s="2"/>
      <c r="F19" s="2"/>
      <c r="G19" s="2"/>
      <c r="H19" s="2"/>
      <c r="I19" s="2"/>
      <c r="J19" s="2"/>
      <c r="K19" s="2">
        <f t="shared" si="0"/>
        <v>0</v>
      </c>
    </row>
    <row r="20" spans="1:11" ht="13.5" x14ac:dyDescent="0.25">
      <c r="A20" s="205" t="s">
        <v>482</v>
      </c>
      <c r="B20" s="2"/>
      <c r="C20" s="2"/>
      <c r="D20" s="2"/>
      <c r="E20" s="2">
        <v>63295</v>
      </c>
      <c r="F20" s="2">
        <v>65866</v>
      </c>
      <c r="G20" s="2">
        <v>64714</v>
      </c>
      <c r="H20" s="2">
        <v>64714</v>
      </c>
      <c r="I20" s="2">
        <v>66326</v>
      </c>
      <c r="J20" s="2">
        <v>66326</v>
      </c>
      <c r="K20" s="2">
        <f t="shared" si="0"/>
        <v>0</v>
      </c>
    </row>
    <row r="21" spans="1:11" x14ac:dyDescent="0.2">
      <c r="A21" s="203" t="s">
        <v>199</v>
      </c>
      <c r="B21" s="2">
        <v>52</v>
      </c>
      <c r="C21" s="2">
        <v>1252</v>
      </c>
      <c r="D21" s="2">
        <f>ROUND(B21*C21,0)</f>
        <v>65104</v>
      </c>
      <c r="E21" s="2"/>
      <c r="F21" s="2"/>
      <c r="G21" s="2"/>
      <c r="H21" s="2"/>
      <c r="I21" s="2"/>
      <c r="J21" s="2"/>
      <c r="K21" s="2">
        <f t="shared" si="0"/>
        <v>0</v>
      </c>
    </row>
    <row r="22" spans="1:11" ht="15" x14ac:dyDescent="0.35">
      <c r="A22" s="203" t="s">
        <v>824</v>
      </c>
      <c r="B22" s="2"/>
      <c r="C22" s="2"/>
      <c r="D22" s="10">
        <v>1222</v>
      </c>
      <c r="E22" s="2"/>
      <c r="F22" s="2"/>
      <c r="G22" s="2"/>
      <c r="H22" s="2"/>
      <c r="I22" s="2"/>
      <c r="J22" s="2"/>
      <c r="K22" s="2">
        <f t="shared" si="0"/>
        <v>0</v>
      </c>
    </row>
    <row r="23" spans="1:11" x14ac:dyDescent="0.2">
      <c r="A23" s="203" t="s">
        <v>1073</v>
      </c>
      <c r="B23" s="2"/>
      <c r="C23" s="2"/>
      <c r="D23" s="2">
        <f>SUM(D21:D22)</f>
        <v>66326</v>
      </c>
      <c r="E23" s="2"/>
      <c r="F23" s="2"/>
      <c r="G23" s="2"/>
      <c r="H23" s="2"/>
      <c r="I23" s="2"/>
      <c r="J23" s="2"/>
      <c r="K23" s="2">
        <f t="shared" si="0"/>
        <v>0</v>
      </c>
    </row>
    <row r="24" spans="1:11" x14ac:dyDescent="0.2">
      <c r="A24" s="203"/>
      <c r="B24" s="203"/>
      <c r="C24" s="203"/>
      <c r="D24" s="2"/>
      <c r="E24" s="2"/>
      <c r="F24" s="2"/>
      <c r="G24" s="2"/>
      <c r="H24" s="2"/>
      <c r="I24" s="2"/>
      <c r="J24" s="2"/>
      <c r="K24" s="2">
        <f t="shared" si="0"/>
        <v>0</v>
      </c>
    </row>
    <row r="25" spans="1:11" ht="13.5" x14ac:dyDescent="0.25">
      <c r="A25" s="205" t="s">
        <v>859</v>
      </c>
      <c r="B25" s="203"/>
      <c r="C25" s="203"/>
      <c r="D25" s="2"/>
      <c r="E25" s="2">
        <v>34941</v>
      </c>
      <c r="F25" s="2">
        <v>23588</v>
      </c>
      <c r="G25" s="2">
        <v>2802</v>
      </c>
      <c r="H25" s="2">
        <v>24218</v>
      </c>
      <c r="I25" s="2">
        <v>2802</v>
      </c>
      <c r="J25" s="2">
        <v>2802</v>
      </c>
      <c r="K25" s="2">
        <f t="shared" si="0"/>
        <v>21416</v>
      </c>
    </row>
    <row r="26" spans="1:11" x14ac:dyDescent="0.2">
      <c r="A26" s="203" t="s">
        <v>937</v>
      </c>
      <c r="B26" s="2">
        <v>0</v>
      </c>
      <c r="C26" s="11">
        <v>17.16</v>
      </c>
      <c r="D26" s="2">
        <f>ROUND(B26*C26,0)</f>
        <v>0</v>
      </c>
      <c r="E26" s="2"/>
      <c r="F26" s="2"/>
      <c r="G26" s="2"/>
      <c r="H26" s="2"/>
      <c r="I26" s="2"/>
      <c r="J26" s="2"/>
      <c r="K26" s="2">
        <f t="shared" si="0"/>
        <v>0</v>
      </c>
    </row>
    <row r="27" spans="1:11" x14ac:dyDescent="0.2">
      <c r="A27" s="203" t="s">
        <v>937</v>
      </c>
      <c r="B27" s="2">
        <v>0</v>
      </c>
      <c r="C27" s="11">
        <v>14.75</v>
      </c>
      <c r="D27" s="2">
        <f>+B27*C27</f>
        <v>0</v>
      </c>
      <c r="E27" s="2"/>
      <c r="F27" s="2"/>
      <c r="G27" s="2"/>
      <c r="H27" s="2"/>
      <c r="I27" s="2"/>
      <c r="J27" s="2"/>
      <c r="K27" s="2">
        <f t="shared" si="0"/>
        <v>0</v>
      </c>
    </row>
    <row r="28" spans="1:11" x14ac:dyDescent="0.2">
      <c r="A28" s="203" t="s">
        <v>1239</v>
      </c>
      <c r="B28" s="2">
        <v>40</v>
      </c>
      <c r="C28" s="11">
        <v>15.75</v>
      </c>
      <c r="D28" s="2">
        <f>ROUND(B28*C28,0)</f>
        <v>630</v>
      </c>
      <c r="E28" s="2"/>
      <c r="F28" s="2"/>
      <c r="G28" s="2"/>
      <c r="H28" s="2"/>
      <c r="I28" s="2"/>
      <c r="J28" s="2"/>
      <c r="K28" s="2">
        <f t="shared" si="0"/>
        <v>0</v>
      </c>
    </row>
    <row r="29" spans="1:11" x14ac:dyDescent="0.2">
      <c r="A29" s="203" t="s">
        <v>1325</v>
      </c>
      <c r="B29" s="2">
        <v>200</v>
      </c>
      <c r="C29" s="11">
        <v>10.86</v>
      </c>
      <c r="D29" s="17">
        <f>ROUND(B29*C29,0)</f>
        <v>2172</v>
      </c>
      <c r="E29" s="2"/>
      <c r="F29" s="2"/>
      <c r="G29" s="2"/>
      <c r="H29" s="2"/>
      <c r="I29" s="2"/>
      <c r="J29" s="2"/>
      <c r="K29" s="2">
        <f t="shared" si="0"/>
        <v>0</v>
      </c>
    </row>
    <row r="30" spans="1:11" x14ac:dyDescent="0.2">
      <c r="A30" s="203"/>
      <c r="B30" s="203"/>
      <c r="C30" s="203"/>
      <c r="D30" s="2">
        <f>SUM(D26:D29)</f>
        <v>2802</v>
      </c>
      <c r="E30" s="2"/>
      <c r="F30" s="2"/>
      <c r="G30" s="2"/>
      <c r="H30" s="2"/>
      <c r="I30" s="2"/>
      <c r="J30" s="2"/>
      <c r="K30" s="2">
        <f t="shared" si="0"/>
        <v>0</v>
      </c>
    </row>
    <row r="31" spans="1:11" x14ac:dyDescent="0.2">
      <c r="A31" s="203"/>
      <c r="B31" s="203"/>
      <c r="C31" s="203"/>
      <c r="D31" s="2"/>
      <c r="E31" s="2"/>
      <c r="F31" s="2"/>
      <c r="G31" s="2"/>
      <c r="H31" s="2"/>
      <c r="I31" s="2"/>
      <c r="J31" s="2"/>
      <c r="K31" s="2">
        <f t="shared" si="0"/>
        <v>0</v>
      </c>
    </row>
    <row r="32" spans="1:11" ht="13.5" x14ac:dyDescent="0.25">
      <c r="A32" s="205" t="s">
        <v>860</v>
      </c>
      <c r="B32" s="203"/>
      <c r="C32" s="203"/>
      <c r="D32" s="2"/>
      <c r="E32" s="2">
        <v>2854</v>
      </c>
      <c r="F32" s="2">
        <v>1064</v>
      </c>
      <c r="G32" s="2">
        <v>1391</v>
      </c>
      <c r="H32" s="2">
        <v>1391</v>
      </c>
      <c r="I32" s="2">
        <v>1440</v>
      </c>
      <c r="J32" s="2">
        <v>1440</v>
      </c>
      <c r="K32" s="2">
        <f t="shared" si="0"/>
        <v>0</v>
      </c>
    </row>
    <row r="33" spans="1:11" x14ac:dyDescent="0.2">
      <c r="A33" s="203" t="s">
        <v>932</v>
      </c>
      <c r="B33" s="2">
        <v>40</v>
      </c>
      <c r="C33" s="11">
        <f>SUM(C12:C15)/40/3*1.5</f>
        <v>36</v>
      </c>
      <c r="D33" s="2">
        <f>ROUND(C33*B33,0)</f>
        <v>1440</v>
      </c>
      <c r="E33" s="2"/>
      <c r="F33" s="2"/>
      <c r="G33" s="2"/>
      <c r="H33" s="2"/>
      <c r="I33" s="2"/>
      <c r="J33" s="2"/>
      <c r="K33" s="2">
        <f t="shared" si="0"/>
        <v>0</v>
      </c>
    </row>
    <row r="34" spans="1:11" x14ac:dyDescent="0.2">
      <c r="A34" s="203"/>
      <c r="B34" s="2"/>
      <c r="C34" s="11"/>
      <c r="D34" s="2"/>
      <c r="E34" s="2"/>
      <c r="F34" s="2"/>
      <c r="G34" s="2"/>
      <c r="H34" s="2"/>
      <c r="I34" s="2"/>
      <c r="J34" s="2"/>
      <c r="K34" s="2">
        <f t="shared" si="0"/>
        <v>0</v>
      </c>
    </row>
    <row r="35" spans="1:11" ht="13.5" x14ac:dyDescent="0.25">
      <c r="A35" s="205" t="s">
        <v>366</v>
      </c>
      <c r="B35" s="203"/>
      <c r="C35" s="203"/>
      <c r="D35" s="2"/>
      <c r="E35" s="2">
        <v>17818</v>
      </c>
      <c r="F35" s="2">
        <v>19696</v>
      </c>
      <c r="G35" s="2">
        <v>20244</v>
      </c>
      <c r="H35" s="2">
        <v>19210</v>
      </c>
      <c r="I35" s="2">
        <v>20998</v>
      </c>
      <c r="J35" s="2">
        <v>20998</v>
      </c>
      <c r="K35" s="2">
        <f t="shared" si="0"/>
        <v>-1034</v>
      </c>
    </row>
    <row r="36" spans="1:11" hidden="1" x14ac:dyDescent="0.2">
      <c r="A36" s="12" t="s">
        <v>1681</v>
      </c>
      <c r="B36" s="2">
        <f>+D9</f>
        <v>85452</v>
      </c>
      <c r="C36" s="13">
        <v>1.4500000000000001E-2</v>
      </c>
      <c r="D36" s="2">
        <f>ROUND(B36*C36,0)</f>
        <v>1239</v>
      </c>
      <c r="E36" s="2"/>
      <c r="F36" s="2"/>
      <c r="G36" s="2"/>
      <c r="H36" s="2"/>
      <c r="I36" s="2"/>
      <c r="J36" s="2"/>
      <c r="K36" s="2">
        <f t="shared" si="0"/>
        <v>0</v>
      </c>
    </row>
    <row r="37" spans="1:11" hidden="1" x14ac:dyDescent="0.2">
      <c r="A37" s="12" t="s">
        <v>762</v>
      </c>
      <c r="B37" s="2">
        <f>+D18</f>
        <v>187720</v>
      </c>
      <c r="C37" s="13">
        <v>7.6499999999999999E-2</v>
      </c>
      <c r="D37" s="2">
        <f>ROUND(B37*C37,0)</f>
        <v>14361</v>
      </c>
      <c r="E37" s="2"/>
      <c r="F37" s="2"/>
      <c r="G37" s="2"/>
      <c r="H37" s="2"/>
      <c r="I37" s="2"/>
      <c r="J37" s="2"/>
      <c r="K37" s="2">
        <f t="shared" si="0"/>
        <v>0</v>
      </c>
    </row>
    <row r="38" spans="1:11" hidden="1" x14ac:dyDescent="0.2">
      <c r="A38" s="12" t="s">
        <v>1271</v>
      </c>
      <c r="B38" s="2">
        <f>+D23</f>
        <v>66326</v>
      </c>
      <c r="C38" s="13">
        <v>7.6499999999999999E-2</v>
      </c>
      <c r="D38" s="2">
        <f>ROUND(B38*C38,0)</f>
        <v>5074</v>
      </c>
      <c r="E38" s="2"/>
      <c r="F38" s="2"/>
      <c r="G38" s="2"/>
      <c r="H38" s="2"/>
      <c r="I38" s="2"/>
      <c r="J38" s="2"/>
      <c r="K38" s="2">
        <f t="shared" si="0"/>
        <v>0</v>
      </c>
    </row>
    <row r="39" spans="1:11" hidden="1" x14ac:dyDescent="0.2">
      <c r="A39" s="12" t="s">
        <v>155</v>
      </c>
      <c r="B39" s="2">
        <f>+D30</f>
        <v>2802</v>
      </c>
      <c r="C39" s="13">
        <v>7.6499999999999999E-2</v>
      </c>
      <c r="D39" s="2">
        <f>ROUND(B39*C39,0)</f>
        <v>214</v>
      </c>
      <c r="E39" s="2"/>
      <c r="F39" s="2"/>
      <c r="G39" s="2"/>
      <c r="H39" s="2"/>
      <c r="I39" s="2"/>
      <c r="J39" s="2"/>
      <c r="K39" s="2">
        <f t="shared" si="0"/>
        <v>0</v>
      </c>
    </row>
    <row r="40" spans="1:11" ht="15" hidden="1" x14ac:dyDescent="0.35">
      <c r="A40" s="12" t="s">
        <v>156</v>
      </c>
      <c r="B40" s="2">
        <f>+D33</f>
        <v>1440</v>
      </c>
      <c r="C40" s="13">
        <v>7.6499999999999999E-2</v>
      </c>
      <c r="D40" s="10">
        <f>ROUND(B40*C40,0)</f>
        <v>110</v>
      </c>
      <c r="E40" s="2"/>
      <c r="F40" s="2"/>
      <c r="G40" s="2"/>
      <c r="H40" s="2"/>
      <c r="I40" s="2"/>
      <c r="J40" s="2"/>
      <c r="K40" s="2">
        <f t="shared" si="0"/>
        <v>0</v>
      </c>
    </row>
    <row r="41" spans="1:11" hidden="1" x14ac:dyDescent="0.2">
      <c r="A41" s="203" t="s">
        <v>1073</v>
      </c>
      <c r="B41" s="2" t="s">
        <v>345</v>
      </c>
      <c r="C41" s="203"/>
      <c r="D41" s="2">
        <f>SUM(D36:D40)</f>
        <v>20998</v>
      </c>
      <c r="E41" s="2"/>
      <c r="F41" s="2"/>
      <c r="G41" s="2"/>
      <c r="H41" s="2"/>
      <c r="I41" s="2"/>
      <c r="J41" s="2"/>
      <c r="K41" s="2">
        <f t="shared" si="0"/>
        <v>0</v>
      </c>
    </row>
    <row r="42" spans="1:11" x14ac:dyDescent="0.2">
      <c r="A42" s="203"/>
      <c r="B42" s="203"/>
      <c r="C42" s="203"/>
      <c r="D42" s="2"/>
      <c r="E42" s="2"/>
      <c r="F42" s="2"/>
      <c r="G42" s="2"/>
      <c r="H42" s="2"/>
      <c r="I42" s="2"/>
      <c r="J42" s="2"/>
      <c r="K42" s="2">
        <f t="shared" si="0"/>
        <v>0</v>
      </c>
    </row>
    <row r="43" spans="1:11" ht="13.5" x14ac:dyDescent="0.25">
      <c r="A43" s="14" t="s">
        <v>1249</v>
      </c>
      <c r="B43" s="203"/>
      <c r="C43" s="203"/>
      <c r="D43" s="2"/>
      <c r="E43" s="2">
        <v>32321</v>
      </c>
      <c r="F43" s="2">
        <v>42584</v>
      </c>
      <c r="G43" s="2">
        <v>46314</v>
      </c>
      <c r="H43" s="2">
        <v>41401</v>
      </c>
      <c r="I43" s="2">
        <v>47935</v>
      </c>
      <c r="J43" s="2">
        <v>47935</v>
      </c>
      <c r="K43" s="2">
        <f t="shared" si="0"/>
        <v>-4913</v>
      </c>
    </row>
    <row r="44" spans="1:11" hidden="1" x14ac:dyDescent="0.2">
      <c r="A44" s="12" t="s">
        <v>153</v>
      </c>
      <c r="B44" s="2">
        <f>+D9</f>
        <v>85452</v>
      </c>
      <c r="C44" s="190">
        <v>0.1406</v>
      </c>
      <c r="D44" s="2">
        <f>ROUND(B44*C44,0)</f>
        <v>12015</v>
      </c>
      <c r="E44" s="2"/>
      <c r="F44" s="2"/>
      <c r="G44" s="2"/>
      <c r="H44" s="2"/>
      <c r="I44" s="2"/>
      <c r="J44" s="2"/>
      <c r="K44" s="2">
        <f t="shared" si="0"/>
        <v>0</v>
      </c>
    </row>
    <row r="45" spans="1:11" hidden="1" x14ac:dyDescent="0.2">
      <c r="A45" s="12" t="s">
        <v>762</v>
      </c>
      <c r="B45" s="2">
        <f>+B37</f>
        <v>187720</v>
      </c>
      <c r="C45" s="190">
        <v>0.1406</v>
      </c>
      <c r="D45" s="2">
        <f>ROUND(B45*C45,0)</f>
        <v>26393</v>
      </c>
      <c r="E45" s="2"/>
      <c r="F45" s="2"/>
      <c r="G45" s="2"/>
      <c r="H45" s="2"/>
      <c r="I45" s="2"/>
      <c r="J45" s="2"/>
      <c r="K45" s="2">
        <f t="shared" si="0"/>
        <v>0</v>
      </c>
    </row>
    <row r="46" spans="1:11" hidden="1" x14ac:dyDescent="0.2">
      <c r="A46" s="22">
        <v>8103</v>
      </c>
      <c r="B46" s="2">
        <f>+B38</f>
        <v>66326</v>
      </c>
      <c r="C46" s="190">
        <v>0.1406</v>
      </c>
      <c r="D46" s="2">
        <f>ROUND(B46*C46,0)</f>
        <v>9325</v>
      </c>
      <c r="E46" s="2"/>
      <c r="F46" s="2"/>
      <c r="G46" s="2"/>
      <c r="H46" s="2"/>
      <c r="I46" s="2"/>
      <c r="J46" s="2"/>
      <c r="K46" s="2">
        <f t="shared" si="0"/>
        <v>0</v>
      </c>
    </row>
    <row r="47" spans="1:11" ht="15" hidden="1" x14ac:dyDescent="0.35">
      <c r="A47" s="12" t="s">
        <v>156</v>
      </c>
      <c r="B47" s="2">
        <f>+B40</f>
        <v>1440</v>
      </c>
      <c r="C47" s="190">
        <v>0.1406</v>
      </c>
      <c r="D47" s="10">
        <f>ROUND(B47*C47,0)</f>
        <v>202</v>
      </c>
      <c r="E47" s="2"/>
      <c r="F47" s="2"/>
      <c r="G47" s="2"/>
      <c r="H47" s="2"/>
      <c r="I47" s="2"/>
      <c r="J47" s="2"/>
      <c r="K47" s="2">
        <f t="shared" si="0"/>
        <v>0</v>
      </c>
    </row>
    <row r="48" spans="1:11" hidden="1" x14ac:dyDescent="0.2">
      <c r="A48" s="203" t="s">
        <v>1073</v>
      </c>
      <c r="B48" s="2"/>
      <c r="C48" s="203"/>
      <c r="D48" s="2">
        <f>SUM(D44:D47)</f>
        <v>47935</v>
      </c>
      <c r="E48" s="2"/>
      <c r="F48" s="2"/>
      <c r="G48" s="2"/>
      <c r="H48" s="2"/>
      <c r="I48" s="2"/>
      <c r="J48" s="2"/>
      <c r="K48" s="2">
        <f t="shared" si="0"/>
        <v>0</v>
      </c>
    </row>
    <row r="49" spans="1:11" x14ac:dyDescent="0.2">
      <c r="A49" s="203"/>
      <c r="B49" s="203"/>
      <c r="C49" s="203"/>
      <c r="D49" s="2"/>
      <c r="E49" s="2"/>
      <c r="F49" s="2"/>
      <c r="G49" s="2"/>
      <c r="H49" s="2"/>
      <c r="I49" s="2"/>
      <c r="J49" s="2"/>
      <c r="K49" s="2">
        <f t="shared" si="0"/>
        <v>0</v>
      </c>
    </row>
    <row r="50" spans="1:11" ht="13.5" x14ac:dyDescent="0.25">
      <c r="A50" s="205" t="s">
        <v>1250</v>
      </c>
      <c r="B50" s="203"/>
      <c r="C50" s="203"/>
      <c r="D50" s="2"/>
      <c r="E50" s="2">
        <v>111932</v>
      </c>
      <c r="F50" s="2">
        <v>118500</v>
      </c>
      <c r="G50" s="2">
        <v>136500</v>
      </c>
      <c r="H50" s="2">
        <v>117000</v>
      </c>
      <c r="I50" s="2">
        <v>133000</v>
      </c>
      <c r="J50" s="2">
        <v>133000</v>
      </c>
      <c r="K50" s="2">
        <f t="shared" si="0"/>
        <v>-19500</v>
      </c>
    </row>
    <row r="51" spans="1:11" hidden="1" x14ac:dyDescent="0.2">
      <c r="A51" s="203" t="s">
        <v>365</v>
      </c>
      <c r="B51" s="2">
        <v>7</v>
      </c>
      <c r="C51" s="2">
        <v>19000</v>
      </c>
      <c r="D51" s="2">
        <f>ROUND(B51*C51,0)</f>
        <v>133000</v>
      </c>
      <c r="E51" s="2"/>
      <c r="F51" s="2"/>
      <c r="G51" s="2"/>
      <c r="H51" s="2"/>
      <c r="I51" s="2"/>
      <c r="J51" s="2"/>
      <c r="K51" s="2">
        <f t="shared" si="0"/>
        <v>0</v>
      </c>
    </row>
    <row r="52" spans="1:11" x14ac:dyDescent="0.2">
      <c r="A52" s="203"/>
      <c r="B52" s="203"/>
      <c r="C52" s="203"/>
      <c r="D52" s="2"/>
      <c r="E52" s="2"/>
      <c r="F52" s="2"/>
      <c r="G52" s="2"/>
      <c r="H52" s="2"/>
      <c r="I52" s="2"/>
      <c r="J52" s="2"/>
      <c r="K52" s="2">
        <f t="shared" si="0"/>
        <v>0</v>
      </c>
    </row>
    <row r="53" spans="1:11" ht="13.5" x14ac:dyDescent="0.25">
      <c r="A53" s="205" t="s">
        <v>1251</v>
      </c>
      <c r="B53" s="203"/>
      <c r="C53" s="203"/>
      <c r="D53" s="2"/>
      <c r="E53" s="2">
        <v>7143</v>
      </c>
      <c r="F53" s="2">
        <v>7560</v>
      </c>
      <c r="G53" s="2">
        <v>8663</v>
      </c>
      <c r="H53" s="2">
        <v>7425</v>
      </c>
      <c r="I53" s="2">
        <v>8663</v>
      </c>
      <c r="J53" s="2">
        <v>8663</v>
      </c>
      <c r="K53" s="2">
        <f t="shared" si="0"/>
        <v>-1238</v>
      </c>
    </row>
    <row r="54" spans="1:11" hidden="1" x14ac:dyDescent="0.2">
      <c r="A54" s="203" t="s">
        <v>365</v>
      </c>
      <c r="B54" s="2">
        <v>7</v>
      </c>
      <c r="C54" s="2">
        <v>1375</v>
      </c>
      <c r="D54" s="2">
        <f>ROUND(B54*C54,0)</f>
        <v>9625</v>
      </c>
      <c r="E54" s="2"/>
      <c r="F54" s="2"/>
      <c r="G54" s="2"/>
      <c r="H54" s="2"/>
      <c r="I54" s="2"/>
      <c r="J54" s="2"/>
      <c r="K54" s="2">
        <f t="shared" si="0"/>
        <v>0</v>
      </c>
    </row>
    <row r="55" spans="1:11" ht="15" hidden="1" x14ac:dyDescent="0.35">
      <c r="A55" s="203" t="s">
        <v>198</v>
      </c>
      <c r="B55" s="2"/>
      <c r="C55" s="2"/>
      <c r="D55" s="10">
        <f>+C54*-0.1*B54</f>
        <v>-962.5</v>
      </c>
      <c r="E55" s="2"/>
      <c r="F55" s="2"/>
      <c r="G55" s="2"/>
      <c r="H55" s="2"/>
      <c r="I55" s="2"/>
      <c r="J55" s="2"/>
      <c r="K55" s="2">
        <f t="shared" si="0"/>
        <v>0</v>
      </c>
    </row>
    <row r="56" spans="1:11" hidden="1" x14ac:dyDescent="0.2">
      <c r="A56" s="203" t="s">
        <v>683</v>
      </c>
      <c r="B56" s="2"/>
      <c r="C56" s="2"/>
      <c r="D56" s="2">
        <f>SUM(D54:D55)</f>
        <v>8662.5</v>
      </c>
      <c r="E56" s="2"/>
      <c r="F56" s="2"/>
      <c r="G56" s="2"/>
      <c r="H56" s="2"/>
      <c r="I56" s="2"/>
      <c r="J56" s="2"/>
      <c r="K56" s="2">
        <f t="shared" si="0"/>
        <v>0</v>
      </c>
    </row>
    <row r="57" spans="1:11" x14ac:dyDescent="0.2">
      <c r="A57" s="203"/>
      <c r="B57" s="2"/>
      <c r="C57" s="2"/>
      <c r="D57" s="2"/>
      <c r="E57" s="2"/>
      <c r="F57" s="2"/>
      <c r="G57" s="2"/>
      <c r="H57" s="2"/>
      <c r="I57" s="2"/>
      <c r="J57" s="2"/>
      <c r="K57" s="2">
        <f t="shared" si="0"/>
        <v>0</v>
      </c>
    </row>
    <row r="58" spans="1:11" ht="13.5" x14ac:dyDescent="0.25">
      <c r="A58" s="205" t="s">
        <v>924</v>
      </c>
      <c r="B58" s="203"/>
      <c r="C58" s="203"/>
      <c r="D58" s="2"/>
      <c r="E58" s="2">
        <v>632</v>
      </c>
      <c r="F58" s="2">
        <v>810</v>
      </c>
      <c r="G58" s="2">
        <v>945</v>
      </c>
      <c r="H58" s="2">
        <v>810</v>
      </c>
      <c r="I58" s="2">
        <v>945</v>
      </c>
      <c r="J58" s="2">
        <v>945</v>
      </c>
      <c r="K58" s="2">
        <f t="shared" si="0"/>
        <v>-135</v>
      </c>
    </row>
    <row r="59" spans="1:11" hidden="1" x14ac:dyDescent="0.2">
      <c r="A59" s="203" t="s">
        <v>365</v>
      </c>
      <c r="B59" s="2">
        <v>7</v>
      </c>
      <c r="C59" s="2">
        <v>135</v>
      </c>
      <c r="D59" s="2">
        <f>ROUND(B59*C59,0)</f>
        <v>945</v>
      </c>
      <c r="E59" s="2"/>
      <c r="F59" s="2"/>
      <c r="G59" s="2"/>
      <c r="H59" s="2"/>
      <c r="I59" s="2"/>
      <c r="J59" s="2"/>
      <c r="K59" s="2">
        <f t="shared" si="0"/>
        <v>0</v>
      </c>
    </row>
    <row r="60" spans="1:11" x14ac:dyDescent="0.2">
      <c r="A60" s="203"/>
      <c r="B60" s="203"/>
      <c r="C60" s="203"/>
      <c r="D60" s="2"/>
      <c r="E60" s="2"/>
      <c r="F60" s="2"/>
      <c r="G60" s="2"/>
      <c r="H60" s="2"/>
      <c r="I60" s="2"/>
      <c r="J60" s="2"/>
      <c r="K60" s="2">
        <f t="shared" si="0"/>
        <v>0</v>
      </c>
    </row>
    <row r="61" spans="1:11" ht="13.5" x14ac:dyDescent="0.25">
      <c r="A61" s="205" t="s">
        <v>925</v>
      </c>
      <c r="B61" s="203"/>
      <c r="C61" s="203"/>
      <c r="D61" s="2"/>
      <c r="E61" s="2">
        <v>3251</v>
      </c>
      <c r="F61" s="2">
        <v>3300</v>
      </c>
      <c r="G61" s="2">
        <v>3675</v>
      </c>
      <c r="H61" s="2">
        <v>3675</v>
      </c>
      <c r="I61" s="2">
        <v>3675</v>
      </c>
      <c r="J61" s="2">
        <v>3675</v>
      </c>
      <c r="K61" s="2">
        <f t="shared" si="0"/>
        <v>0</v>
      </c>
    </row>
    <row r="62" spans="1:11" hidden="1" x14ac:dyDescent="0.2">
      <c r="A62" s="203" t="s">
        <v>365</v>
      </c>
      <c r="B62" s="2">
        <v>7</v>
      </c>
      <c r="C62" s="2">
        <v>525</v>
      </c>
      <c r="D62" s="2">
        <f>ROUND(B62*C62,0)</f>
        <v>3675</v>
      </c>
      <c r="E62" s="2"/>
      <c r="F62" s="2"/>
      <c r="G62" s="2"/>
      <c r="H62" s="2"/>
      <c r="I62" s="2"/>
      <c r="J62" s="2"/>
      <c r="K62" s="2">
        <f t="shared" si="0"/>
        <v>0</v>
      </c>
    </row>
    <row r="63" spans="1:11" x14ac:dyDescent="0.2">
      <c r="A63" s="203"/>
      <c r="B63" s="203"/>
      <c r="C63" s="203"/>
      <c r="D63" s="2"/>
      <c r="E63" s="2"/>
      <c r="F63" s="2"/>
      <c r="G63" s="2"/>
      <c r="H63" s="2"/>
      <c r="I63" s="2"/>
      <c r="J63" s="2"/>
      <c r="K63" s="2">
        <f t="shared" si="0"/>
        <v>0</v>
      </c>
    </row>
    <row r="64" spans="1:11" ht="13.5" x14ac:dyDescent="0.25">
      <c r="A64" s="205" t="s">
        <v>486</v>
      </c>
      <c r="B64" s="203"/>
      <c r="C64" s="203"/>
      <c r="D64" s="2"/>
      <c r="E64" s="2">
        <v>417</v>
      </c>
      <c r="F64" s="2">
        <v>552</v>
      </c>
      <c r="G64" s="2">
        <v>575</v>
      </c>
      <c r="H64" s="2">
        <v>551</v>
      </c>
      <c r="I64" s="2">
        <v>596</v>
      </c>
      <c r="J64" s="2">
        <v>596</v>
      </c>
      <c r="K64" s="2">
        <f t="shared" si="0"/>
        <v>-24</v>
      </c>
    </row>
    <row r="65" spans="1:11" hidden="1" x14ac:dyDescent="0.2">
      <c r="A65" s="12" t="s">
        <v>153</v>
      </c>
      <c r="B65" s="2">
        <f>+D9</f>
        <v>85452</v>
      </c>
      <c r="C65" s="13">
        <v>1.74E-3</v>
      </c>
      <c r="D65" s="2">
        <f>ROUND(B65*C65,0)</f>
        <v>149</v>
      </c>
      <c r="E65" s="2"/>
      <c r="F65" s="2"/>
      <c r="G65" s="2"/>
      <c r="H65" s="2"/>
      <c r="I65" s="2"/>
      <c r="J65" s="2"/>
      <c r="K65" s="2">
        <f t="shared" si="0"/>
        <v>0</v>
      </c>
    </row>
    <row r="66" spans="1:11" hidden="1" x14ac:dyDescent="0.2">
      <c r="A66" s="12" t="s">
        <v>762</v>
      </c>
      <c r="B66" s="2">
        <f>+B45</f>
        <v>187720</v>
      </c>
      <c r="C66" s="13">
        <v>1.74E-3</v>
      </c>
      <c r="D66" s="2">
        <f>ROUND(B66*C66,0)-3</f>
        <v>324</v>
      </c>
      <c r="E66" s="2"/>
      <c r="F66" s="2"/>
      <c r="G66" s="2"/>
      <c r="H66" s="2"/>
      <c r="I66" s="2"/>
      <c r="J66" s="2"/>
      <c r="K66" s="2">
        <f t="shared" si="0"/>
        <v>0</v>
      </c>
    </row>
    <row r="67" spans="1:11" hidden="1" x14ac:dyDescent="0.2">
      <c r="A67" s="12" t="s">
        <v>1271</v>
      </c>
      <c r="B67" s="2">
        <f>+B46</f>
        <v>66326</v>
      </c>
      <c r="C67" s="13">
        <v>1.74E-3</v>
      </c>
      <c r="D67" s="2">
        <f>ROUND(B67*C67,0)</f>
        <v>115</v>
      </c>
      <c r="E67" s="2"/>
      <c r="F67" s="2"/>
      <c r="G67" s="2"/>
      <c r="H67" s="2"/>
      <c r="I67" s="2"/>
      <c r="J67" s="2"/>
      <c r="K67" s="2">
        <f t="shared" si="0"/>
        <v>0</v>
      </c>
    </row>
    <row r="68" spans="1:11" hidden="1" x14ac:dyDescent="0.2">
      <c r="A68" s="12" t="s">
        <v>155</v>
      </c>
      <c r="B68" s="2">
        <f>+B39</f>
        <v>2802</v>
      </c>
      <c r="C68" s="13">
        <v>1.74E-3</v>
      </c>
      <c r="D68" s="2">
        <f>ROUND(B68*C68,0)</f>
        <v>5</v>
      </c>
      <c r="E68" s="2"/>
      <c r="F68" s="2"/>
      <c r="G68" s="2"/>
      <c r="H68" s="2"/>
      <c r="I68" s="2"/>
      <c r="J68" s="2"/>
      <c r="K68" s="2">
        <f t="shared" si="0"/>
        <v>0</v>
      </c>
    </row>
    <row r="69" spans="1:11" ht="15" hidden="1" x14ac:dyDescent="0.35">
      <c r="A69" s="12" t="s">
        <v>1606</v>
      </c>
      <c r="B69" s="2">
        <f>+B40</f>
        <v>1440</v>
      </c>
      <c r="C69" s="13">
        <v>1.74E-3</v>
      </c>
      <c r="D69" s="10">
        <f>ROUND(B69*C69,0)</f>
        <v>3</v>
      </c>
      <c r="E69" s="2"/>
      <c r="F69" s="2"/>
      <c r="G69" s="2"/>
      <c r="H69" s="2"/>
      <c r="I69" s="2"/>
      <c r="J69" s="2"/>
      <c r="K69" s="2">
        <f t="shared" si="0"/>
        <v>0</v>
      </c>
    </row>
    <row r="70" spans="1:11" hidden="1" x14ac:dyDescent="0.2">
      <c r="A70" s="203" t="s">
        <v>1073</v>
      </c>
      <c r="B70" s="203"/>
      <c r="C70" s="203"/>
      <c r="D70" s="2">
        <f>SUM(D65:D69)</f>
        <v>596</v>
      </c>
      <c r="E70" s="2"/>
      <c r="F70" s="2"/>
      <c r="G70" s="2"/>
      <c r="H70" s="2"/>
      <c r="I70" s="2"/>
      <c r="J70" s="2"/>
      <c r="K70" s="2">
        <f t="shared" si="0"/>
        <v>0</v>
      </c>
    </row>
    <row r="71" spans="1:11" x14ac:dyDescent="0.2">
      <c r="A71" s="203"/>
      <c r="B71" s="203"/>
      <c r="C71" s="203"/>
      <c r="D71" s="2"/>
      <c r="E71" s="2"/>
      <c r="F71" s="2"/>
      <c r="G71" s="2"/>
      <c r="H71" s="2"/>
      <c r="I71" s="2"/>
      <c r="J71" s="2"/>
      <c r="K71" s="2">
        <f t="shared" si="0"/>
        <v>0</v>
      </c>
    </row>
    <row r="72" spans="1:11" ht="13.5" x14ac:dyDescent="0.25">
      <c r="A72" s="205" t="s">
        <v>1302</v>
      </c>
      <c r="B72" s="203"/>
      <c r="C72" s="203"/>
      <c r="D72" s="2"/>
      <c r="E72" s="2">
        <v>139</v>
      </c>
      <c r="F72" s="2">
        <v>143</v>
      </c>
      <c r="G72" s="2">
        <v>144</v>
      </c>
      <c r="H72" s="2">
        <v>144</v>
      </c>
      <c r="I72" s="2">
        <v>144</v>
      </c>
      <c r="J72" s="2">
        <v>144</v>
      </c>
      <c r="K72" s="2">
        <f t="shared" si="0"/>
        <v>0</v>
      </c>
    </row>
    <row r="73" spans="1:11" hidden="1" x14ac:dyDescent="0.2">
      <c r="A73" s="12" t="s">
        <v>1682</v>
      </c>
      <c r="B73" s="2">
        <v>0</v>
      </c>
      <c r="C73" s="2">
        <v>20</v>
      </c>
      <c r="D73" s="2">
        <f>ROUND(B73*C73,0)</f>
        <v>0</v>
      </c>
      <c r="E73" s="2"/>
      <c r="F73" s="2"/>
      <c r="G73" s="2"/>
      <c r="H73" s="2"/>
      <c r="I73" s="2"/>
      <c r="J73" s="2"/>
      <c r="K73" s="2">
        <f t="shared" si="0"/>
        <v>0</v>
      </c>
    </row>
    <row r="74" spans="1:11" hidden="1" x14ac:dyDescent="0.2">
      <c r="A74" s="12" t="s">
        <v>762</v>
      </c>
      <c r="B74" s="2">
        <v>5</v>
      </c>
      <c r="C74" s="2">
        <v>20</v>
      </c>
      <c r="D74" s="2">
        <f>ROUND(B74*C74,0)</f>
        <v>100</v>
      </c>
      <c r="E74" s="2"/>
      <c r="F74" s="2"/>
      <c r="G74" s="2"/>
      <c r="H74" s="2"/>
      <c r="I74" s="2"/>
      <c r="J74" s="2"/>
      <c r="K74" s="2">
        <f t="shared" si="0"/>
        <v>0</v>
      </c>
    </row>
    <row r="75" spans="1:11" hidden="1" x14ac:dyDescent="0.2">
      <c r="A75" s="12" t="s">
        <v>1271</v>
      </c>
      <c r="B75" s="2">
        <v>1</v>
      </c>
      <c r="C75" s="2">
        <v>20</v>
      </c>
      <c r="D75" s="2">
        <f>ROUND(B75*C75,0)</f>
        <v>20</v>
      </c>
      <c r="E75" s="2"/>
      <c r="F75" s="2"/>
      <c r="G75" s="2"/>
      <c r="H75" s="2"/>
      <c r="I75" s="2"/>
      <c r="J75" s="2"/>
      <c r="K75" s="2">
        <f t="shared" si="0"/>
        <v>0</v>
      </c>
    </row>
    <row r="76" spans="1:11" hidden="1" x14ac:dyDescent="0.2">
      <c r="A76" s="12" t="s">
        <v>1683</v>
      </c>
      <c r="B76" s="2">
        <f>+D28+D29</f>
        <v>2802</v>
      </c>
      <c r="C76" s="13">
        <v>1.4E-3</v>
      </c>
      <c r="D76" s="2">
        <f>ROUND(B76*C76,0)</f>
        <v>4</v>
      </c>
      <c r="E76" s="2"/>
      <c r="F76" s="2"/>
      <c r="G76" s="2"/>
      <c r="H76" s="2"/>
      <c r="I76" s="2"/>
      <c r="J76" s="2"/>
      <c r="K76" s="2">
        <f t="shared" ref="K76:K78" si="2">+H76-G76</f>
        <v>0</v>
      </c>
    </row>
    <row r="77" spans="1:11" hidden="1" x14ac:dyDescent="0.2">
      <c r="A77" s="12" t="s">
        <v>155</v>
      </c>
      <c r="B77" s="2">
        <v>1</v>
      </c>
      <c r="C77" s="2">
        <v>20</v>
      </c>
      <c r="D77" s="17">
        <f>ROUND(B77*C77,0)</f>
        <v>20</v>
      </c>
      <c r="E77" s="2"/>
      <c r="F77" s="2"/>
      <c r="G77" s="2"/>
      <c r="H77" s="2"/>
      <c r="I77" s="2"/>
      <c r="J77" s="2"/>
      <c r="K77" s="2">
        <f t="shared" si="2"/>
        <v>0</v>
      </c>
    </row>
    <row r="78" spans="1:11" hidden="1" x14ac:dyDescent="0.2">
      <c r="A78" s="203" t="s">
        <v>1073</v>
      </c>
      <c r="B78" s="203"/>
      <c r="C78" s="203"/>
      <c r="D78" s="2">
        <f>SUM(D73:D77)</f>
        <v>144</v>
      </c>
      <c r="E78" s="2"/>
      <c r="F78" s="2"/>
      <c r="G78" s="2"/>
      <c r="H78" s="2"/>
      <c r="I78" s="2"/>
      <c r="J78" s="2"/>
      <c r="K78" s="2">
        <f t="shared" si="2"/>
        <v>0</v>
      </c>
    </row>
    <row r="79" spans="1:11" x14ac:dyDescent="0.2">
      <c r="A79" s="203" t="s">
        <v>2077</v>
      </c>
      <c r="B79" s="203"/>
      <c r="C79" s="203"/>
      <c r="D79" s="2"/>
      <c r="E79" s="2"/>
      <c r="F79" s="2"/>
      <c r="G79" s="2">
        <v>40372</v>
      </c>
      <c r="H79" s="2">
        <v>0</v>
      </c>
      <c r="I79" s="2">
        <v>0</v>
      </c>
      <c r="J79" s="2">
        <v>0</v>
      </c>
    </row>
    <row r="80" spans="1:11" x14ac:dyDescent="0.2">
      <c r="A80" s="203"/>
      <c r="B80" s="203"/>
      <c r="C80" s="203"/>
      <c r="D80" s="2"/>
      <c r="E80" s="2"/>
      <c r="F80" s="2"/>
      <c r="G80" s="2"/>
      <c r="H80" s="2"/>
      <c r="I80" s="2"/>
      <c r="J80" s="2"/>
    </row>
    <row r="81" spans="1:10" ht="13.5" x14ac:dyDescent="0.25">
      <c r="A81" s="205" t="s">
        <v>321</v>
      </c>
      <c r="B81" s="203"/>
      <c r="C81" s="203"/>
      <c r="D81" s="2"/>
      <c r="E81" s="2">
        <v>6539</v>
      </c>
      <c r="F81" s="2">
        <v>6811</v>
      </c>
      <c r="G81" s="2">
        <v>6811</v>
      </c>
      <c r="H81" s="2">
        <v>6811</v>
      </c>
      <c r="I81" s="2">
        <v>6811</v>
      </c>
      <c r="J81" s="2">
        <v>6811</v>
      </c>
    </row>
    <row r="82" spans="1:10" x14ac:dyDescent="0.2">
      <c r="A82" s="203" t="s">
        <v>322</v>
      </c>
      <c r="B82" s="203"/>
      <c r="C82" s="2"/>
      <c r="D82" s="2">
        <v>150</v>
      </c>
      <c r="E82" s="2"/>
      <c r="F82" s="2"/>
      <c r="G82" s="2"/>
      <c r="H82" s="2"/>
      <c r="I82" s="2"/>
      <c r="J82" s="2"/>
    </row>
    <row r="83" spans="1:10" x14ac:dyDescent="0.2">
      <c r="A83" s="203" t="s">
        <v>605</v>
      </c>
      <c r="B83" s="203"/>
      <c r="C83" s="2"/>
      <c r="D83" s="2">
        <v>500</v>
      </c>
      <c r="E83" s="2"/>
      <c r="F83" s="2"/>
      <c r="G83" s="2"/>
      <c r="H83" s="2"/>
      <c r="I83" s="2"/>
      <c r="J83" s="2"/>
    </row>
    <row r="84" spans="1:10" x14ac:dyDescent="0.2">
      <c r="A84" s="203" t="s">
        <v>1286</v>
      </c>
      <c r="B84" s="203"/>
      <c r="C84" s="2"/>
      <c r="D84" s="2">
        <v>2745</v>
      </c>
      <c r="E84" s="2"/>
      <c r="F84" s="2"/>
      <c r="G84" s="2"/>
      <c r="H84" s="2"/>
      <c r="I84" s="2"/>
      <c r="J84" s="2"/>
    </row>
    <row r="85" spans="1:10" x14ac:dyDescent="0.2">
      <c r="A85" s="203" t="s">
        <v>323</v>
      </c>
      <c r="B85" s="203"/>
      <c r="C85" s="2"/>
      <c r="D85" s="2">
        <v>2411</v>
      </c>
      <c r="E85" s="2"/>
      <c r="F85" s="2"/>
      <c r="G85" s="2"/>
      <c r="H85" s="2"/>
      <c r="I85" s="2"/>
      <c r="J85" s="2"/>
    </row>
    <row r="86" spans="1:10" x14ac:dyDescent="0.2">
      <c r="A86" s="203" t="s">
        <v>227</v>
      </c>
      <c r="B86" s="203"/>
      <c r="C86" s="2"/>
      <c r="D86" s="2">
        <v>250</v>
      </c>
      <c r="E86" s="2"/>
      <c r="F86" s="2"/>
      <c r="G86" s="2"/>
      <c r="H86" s="2"/>
      <c r="I86" s="2"/>
      <c r="J86" s="2"/>
    </row>
    <row r="87" spans="1:10" ht="15" x14ac:dyDescent="0.35">
      <c r="A87" s="203" t="s">
        <v>902</v>
      </c>
      <c r="B87" s="203"/>
      <c r="C87" s="10"/>
      <c r="D87" s="10">
        <v>755</v>
      </c>
      <c r="E87" s="2"/>
      <c r="F87" s="2"/>
      <c r="G87" s="2"/>
      <c r="H87" s="2"/>
      <c r="I87" s="2"/>
      <c r="J87" s="2"/>
    </row>
    <row r="88" spans="1:10" x14ac:dyDescent="0.2">
      <c r="A88" s="203" t="s">
        <v>1073</v>
      </c>
      <c r="B88" s="203"/>
      <c r="C88" s="2"/>
      <c r="D88" s="2">
        <f>SUM(D82:D87)</f>
        <v>6811</v>
      </c>
      <c r="E88" s="2"/>
      <c r="F88" s="2"/>
      <c r="G88" s="2"/>
      <c r="H88" s="2"/>
      <c r="I88" s="2"/>
      <c r="J88" s="2"/>
    </row>
    <row r="89" spans="1:10" x14ac:dyDescent="0.2">
      <c r="A89" s="203"/>
      <c r="B89" s="203"/>
      <c r="C89" s="2"/>
      <c r="D89" s="2"/>
      <c r="E89" s="2"/>
      <c r="F89" s="2"/>
      <c r="G89" s="2"/>
      <c r="H89" s="2"/>
      <c r="I89" s="2"/>
      <c r="J89" s="2"/>
    </row>
    <row r="90" spans="1:10" ht="13.5" x14ac:dyDescent="0.25">
      <c r="A90" s="205" t="s">
        <v>324</v>
      </c>
      <c r="B90" s="203"/>
      <c r="C90" s="2"/>
      <c r="D90" s="2"/>
      <c r="E90" s="2">
        <v>3363</v>
      </c>
      <c r="F90" s="2">
        <v>3200</v>
      </c>
      <c r="G90" s="2">
        <v>4000</v>
      </c>
      <c r="H90" s="2">
        <v>4000</v>
      </c>
      <c r="I90" s="2">
        <v>4000</v>
      </c>
      <c r="J90" s="2">
        <v>4000</v>
      </c>
    </row>
    <row r="91" spans="1:10" x14ac:dyDescent="0.2">
      <c r="A91" s="203" t="s">
        <v>325</v>
      </c>
      <c r="B91" s="203"/>
      <c r="C91" s="2"/>
      <c r="D91" s="2">
        <v>4000</v>
      </c>
      <c r="E91" s="2"/>
      <c r="F91" s="2"/>
      <c r="G91" s="2"/>
      <c r="H91" s="2"/>
      <c r="I91" s="2"/>
      <c r="J91" s="2"/>
    </row>
    <row r="92" spans="1:10" x14ac:dyDescent="0.2">
      <c r="A92" s="203"/>
      <c r="B92" s="203"/>
      <c r="C92" s="2"/>
      <c r="D92" s="2"/>
      <c r="E92" s="2"/>
      <c r="F92" s="2"/>
      <c r="G92" s="2"/>
      <c r="H92" s="2"/>
      <c r="I92" s="2"/>
      <c r="J92" s="2"/>
    </row>
    <row r="93" spans="1:10" ht="13.5" x14ac:dyDescent="0.25">
      <c r="A93" s="205" t="s">
        <v>326</v>
      </c>
      <c r="B93" s="203"/>
      <c r="C93" s="2"/>
      <c r="D93" s="2"/>
      <c r="E93" s="2">
        <v>36773</v>
      </c>
      <c r="F93" s="2">
        <v>30000</v>
      </c>
      <c r="G93" s="2">
        <v>39000</v>
      </c>
      <c r="H93" s="2">
        <v>39000</v>
      </c>
      <c r="I93" s="2">
        <v>39000</v>
      </c>
      <c r="J93" s="2">
        <v>39000</v>
      </c>
    </row>
    <row r="94" spans="1:10" x14ac:dyDescent="0.2">
      <c r="A94" s="22" t="s">
        <v>918</v>
      </c>
      <c r="B94" s="5"/>
      <c r="C94" s="2"/>
      <c r="D94" s="2" t="s">
        <v>345</v>
      </c>
      <c r="E94" s="2"/>
      <c r="F94" s="2"/>
      <c r="G94" s="2"/>
      <c r="H94" s="2"/>
      <c r="I94" s="2"/>
      <c r="J94" s="2"/>
    </row>
    <row r="95" spans="1:10" x14ac:dyDescent="0.2">
      <c r="A95" s="203" t="s">
        <v>919</v>
      </c>
      <c r="B95" s="2"/>
      <c r="C95" s="2"/>
      <c r="D95" s="2">
        <v>39000</v>
      </c>
      <c r="E95" s="2"/>
      <c r="F95" s="2"/>
      <c r="G95" s="2"/>
      <c r="H95" s="2"/>
      <c r="I95" s="2"/>
      <c r="J95" s="2"/>
    </row>
    <row r="96" spans="1:10" x14ac:dyDescent="0.2">
      <c r="A96" s="203"/>
      <c r="B96" s="203"/>
      <c r="C96" s="2"/>
      <c r="D96" s="2"/>
      <c r="E96" s="2"/>
      <c r="F96" s="2"/>
      <c r="G96" s="2"/>
      <c r="H96" s="2"/>
      <c r="I96" s="2"/>
      <c r="J96" s="2"/>
    </row>
    <row r="97" spans="1:10" ht="13.5" x14ac:dyDescent="0.25">
      <c r="A97" s="205" t="s">
        <v>841</v>
      </c>
      <c r="B97" s="2"/>
      <c r="C97" s="7"/>
      <c r="D97" s="7" t="s">
        <v>345</v>
      </c>
      <c r="E97" s="2">
        <v>1836</v>
      </c>
      <c r="F97" s="2">
        <v>2000</v>
      </c>
      <c r="G97" s="2">
        <v>2000</v>
      </c>
      <c r="H97" s="2">
        <v>2000</v>
      </c>
      <c r="I97" s="2">
        <v>2000</v>
      </c>
      <c r="J97" s="2">
        <v>2000</v>
      </c>
    </row>
    <row r="98" spans="1:10" x14ac:dyDescent="0.2">
      <c r="A98" s="203" t="s">
        <v>811</v>
      </c>
      <c r="B98" s="2"/>
      <c r="C98" s="2"/>
      <c r="D98" s="2">
        <v>2000</v>
      </c>
      <c r="E98" s="2"/>
      <c r="F98" s="2"/>
      <c r="G98" s="2"/>
      <c r="H98" s="2"/>
      <c r="I98" s="2"/>
      <c r="J98" s="2"/>
    </row>
    <row r="99" spans="1:10" x14ac:dyDescent="0.2">
      <c r="A99" s="203"/>
      <c r="B99" s="2"/>
      <c r="C99" s="2"/>
      <c r="D99" s="2"/>
      <c r="E99" s="2"/>
      <c r="F99" s="2"/>
      <c r="G99" s="2"/>
      <c r="H99" s="2"/>
      <c r="I99" s="2"/>
      <c r="J99" s="2"/>
    </row>
    <row r="100" spans="1:10" ht="13.5" x14ac:dyDescent="0.25">
      <c r="A100" s="205" t="s">
        <v>842</v>
      </c>
      <c r="B100" s="203"/>
      <c r="C100" s="2"/>
      <c r="D100" s="2"/>
      <c r="E100" s="2">
        <v>335</v>
      </c>
      <c r="F100" s="2">
        <v>300</v>
      </c>
      <c r="G100" s="2">
        <v>335</v>
      </c>
      <c r="H100" s="2">
        <v>335</v>
      </c>
      <c r="I100" s="2">
        <v>335</v>
      </c>
      <c r="J100" s="2">
        <v>335</v>
      </c>
    </row>
    <row r="101" spans="1:10" x14ac:dyDescent="0.2">
      <c r="A101" s="5" t="s">
        <v>1088</v>
      </c>
      <c r="B101" s="5"/>
      <c r="C101" s="203"/>
      <c r="D101" s="2">
        <v>335</v>
      </c>
      <c r="E101" s="2"/>
      <c r="F101" s="2"/>
      <c r="G101" s="2"/>
      <c r="H101" s="2"/>
      <c r="I101" s="2"/>
      <c r="J101" s="2"/>
    </row>
    <row r="102" spans="1:10" x14ac:dyDescent="0.2">
      <c r="A102" s="203"/>
      <c r="B102" s="203"/>
      <c r="C102" s="2"/>
      <c r="D102" s="2"/>
      <c r="E102" s="2"/>
      <c r="F102" s="2"/>
      <c r="G102" s="2"/>
      <c r="H102" s="2"/>
      <c r="I102" s="2"/>
      <c r="J102" s="2"/>
    </row>
    <row r="103" spans="1:10" ht="13.5" x14ac:dyDescent="0.25">
      <c r="A103" s="16" t="s">
        <v>1139</v>
      </c>
      <c r="B103" s="203"/>
      <c r="C103" s="2"/>
      <c r="D103" s="2"/>
      <c r="E103" s="2">
        <v>2845</v>
      </c>
      <c r="F103" s="2">
        <v>2892</v>
      </c>
      <c r="G103" s="2">
        <v>3461</v>
      </c>
      <c r="H103" s="2">
        <v>3461</v>
      </c>
      <c r="I103" s="2">
        <v>3461</v>
      </c>
      <c r="J103" s="2">
        <v>3461</v>
      </c>
    </row>
    <row r="104" spans="1:10" x14ac:dyDescent="0.2">
      <c r="A104" s="203" t="s">
        <v>1140</v>
      </c>
      <c r="B104" s="203"/>
      <c r="C104" s="203"/>
      <c r="D104" s="107">
        <v>3461</v>
      </c>
      <c r="E104" s="2"/>
      <c r="F104" s="2"/>
      <c r="G104" s="2"/>
      <c r="H104" s="2"/>
      <c r="I104" s="2"/>
      <c r="J104" s="2"/>
    </row>
    <row r="105" spans="1:10" x14ac:dyDescent="0.2">
      <c r="A105" s="203"/>
      <c r="B105" s="203"/>
      <c r="C105" s="2"/>
      <c r="D105" s="2"/>
      <c r="E105" s="2"/>
      <c r="F105" s="2"/>
      <c r="G105" s="2"/>
      <c r="H105" s="2"/>
      <c r="I105" s="2"/>
      <c r="J105" s="2"/>
    </row>
    <row r="106" spans="1:10" ht="13.5" x14ac:dyDescent="0.25">
      <c r="A106" s="205" t="s">
        <v>909</v>
      </c>
      <c r="B106" s="203"/>
      <c r="C106" s="7"/>
      <c r="D106" s="7"/>
      <c r="E106" s="2">
        <v>93</v>
      </c>
      <c r="F106" s="2">
        <v>675</v>
      </c>
      <c r="G106" s="2">
        <v>675</v>
      </c>
      <c r="H106" s="2">
        <v>675</v>
      </c>
      <c r="I106" s="2">
        <v>675</v>
      </c>
      <c r="J106" s="2">
        <v>675</v>
      </c>
    </row>
    <row r="107" spans="1:10" x14ac:dyDescent="0.2">
      <c r="A107" s="203" t="s">
        <v>1068</v>
      </c>
      <c r="B107" s="203"/>
      <c r="C107" s="2"/>
      <c r="D107" s="2">
        <v>0</v>
      </c>
      <c r="E107" s="2"/>
      <c r="F107" s="2"/>
      <c r="G107" s="2"/>
      <c r="H107" s="2"/>
      <c r="I107" s="2"/>
      <c r="J107" s="2"/>
    </row>
    <row r="108" spans="1:10" x14ac:dyDescent="0.2">
      <c r="A108" s="203" t="s">
        <v>718</v>
      </c>
      <c r="B108" s="203"/>
      <c r="C108" s="2"/>
      <c r="D108" s="2">
        <v>125</v>
      </c>
      <c r="E108" s="2"/>
      <c r="F108" s="2"/>
      <c r="G108" s="2"/>
      <c r="H108" s="2"/>
      <c r="I108" s="2"/>
      <c r="J108" s="2"/>
    </row>
    <row r="109" spans="1:10" x14ac:dyDescent="0.2">
      <c r="A109" s="203" t="s">
        <v>719</v>
      </c>
      <c r="B109" s="203"/>
      <c r="C109" s="2"/>
      <c r="D109" s="2">
        <v>125</v>
      </c>
      <c r="E109" s="2"/>
      <c r="F109" s="2"/>
      <c r="G109" s="2"/>
      <c r="H109" s="2"/>
      <c r="I109" s="2"/>
      <c r="J109" s="2"/>
    </row>
    <row r="110" spans="1:10" x14ac:dyDescent="0.2">
      <c r="A110" s="203" t="s">
        <v>720</v>
      </c>
      <c r="B110" s="203"/>
      <c r="C110" s="2"/>
      <c r="D110" s="2">
        <v>50</v>
      </c>
      <c r="E110" s="2"/>
      <c r="F110" s="2"/>
      <c r="G110" s="2"/>
      <c r="H110" s="2"/>
      <c r="I110" s="2"/>
      <c r="J110" s="2"/>
    </row>
    <row r="111" spans="1:10" x14ac:dyDescent="0.2">
      <c r="A111" s="203" t="s">
        <v>721</v>
      </c>
      <c r="B111" s="203"/>
      <c r="C111" s="2"/>
      <c r="D111" s="2">
        <v>150</v>
      </c>
      <c r="E111" s="2"/>
      <c r="F111" s="2"/>
      <c r="G111" s="2"/>
      <c r="H111" s="2"/>
      <c r="I111" s="2"/>
      <c r="J111" s="2"/>
    </row>
    <row r="112" spans="1:10" x14ac:dyDescent="0.2">
      <c r="A112" s="203" t="s">
        <v>1368</v>
      </c>
      <c r="B112" s="203"/>
      <c r="C112" s="2"/>
      <c r="D112" s="2">
        <v>125</v>
      </c>
      <c r="E112" s="2"/>
      <c r="F112" s="2"/>
      <c r="G112" s="2"/>
      <c r="H112" s="2"/>
      <c r="I112" s="2"/>
      <c r="J112" s="2"/>
    </row>
    <row r="113" spans="1:10" ht="15" x14ac:dyDescent="0.35">
      <c r="A113" s="203" t="s">
        <v>722</v>
      </c>
      <c r="B113" s="203"/>
      <c r="C113" s="10"/>
      <c r="D113" s="10">
        <v>100</v>
      </c>
      <c r="E113" s="2"/>
      <c r="F113" s="2"/>
      <c r="G113" s="2"/>
      <c r="H113" s="2"/>
      <c r="I113" s="2"/>
      <c r="J113" s="2"/>
    </row>
    <row r="114" spans="1:10" x14ac:dyDescent="0.2">
      <c r="A114" s="203" t="s">
        <v>1073</v>
      </c>
      <c r="B114" s="203"/>
      <c r="C114" s="2"/>
      <c r="D114" s="2">
        <f>SUM(D107:D113)</f>
        <v>675</v>
      </c>
      <c r="E114" s="2"/>
      <c r="F114" s="2"/>
      <c r="G114" s="2"/>
      <c r="H114" s="2"/>
      <c r="I114" s="2"/>
      <c r="J114" s="2"/>
    </row>
    <row r="115" spans="1:10" x14ac:dyDescent="0.2">
      <c r="A115" s="203"/>
      <c r="B115" s="203"/>
      <c r="C115" s="2"/>
      <c r="D115" s="2"/>
      <c r="E115" s="2"/>
      <c r="F115" s="2"/>
      <c r="G115" s="2"/>
      <c r="H115" s="2"/>
      <c r="I115" s="2"/>
      <c r="J115" s="2"/>
    </row>
    <row r="116" spans="1:10" ht="13.5" x14ac:dyDescent="0.25">
      <c r="A116" s="205" t="s">
        <v>408</v>
      </c>
      <c r="B116" s="203"/>
      <c r="C116" s="2"/>
      <c r="D116" s="2"/>
      <c r="E116" s="2">
        <v>16119</v>
      </c>
      <c r="F116" s="2">
        <v>15047</v>
      </c>
      <c r="G116" s="2">
        <v>16298</v>
      </c>
      <c r="H116" s="2">
        <v>16298</v>
      </c>
      <c r="I116" s="2">
        <v>16298</v>
      </c>
      <c r="J116" s="2">
        <v>16298</v>
      </c>
    </row>
    <row r="117" spans="1:10" x14ac:dyDescent="0.2">
      <c r="A117" s="203" t="s">
        <v>69</v>
      </c>
      <c r="B117" s="203"/>
      <c r="C117" s="203"/>
      <c r="D117" s="2">
        <v>7112</v>
      </c>
      <c r="E117" s="2"/>
      <c r="F117" s="2"/>
      <c r="G117" s="2"/>
      <c r="H117" s="2"/>
      <c r="I117" s="2"/>
      <c r="J117" s="2"/>
    </row>
    <row r="118" spans="1:10" x14ac:dyDescent="0.2">
      <c r="A118" s="203" t="s">
        <v>70</v>
      </c>
      <c r="B118" s="203"/>
      <c r="C118" s="203"/>
      <c r="D118" s="2">
        <v>6726</v>
      </c>
      <c r="E118" s="2"/>
      <c r="F118" s="2"/>
      <c r="G118" s="2"/>
      <c r="H118" s="2"/>
      <c r="I118" s="2"/>
      <c r="J118" s="2"/>
    </row>
    <row r="119" spans="1:10" x14ac:dyDescent="0.2">
      <c r="A119" s="203" t="s">
        <v>2011</v>
      </c>
      <c r="B119" s="203"/>
      <c r="C119" s="203"/>
      <c r="D119" s="2">
        <v>600</v>
      </c>
      <c r="E119" s="2"/>
      <c r="F119" s="2"/>
      <c r="G119" s="2"/>
      <c r="H119" s="2"/>
      <c r="I119" s="2"/>
      <c r="J119" s="2"/>
    </row>
    <row r="120" spans="1:10" x14ac:dyDescent="0.2">
      <c r="A120" s="203" t="s">
        <v>1704</v>
      </c>
      <c r="B120" s="203"/>
      <c r="C120" s="203"/>
      <c r="D120" s="2">
        <v>240</v>
      </c>
      <c r="E120" s="2"/>
      <c r="F120" s="2"/>
      <c r="G120" s="2"/>
      <c r="H120" s="2"/>
      <c r="I120" s="2"/>
      <c r="J120" s="2"/>
    </row>
    <row r="121" spans="1:10" x14ac:dyDescent="0.2">
      <c r="A121" s="203" t="s">
        <v>730</v>
      </c>
      <c r="B121" s="203"/>
      <c r="C121" s="203"/>
      <c r="D121" s="2">
        <v>870</v>
      </c>
      <c r="E121" s="2"/>
      <c r="F121" s="2"/>
      <c r="G121" s="2"/>
      <c r="H121" s="2"/>
      <c r="I121" s="2"/>
      <c r="J121" s="2"/>
    </row>
    <row r="122" spans="1:10" ht="15" x14ac:dyDescent="0.35">
      <c r="A122" s="203" t="s">
        <v>487</v>
      </c>
      <c r="B122" s="203"/>
      <c r="C122" s="203"/>
      <c r="D122" s="10">
        <v>750</v>
      </c>
      <c r="E122" s="2"/>
      <c r="F122" s="2"/>
      <c r="G122" s="2"/>
      <c r="H122" s="2"/>
      <c r="I122" s="2"/>
      <c r="J122" s="2"/>
    </row>
    <row r="123" spans="1:10" x14ac:dyDescent="0.2">
      <c r="A123" s="203" t="s">
        <v>1073</v>
      </c>
      <c r="B123" s="203"/>
      <c r="C123" s="203"/>
      <c r="D123" s="2">
        <f>SUM(D117:D122)</f>
        <v>16298</v>
      </c>
      <c r="E123" s="2"/>
      <c r="F123" s="2"/>
      <c r="G123" s="2"/>
      <c r="H123" s="2"/>
      <c r="I123" s="2"/>
      <c r="J123" s="2"/>
    </row>
    <row r="124" spans="1:10" x14ac:dyDescent="0.2">
      <c r="A124" s="203"/>
      <c r="B124" s="203"/>
      <c r="C124" s="2"/>
      <c r="D124" s="2"/>
      <c r="E124" s="2"/>
      <c r="F124" s="2"/>
      <c r="G124" s="2"/>
      <c r="H124" s="2"/>
      <c r="I124" s="2"/>
      <c r="J124" s="2"/>
    </row>
    <row r="125" spans="1:10" ht="13.5" x14ac:dyDescent="0.25">
      <c r="A125" s="205" t="s">
        <v>1255</v>
      </c>
      <c r="B125" s="203"/>
      <c r="C125" s="2"/>
      <c r="D125" s="2"/>
      <c r="E125" s="2">
        <v>640</v>
      </c>
      <c r="F125" s="2">
        <v>2605</v>
      </c>
      <c r="G125" s="2">
        <v>2605</v>
      </c>
      <c r="H125" s="2">
        <v>2605</v>
      </c>
      <c r="I125" s="2">
        <v>2605</v>
      </c>
      <c r="J125" s="2">
        <v>2605</v>
      </c>
    </row>
    <row r="126" spans="1:10" x14ac:dyDescent="0.2">
      <c r="A126" s="203" t="s">
        <v>718</v>
      </c>
      <c r="B126" s="203"/>
      <c r="C126" s="203"/>
      <c r="D126" s="2">
        <v>880</v>
      </c>
      <c r="E126" s="2"/>
      <c r="F126" s="2"/>
      <c r="G126" s="2"/>
      <c r="H126" s="2"/>
      <c r="I126" s="2"/>
      <c r="J126" s="2"/>
    </row>
    <row r="127" spans="1:10" x14ac:dyDescent="0.2">
      <c r="A127" s="203" t="s">
        <v>719</v>
      </c>
      <c r="B127" s="203"/>
      <c r="C127" s="203"/>
      <c r="D127" s="2">
        <v>880</v>
      </c>
      <c r="E127" s="2"/>
      <c r="F127" s="2"/>
      <c r="G127" s="2"/>
      <c r="H127" s="2"/>
      <c r="I127" s="2"/>
      <c r="J127" s="2"/>
    </row>
    <row r="128" spans="1:10" x14ac:dyDescent="0.2">
      <c r="A128" s="203" t="s">
        <v>577</v>
      </c>
      <c r="B128" s="203"/>
      <c r="C128" s="203"/>
      <c r="D128" s="2">
        <v>325</v>
      </c>
      <c r="E128" s="2"/>
      <c r="F128" s="2"/>
      <c r="G128" s="2"/>
      <c r="H128" s="2"/>
      <c r="I128" s="2"/>
      <c r="J128" s="2"/>
    </row>
    <row r="129" spans="1:10" x14ac:dyDescent="0.2">
      <c r="A129" s="203" t="s">
        <v>609</v>
      </c>
      <c r="B129" s="203"/>
      <c r="C129" s="203"/>
      <c r="D129" s="2">
        <v>120</v>
      </c>
      <c r="E129" s="2"/>
      <c r="F129" s="2"/>
      <c r="G129" s="2"/>
      <c r="H129" s="2"/>
      <c r="I129" s="2"/>
      <c r="J129" s="2"/>
    </row>
    <row r="130" spans="1:10" ht="15" x14ac:dyDescent="0.35">
      <c r="A130" s="203" t="s">
        <v>1630</v>
      </c>
      <c r="B130" s="203"/>
      <c r="C130" s="203"/>
      <c r="D130" s="10">
        <v>400</v>
      </c>
      <c r="E130" s="2"/>
      <c r="F130" s="2"/>
      <c r="G130" s="2"/>
      <c r="H130" s="2"/>
      <c r="I130" s="2"/>
      <c r="J130" s="2"/>
    </row>
    <row r="131" spans="1:10" x14ac:dyDescent="0.2">
      <c r="A131" s="203" t="s">
        <v>1073</v>
      </c>
      <c r="B131" s="203"/>
      <c r="C131" s="203"/>
      <c r="D131" s="2">
        <f>SUM(D126:D130)</f>
        <v>2605</v>
      </c>
      <c r="E131" s="2"/>
      <c r="F131" s="2"/>
      <c r="G131" s="2"/>
      <c r="H131" s="2"/>
      <c r="I131" s="2"/>
      <c r="J131" s="2"/>
    </row>
    <row r="132" spans="1:10" x14ac:dyDescent="0.2">
      <c r="A132" s="203"/>
      <c r="B132" s="203"/>
      <c r="C132" s="2"/>
      <c r="D132" s="2"/>
      <c r="E132" s="2"/>
      <c r="F132" s="2"/>
      <c r="G132" s="2"/>
      <c r="H132" s="2"/>
      <c r="I132" s="2"/>
      <c r="J132" s="2"/>
    </row>
    <row r="133" spans="1:10" ht="13.5" x14ac:dyDescent="0.25">
      <c r="A133" s="205" t="s">
        <v>1256</v>
      </c>
      <c r="B133" s="203"/>
      <c r="C133" s="2"/>
      <c r="D133" s="2"/>
      <c r="E133" s="2">
        <v>7161</v>
      </c>
      <c r="F133" s="2">
        <v>9600</v>
      </c>
      <c r="G133" s="2">
        <v>9600</v>
      </c>
      <c r="H133" s="2">
        <v>9600</v>
      </c>
      <c r="I133" s="2">
        <v>9600</v>
      </c>
      <c r="J133" s="2">
        <v>9600</v>
      </c>
    </row>
    <row r="134" spans="1:10" x14ac:dyDescent="0.2">
      <c r="A134" s="203" t="s">
        <v>389</v>
      </c>
      <c r="B134" s="203"/>
      <c r="C134" s="2" t="s">
        <v>345</v>
      </c>
      <c r="D134" s="2"/>
      <c r="E134" s="2"/>
      <c r="F134" s="2"/>
      <c r="G134" s="2"/>
      <c r="H134" s="2"/>
      <c r="I134" s="2"/>
      <c r="J134" s="2"/>
    </row>
    <row r="135" spans="1:10" x14ac:dyDescent="0.2">
      <c r="A135" s="203" t="s">
        <v>588</v>
      </c>
      <c r="B135" s="203"/>
      <c r="C135" s="203"/>
      <c r="D135" s="2">
        <v>9600</v>
      </c>
      <c r="E135" s="2"/>
      <c r="F135" s="2"/>
      <c r="G135" s="2"/>
      <c r="H135" s="2"/>
      <c r="I135" s="2"/>
      <c r="J135" s="2"/>
    </row>
    <row r="136" spans="1:10" x14ac:dyDescent="0.2">
      <c r="A136" s="203"/>
      <c r="B136" s="203"/>
      <c r="C136" s="203"/>
      <c r="D136" s="2"/>
      <c r="E136" s="2"/>
      <c r="F136" s="2"/>
      <c r="G136" s="2"/>
      <c r="H136" s="2"/>
      <c r="I136" s="2"/>
      <c r="J136" s="2"/>
    </row>
    <row r="137" spans="1:10" ht="13.5" x14ac:dyDescent="0.25">
      <c r="A137" s="205" t="s">
        <v>589</v>
      </c>
      <c r="B137" s="203"/>
      <c r="C137" s="203"/>
      <c r="D137" s="2"/>
      <c r="E137" s="2">
        <v>308</v>
      </c>
      <c r="F137" s="203">
        <v>0</v>
      </c>
      <c r="G137" s="2">
        <v>310</v>
      </c>
      <c r="H137" s="2">
        <v>310</v>
      </c>
      <c r="I137" s="2">
        <v>310</v>
      </c>
      <c r="J137" s="2">
        <v>310</v>
      </c>
    </row>
    <row r="138" spans="1:10" x14ac:dyDescent="0.2">
      <c r="A138" s="203" t="s">
        <v>189</v>
      </c>
      <c r="B138" s="203"/>
      <c r="C138" s="203"/>
      <c r="D138" s="2"/>
      <c r="E138" s="2"/>
      <c r="F138" s="2"/>
      <c r="G138" s="2"/>
      <c r="H138" s="2"/>
      <c r="I138" s="2"/>
      <c r="J138" s="2"/>
    </row>
    <row r="139" spans="1:10" x14ac:dyDescent="0.2">
      <c r="A139" s="203"/>
      <c r="B139" s="203"/>
      <c r="C139" s="203"/>
      <c r="D139" s="2"/>
      <c r="E139" s="2"/>
      <c r="F139" s="2"/>
      <c r="G139" s="2"/>
      <c r="H139" s="2"/>
      <c r="I139" s="2"/>
      <c r="J139" s="2"/>
    </row>
    <row r="140" spans="1:10" ht="13.5" x14ac:dyDescent="0.25">
      <c r="A140" s="205" t="s">
        <v>917</v>
      </c>
      <c r="B140" s="203"/>
      <c r="C140" s="203"/>
      <c r="D140" s="2"/>
      <c r="E140" s="2">
        <v>1014</v>
      </c>
      <c r="F140" s="2">
        <v>1025</v>
      </c>
      <c r="G140" s="2">
        <v>1025</v>
      </c>
      <c r="H140" s="2">
        <v>1025</v>
      </c>
      <c r="I140" s="2">
        <v>1025</v>
      </c>
      <c r="J140" s="2">
        <v>1025</v>
      </c>
    </row>
    <row r="141" spans="1:10" x14ac:dyDescent="0.2">
      <c r="A141" s="203" t="s">
        <v>590</v>
      </c>
      <c r="B141" s="203"/>
      <c r="C141" s="203"/>
      <c r="D141" s="2">
        <v>1025</v>
      </c>
      <c r="E141" s="2"/>
      <c r="F141" s="203"/>
      <c r="G141" s="203"/>
      <c r="H141" s="227"/>
      <c r="I141" s="231"/>
      <c r="J141" s="233"/>
    </row>
    <row r="142" spans="1:10" x14ac:dyDescent="0.2">
      <c r="A142" s="203"/>
      <c r="B142" s="203"/>
      <c r="C142" s="203"/>
      <c r="D142" s="2"/>
      <c r="E142" s="2"/>
      <c r="F142" s="203"/>
      <c r="G142" s="203"/>
      <c r="H142" s="227"/>
      <c r="I142" s="231"/>
      <c r="J142" s="233"/>
    </row>
    <row r="143" spans="1:10" ht="13.5" x14ac:dyDescent="0.25">
      <c r="A143" s="205" t="s">
        <v>1688</v>
      </c>
      <c r="B143" s="203"/>
      <c r="C143" s="203"/>
      <c r="D143" s="2"/>
      <c r="E143" s="2">
        <v>0</v>
      </c>
      <c r="F143" s="2"/>
      <c r="G143" s="2"/>
      <c r="H143" s="2"/>
      <c r="I143" s="2"/>
      <c r="J143" s="2"/>
    </row>
    <row r="144" spans="1:10" x14ac:dyDescent="0.2">
      <c r="A144" s="203" t="s">
        <v>902</v>
      </c>
      <c r="B144" s="203"/>
      <c r="C144" s="203"/>
      <c r="D144" s="2">
        <v>0</v>
      </c>
      <c r="E144" s="2"/>
      <c r="F144" s="203"/>
      <c r="G144" s="203"/>
      <c r="H144" s="227"/>
      <c r="I144" s="231"/>
      <c r="J144" s="233"/>
    </row>
    <row r="145" spans="1:10" x14ac:dyDescent="0.2">
      <c r="A145" s="203"/>
      <c r="B145" s="203"/>
      <c r="C145" s="203"/>
      <c r="D145" s="2"/>
      <c r="E145" s="2"/>
      <c r="F145" s="203"/>
      <c r="G145" s="203"/>
      <c r="H145" s="227"/>
      <c r="I145" s="231"/>
      <c r="J145" s="233"/>
    </row>
    <row r="146" spans="1:10" ht="15" x14ac:dyDescent="0.35">
      <c r="A146" s="205" t="s">
        <v>560</v>
      </c>
      <c r="B146" s="203"/>
      <c r="C146" s="203"/>
      <c r="D146" s="7" t="s">
        <v>345</v>
      </c>
      <c r="E146" s="10">
        <v>0</v>
      </c>
      <c r="F146" s="10">
        <v>2000</v>
      </c>
      <c r="G146" s="10">
        <v>3000</v>
      </c>
      <c r="H146" s="10">
        <v>3000</v>
      </c>
      <c r="I146" s="10">
        <v>3000</v>
      </c>
      <c r="J146" s="10">
        <v>3000</v>
      </c>
    </row>
    <row r="147" spans="1:10" ht="15" x14ac:dyDescent="0.35">
      <c r="A147" s="203" t="s">
        <v>731</v>
      </c>
      <c r="B147" s="203"/>
      <c r="C147" s="2">
        <v>2000</v>
      </c>
      <c r="D147" s="2">
        <v>3000</v>
      </c>
      <c r="E147" s="10"/>
      <c r="F147" s="2"/>
      <c r="G147" s="2"/>
      <c r="H147" s="2"/>
      <c r="I147" s="2"/>
      <c r="J147" s="2"/>
    </row>
    <row r="148" spans="1:10" s="203" customFormat="1" x14ac:dyDescent="0.2">
      <c r="A148" s="22" t="s">
        <v>2012</v>
      </c>
      <c r="C148" s="17">
        <v>1000</v>
      </c>
      <c r="D148" s="17">
        <v>0</v>
      </c>
      <c r="E148" s="2"/>
      <c r="F148" s="2"/>
      <c r="G148" s="2"/>
      <c r="H148" s="2"/>
      <c r="I148" s="2"/>
      <c r="J148" s="2"/>
    </row>
    <row r="149" spans="1:10" s="203" customFormat="1" ht="13.5" x14ac:dyDescent="0.25">
      <c r="A149" s="46" t="s">
        <v>345</v>
      </c>
      <c r="C149" s="2">
        <f>SUM(C147:C148)</f>
        <v>3000</v>
      </c>
      <c r="D149" s="2">
        <f>SUM(D147:D148)</f>
        <v>3000</v>
      </c>
      <c r="E149" s="2"/>
      <c r="F149" s="2"/>
      <c r="G149" s="2"/>
      <c r="H149" s="2"/>
      <c r="I149" s="2"/>
      <c r="J149" s="2"/>
    </row>
    <row r="150" spans="1:10" ht="13.5" x14ac:dyDescent="0.25">
      <c r="A150" s="46"/>
      <c r="C150" s="2"/>
      <c r="D150" s="2"/>
      <c r="E150" s="2"/>
      <c r="F150" s="2"/>
      <c r="G150" s="2"/>
      <c r="H150" s="2"/>
      <c r="I150" s="2"/>
      <c r="J150" s="2"/>
    </row>
    <row r="151" spans="1:10" x14ac:dyDescent="0.2">
      <c r="A151" s="183" t="s">
        <v>1151</v>
      </c>
      <c r="C151" s="2"/>
      <c r="D151" s="2"/>
      <c r="E151" s="2">
        <f t="shared" ref="E151:J151" si="3">SUM(E1:E150)</f>
        <v>572775</v>
      </c>
      <c r="F151" s="2">
        <f t="shared" si="3"/>
        <v>595723</v>
      </c>
      <c r="G151" s="2">
        <f t="shared" si="3"/>
        <v>678751</v>
      </c>
      <c r="H151" s="2">
        <f t="shared" si="3"/>
        <v>598007</v>
      </c>
      <c r="I151" s="2">
        <f t="shared" si="3"/>
        <v>648816</v>
      </c>
      <c r="J151" s="2">
        <f t="shared" si="3"/>
        <v>648816</v>
      </c>
    </row>
    <row r="152" spans="1:10" x14ac:dyDescent="0.2">
      <c r="H152" s="227"/>
      <c r="I152" s="231"/>
    </row>
    <row r="153" spans="1:10" x14ac:dyDescent="0.2">
      <c r="A153" s="183" t="s">
        <v>519</v>
      </c>
      <c r="E153" s="2">
        <f>SUM(E5:E78)</f>
        <v>495749</v>
      </c>
      <c r="F153" s="2">
        <f>SUM(F5:F78)</f>
        <v>519568</v>
      </c>
      <c r="G153" s="2">
        <f>SUM(G5:G79)</f>
        <v>589631</v>
      </c>
      <c r="H153" s="2">
        <f>SUM(H5:H78)</f>
        <v>508887</v>
      </c>
      <c r="I153" s="2">
        <f>SUM(I5:I78)</f>
        <v>559696</v>
      </c>
      <c r="J153" s="2">
        <f>SUM(J5:J78)</f>
        <v>559696</v>
      </c>
    </row>
    <row r="154" spans="1:10" x14ac:dyDescent="0.2">
      <c r="A154" s="183" t="s">
        <v>809</v>
      </c>
      <c r="E154" s="2">
        <f t="shared" ref="E154:J154" si="4">SUM(E80:E142)</f>
        <v>77026</v>
      </c>
      <c r="F154" s="2">
        <f t="shared" si="4"/>
        <v>74155</v>
      </c>
      <c r="G154" s="2">
        <f>SUM(G80:G142)</f>
        <v>86120</v>
      </c>
      <c r="H154" s="2">
        <f t="shared" ref="H154:I154" si="5">SUM(H80:H142)</f>
        <v>86120</v>
      </c>
      <c r="I154" s="2">
        <f t="shared" si="5"/>
        <v>86120</v>
      </c>
      <c r="J154" s="2">
        <f t="shared" si="4"/>
        <v>86120</v>
      </c>
    </row>
    <row r="155" spans="1:10" ht="15" x14ac:dyDescent="0.35">
      <c r="A155" s="183" t="s">
        <v>810</v>
      </c>
      <c r="E155" s="10">
        <f t="shared" ref="E155:F155" si="6">SUM(E143:E144)</f>
        <v>0</v>
      </c>
      <c r="F155" s="10">
        <f t="shared" si="6"/>
        <v>0</v>
      </c>
      <c r="G155" s="10">
        <f>SUM(G143:G146)</f>
        <v>3000</v>
      </c>
      <c r="H155" s="10">
        <f>SUM(H143:H146)</f>
        <v>3000</v>
      </c>
      <c r="I155" s="10">
        <f>SUM(I143:I146)</f>
        <v>3000</v>
      </c>
      <c r="J155" s="10">
        <f>SUM(J143:J146)</f>
        <v>3000</v>
      </c>
    </row>
    <row r="156" spans="1:10" x14ac:dyDescent="0.2">
      <c r="A156" s="183" t="s">
        <v>1073</v>
      </c>
      <c r="E156" s="2">
        <f t="shared" ref="E156:J156" si="7">SUM(E153:E155)</f>
        <v>572775</v>
      </c>
      <c r="F156" s="2">
        <f t="shared" si="7"/>
        <v>593723</v>
      </c>
      <c r="G156" s="2">
        <f>SUM(G153:G155)</f>
        <v>678751</v>
      </c>
      <c r="H156" s="2">
        <f t="shared" ref="H156:I156" si="8">SUM(H153:H155)</f>
        <v>598007</v>
      </c>
      <c r="I156" s="2">
        <f t="shared" si="8"/>
        <v>648816</v>
      </c>
      <c r="J156" s="2">
        <f t="shared" si="7"/>
        <v>648816</v>
      </c>
    </row>
    <row r="157" spans="1:10" x14ac:dyDescent="0.2">
      <c r="H157" s="227"/>
      <c r="I157" s="231"/>
    </row>
    <row r="158" spans="1:10" x14ac:dyDescent="0.2">
      <c r="H158" s="227"/>
      <c r="I158" s="231"/>
    </row>
    <row r="159" spans="1:10" x14ac:dyDescent="0.2">
      <c r="H159" s="227"/>
      <c r="I159" s="2">
        <f>+I156-H156</f>
        <v>50809</v>
      </c>
    </row>
    <row r="160" spans="1:10" x14ac:dyDescent="0.2">
      <c r="H160" s="227"/>
      <c r="I160" s="231"/>
    </row>
    <row r="161" spans="8:9" x14ac:dyDescent="0.2">
      <c r="H161" s="227"/>
      <c r="I161" s="231"/>
    </row>
    <row r="162" spans="8:9" x14ac:dyDescent="0.2">
      <c r="H162" s="227"/>
      <c r="I162" s="231"/>
    </row>
    <row r="163" spans="8:9" x14ac:dyDescent="0.2">
      <c r="H163" s="227"/>
      <c r="I163" s="231"/>
    </row>
    <row r="164" spans="8:9" x14ac:dyDescent="0.2">
      <c r="H164" s="227"/>
      <c r="I164" s="231"/>
    </row>
    <row r="165" spans="8:9" x14ac:dyDescent="0.2">
      <c r="H165" s="227"/>
      <c r="I165" s="231"/>
    </row>
    <row r="166" spans="8:9" x14ac:dyDescent="0.2">
      <c r="H166" s="227"/>
      <c r="I166" s="231"/>
    </row>
    <row r="167" spans="8:9" x14ac:dyDescent="0.2">
      <c r="H167" s="227"/>
      <c r="I167" s="231"/>
    </row>
    <row r="168" spans="8:9" x14ac:dyDescent="0.2">
      <c r="H168" s="227"/>
      <c r="I168" s="231"/>
    </row>
    <row r="169" spans="8:9" x14ac:dyDescent="0.2">
      <c r="I169" s="231"/>
    </row>
    <row r="170" spans="8:9" x14ac:dyDescent="0.2">
      <c r="I170" s="231"/>
    </row>
    <row r="171" spans="8:9" x14ac:dyDescent="0.2">
      <c r="I171" s="231"/>
    </row>
    <row r="172" spans="8:9" x14ac:dyDescent="0.2">
      <c r="I172" s="231"/>
    </row>
    <row r="173" spans="8:9" x14ac:dyDescent="0.2">
      <c r="I173" s="231"/>
    </row>
    <row r="174" spans="8:9" x14ac:dyDescent="0.2">
      <c r="I174" s="231"/>
    </row>
    <row r="175" spans="8:9" x14ac:dyDescent="0.2">
      <c r="I175" s="231"/>
    </row>
    <row r="176" spans="8:9" x14ac:dyDescent="0.2">
      <c r="I176" s="231"/>
    </row>
    <row r="177" spans="9:9" x14ac:dyDescent="0.2">
      <c r="I177" s="231"/>
    </row>
    <row r="178" spans="9:9" x14ac:dyDescent="0.2">
      <c r="I178" s="231"/>
    </row>
    <row r="179" spans="9:9" x14ac:dyDescent="0.2">
      <c r="I179" s="231"/>
    </row>
    <row r="180" spans="9:9" x14ac:dyDescent="0.2">
      <c r="I180" s="231"/>
    </row>
    <row r="181" spans="9:9" x14ac:dyDescent="0.2">
      <c r="I181" s="231"/>
    </row>
    <row r="182" spans="9:9" x14ac:dyDescent="0.2">
      <c r="I182" s="231"/>
    </row>
    <row r="183" spans="9:9" x14ac:dyDescent="0.2">
      <c r="I183" s="231"/>
    </row>
    <row r="184" spans="9:9" x14ac:dyDescent="0.2">
      <c r="I184" s="231"/>
    </row>
    <row r="185" spans="9:9" x14ac:dyDescent="0.2">
      <c r="I185" s="231"/>
    </row>
    <row r="186" spans="9:9" x14ac:dyDescent="0.2">
      <c r="I186" s="231"/>
    </row>
    <row r="187" spans="9:9" x14ac:dyDescent="0.2">
      <c r="I187" s="231"/>
    </row>
    <row r="188" spans="9:9" x14ac:dyDescent="0.2">
      <c r="I188" s="231"/>
    </row>
    <row r="189" spans="9:9" x14ac:dyDescent="0.2">
      <c r="I189" s="231"/>
    </row>
    <row r="190" spans="9:9" x14ac:dyDescent="0.2">
      <c r="I190" s="231"/>
    </row>
    <row r="191" spans="9:9" x14ac:dyDescent="0.2">
      <c r="I191" s="231"/>
    </row>
    <row r="192" spans="9:9" x14ac:dyDescent="0.2">
      <c r="I192" s="231"/>
    </row>
    <row r="193" spans="9:9" x14ac:dyDescent="0.2">
      <c r="I193" s="231"/>
    </row>
    <row r="194" spans="9:9" x14ac:dyDescent="0.2">
      <c r="I194" s="231"/>
    </row>
    <row r="195" spans="9:9" x14ac:dyDescent="0.2">
      <c r="I195" s="231"/>
    </row>
    <row r="196" spans="9:9" x14ac:dyDescent="0.2">
      <c r="I196" s="231"/>
    </row>
    <row r="197" spans="9:9" x14ac:dyDescent="0.2">
      <c r="I197" s="231"/>
    </row>
    <row r="198" spans="9:9" x14ac:dyDescent="0.2">
      <c r="I198" s="231"/>
    </row>
    <row r="199" spans="9:9" x14ac:dyDescent="0.2">
      <c r="I199" s="231"/>
    </row>
    <row r="200" spans="9:9" x14ac:dyDescent="0.2">
      <c r="I200" s="231"/>
    </row>
    <row r="201" spans="9:9" x14ac:dyDescent="0.2">
      <c r="I201" s="231"/>
    </row>
    <row r="202" spans="9:9" x14ac:dyDescent="0.2">
      <c r="I202" s="231"/>
    </row>
    <row r="203" spans="9:9" x14ac:dyDescent="0.2">
      <c r="I203" s="231"/>
    </row>
    <row r="204" spans="9:9" x14ac:dyDescent="0.2">
      <c r="I204" s="231"/>
    </row>
    <row r="205" spans="9:9" x14ac:dyDescent="0.2">
      <c r="I205" s="231"/>
    </row>
    <row r="206" spans="9:9" x14ac:dyDescent="0.2">
      <c r="I206" s="231"/>
    </row>
    <row r="207" spans="9:9" x14ac:dyDescent="0.2">
      <c r="I207" s="231"/>
    </row>
    <row r="208" spans="9:9" x14ac:dyDescent="0.2">
      <c r="I208" s="231"/>
    </row>
    <row r="209" spans="9:9" x14ac:dyDescent="0.2">
      <c r="I209" s="231"/>
    </row>
    <row r="210" spans="9:9" x14ac:dyDescent="0.2">
      <c r="I210" s="231"/>
    </row>
    <row r="211" spans="9:9" x14ac:dyDescent="0.2">
      <c r="I211" s="231"/>
    </row>
    <row r="212" spans="9:9" x14ac:dyDescent="0.2">
      <c r="I212" s="231"/>
    </row>
    <row r="213" spans="9:9" x14ac:dyDescent="0.2">
      <c r="I213" s="231"/>
    </row>
    <row r="214" spans="9:9" x14ac:dyDescent="0.2">
      <c r="I214" s="231"/>
    </row>
    <row r="215" spans="9:9" x14ac:dyDescent="0.2">
      <c r="I215" s="231"/>
    </row>
    <row r="216" spans="9:9" x14ac:dyDescent="0.2">
      <c r="I216" s="231"/>
    </row>
    <row r="217" spans="9:9" x14ac:dyDescent="0.2">
      <c r="I217" s="231"/>
    </row>
    <row r="218" spans="9:9" x14ac:dyDescent="0.2">
      <c r="I218" s="231"/>
    </row>
    <row r="219" spans="9:9" x14ac:dyDescent="0.2">
      <c r="I219" s="231"/>
    </row>
    <row r="220" spans="9:9" x14ac:dyDescent="0.2">
      <c r="I220" s="231"/>
    </row>
    <row r="221" spans="9:9" x14ac:dyDescent="0.2">
      <c r="I221" s="231"/>
    </row>
    <row r="222" spans="9:9" x14ac:dyDescent="0.2">
      <c r="I222" s="231"/>
    </row>
    <row r="223" spans="9:9" x14ac:dyDescent="0.2">
      <c r="I223" s="231"/>
    </row>
    <row r="224" spans="9:9" x14ac:dyDescent="0.2">
      <c r="I224" s="231"/>
    </row>
    <row r="225" spans="9:9" x14ac:dyDescent="0.2">
      <c r="I225" s="231"/>
    </row>
    <row r="226" spans="9:9" x14ac:dyDescent="0.2">
      <c r="I226" s="231"/>
    </row>
    <row r="227" spans="9:9" x14ac:dyDescent="0.2">
      <c r="I227" s="231"/>
    </row>
    <row r="228" spans="9:9" x14ac:dyDescent="0.2">
      <c r="I228" s="231"/>
    </row>
    <row r="229" spans="9:9" x14ac:dyDescent="0.2">
      <c r="I229" s="231"/>
    </row>
    <row r="230" spans="9:9" x14ac:dyDescent="0.2">
      <c r="I230" s="231"/>
    </row>
    <row r="231" spans="9:9" x14ac:dyDescent="0.2">
      <c r="I231" s="231"/>
    </row>
    <row r="232" spans="9:9" x14ac:dyDescent="0.2">
      <c r="I232" s="231"/>
    </row>
    <row r="233" spans="9:9" x14ac:dyDescent="0.2">
      <c r="I233" s="231"/>
    </row>
    <row r="234" spans="9:9" x14ac:dyDescent="0.2">
      <c r="I234" s="231"/>
    </row>
    <row r="235" spans="9:9" x14ac:dyDescent="0.2">
      <c r="I235" s="231"/>
    </row>
    <row r="236" spans="9:9" x14ac:dyDescent="0.2">
      <c r="I236" s="231"/>
    </row>
    <row r="237" spans="9:9" x14ac:dyDescent="0.2">
      <c r="I237" s="231"/>
    </row>
    <row r="238" spans="9:9" x14ac:dyDescent="0.2">
      <c r="I238" s="231"/>
    </row>
    <row r="239" spans="9:9" x14ac:dyDescent="0.2">
      <c r="I239" s="231"/>
    </row>
    <row r="240" spans="9:9" x14ac:dyDescent="0.2">
      <c r="I240" s="231"/>
    </row>
    <row r="241" spans="9:9" x14ac:dyDescent="0.2">
      <c r="I241" s="231"/>
    </row>
    <row r="242" spans="9:9" x14ac:dyDescent="0.2">
      <c r="I242" s="231"/>
    </row>
    <row r="243" spans="9:9" x14ac:dyDescent="0.2">
      <c r="I243" s="231"/>
    </row>
    <row r="244" spans="9:9" x14ac:dyDescent="0.2">
      <c r="I244" s="231"/>
    </row>
    <row r="245" spans="9:9" x14ac:dyDescent="0.2">
      <c r="I245" s="231"/>
    </row>
    <row r="246" spans="9:9" x14ac:dyDescent="0.2">
      <c r="I246" s="231"/>
    </row>
    <row r="247" spans="9:9" x14ac:dyDescent="0.2">
      <c r="I247" s="231"/>
    </row>
    <row r="248" spans="9:9" x14ac:dyDescent="0.2">
      <c r="I248" s="231"/>
    </row>
    <row r="249" spans="9:9" x14ac:dyDescent="0.2">
      <c r="I249" s="231"/>
    </row>
    <row r="250" spans="9:9" x14ac:dyDescent="0.2">
      <c r="I250" s="231"/>
    </row>
  </sheetData>
  <mergeCells count="1">
    <mergeCell ref="A1:J1"/>
  </mergeCells>
  <phoneticPr fontId="0" type="noConversion"/>
  <printOptions gridLines="1"/>
  <pageMargins left="0.75" right="0.16" top="0.51" bottom="0.22" header="0.5" footer="0"/>
  <pageSetup scale="86" fitToHeight="5"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170"/>
  <sheetViews>
    <sheetView view="pageBreakPreview" zoomScaleNormal="100" zoomScaleSheetLayoutView="100" workbookViewId="0">
      <pane ySplit="5" topLeftCell="A54" activePane="bottomLeft" state="frozen"/>
      <selection activeCell="D43" sqref="D43"/>
      <selection pane="bottomLeft" activeCell="H13" sqref="H13"/>
    </sheetView>
  </sheetViews>
  <sheetFormatPr defaultColWidth="8.85546875" defaultRowHeight="12.75" x14ac:dyDescent="0.2"/>
  <cols>
    <col min="1" max="1" width="55" style="183" customWidth="1"/>
    <col min="2" max="2" width="7.7109375" style="183" bestFit="1" customWidth="1"/>
    <col min="3" max="4" width="9" style="183" bestFit="1" customWidth="1"/>
    <col min="5" max="5" width="9.5703125" style="183" bestFit="1" customWidth="1"/>
    <col min="6" max="7" width="9" style="183" bestFit="1" customWidth="1"/>
    <col min="8" max="8" width="10.28515625" style="183" customWidth="1"/>
    <col min="9" max="9" width="12.140625" style="2" customWidth="1"/>
    <col min="10" max="10" width="9.42578125" style="183" bestFit="1" customWidth="1"/>
    <col min="11" max="11" width="9" style="183" bestFit="1" customWidth="1"/>
    <col min="12" max="12" width="0" style="183" hidden="1" customWidth="1"/>
    <col min="13" max="16384" width="8.85546875" style="183"/>
  </cols>
  <sheetData>
    <row r="1" spans="1:11" x14ac:dyDescent="0.2">
      <c r="A1" s="254" t="e">
        <f>#REF!</f>
        <v>#REF!</v>
      </c>
      <c r="B1" s="255"/>
      <c r="C1" s="255"/>
      <c r="D1" s="255"/>
      <c r="E1" s="255"/>
      <c r="F1" s="255"/>
      <c r="G1" s="255"/>
      <c r="H1" s="255"/>
      <c r="I1" s="255"/>
      <c r="J1" s="255"/>
    </row>
    <row r="2" spans="1:11" ht="18.75" x14ac:dyDescent="0.3">
      <c r="A2" s="91" t="s">
        <v>1584</v>
      </c>
      <c r="B2" s="91"/>
      <c r="C2" s="91"/>
      <c r="D2" s="91"/>
      <c r="E2" s="91"/>
      <c r="F2" s="91"/>
      <c r="G2" s="91"/>
    </row>
    <row r="3" spans="1:11" x14ac:dyDescent="0.2">
      <c r="B3" s="2"/>
      <c r="C3" s="2"/>
      <c r="D3" s="2"/>
      <c r="E3" s="2"/>
      <c r="F3" s="2"/>
      <c r="G3" s="2"/>
    </row>
    <row r="4" spans="1:11" x14ac:dyDescent="0.2">
      <c r="B4" s="2"/>
      <c r="C4" s="2"/>
      <c r="D4" s="2"/>
      <c r="E4" s="2"/>
      <c r="F4" s="15" t="s">
        <v>204</v>
      </c>
      <c r="G4" s="15" t="s">
        <v>205</v>
      </c>
      <c r="H4" s="15" t="s">
        <v>61</v>
      </c>
      <c r="I4" s="15" t="s">
        <v>358</v>
      </c>
      <c r="J4" s="15" t="s">
        <v>270</v>
      </c>
      <c r="K4" s="15" t="s">
        <v>301</v>
      </c>
    </row>
    <row r="5" spans="1:11" ht="15" x14ac:dyDescent="0.35">
      <c r="B5" s="2"/>
      <c r="C5" s="2"/>
      <c r="D5" s="2"/>
      <c r="E5" s="2"/>
      <c r="F5" s="196" t="s">
        <v>1757</v>
      </c>
      <c r="G5" s="196" t="s">
        <v>1838</v>
      </c>
      <c r="H5" s="196" t="s">
        <v>1977</v>
      </c>
      <c r="I5" s="196" t="s">
        <v>1977</v>
      </c>
      <c r="J5" s="196" t="s">
        <v>1977</v>
      </c>
      <c r="K5" s="196" t="s">
        <v>1977</v>
      </c>
    </row>
    <row r="6" spans="1:11" ht="13.5" x14ac:dyDescent="0.25">
      <c r="A6" s="187" t="s">
        <v>561</v>
      </c>
      <c r="B6" s="2"/>
      <c r="C6" s="2"/>
      <c r="D6" s="2"/>
      <c r="E6" s="2"/>
      <c r="F6" s="2">
        <v>42093</v>
      </c>
      <c r="G6" s="2">
        <v>43587</v>
      </c>
      <c r="H6" s="2">
        <v>41641</v>
      </c>
      <c r="I6" s="2">
        <v>41641</v>
      </c>
      <c r="J6" s="2">
        <v>42675</v>
      </c>
      <c r="K6" s="2">
        <v>42675</v>
      </c>
    </row>
    <row r="7" spans="1:11" x14ac:dyDescent="0.2">
      <c r="A7" s="183" t="s">
        <v>1748</v>
      </c>
      <c r="B7" s="2"/>
      <c r="C7" s="2">
        <v>1456</v>
      </c>
      <c r="D7" s="11">
        <v>29.11</v>
      </c>
      <c r="E7" s="2">
        <f>+D7*C7</f>
        <v>42384.159999999996</v>
      </c>
      <c r="F7" s="2"/>
      <c r="G7" s="2"/>
      <c r="H7" s="2"/>
      <c r="J7" s="2"/>
      <c r="K7" s="2"/>
    </row>
    <row r="8" spans="1:11" ht="15" x14ac:dyDescent="0.35">
      <c r="A8" s="183" t="s">
        <v>1462</v>
      </c>
      <c r="B8" s="2"/>
      <c r="C8" s="2"/>
      <c r="D8" s="11"/>
      <c r="E8" s="10">
        <v>291</v>
      </c>
      <c r="F8" s="2"/>
      <c r="G8" s="2"/>
      <c r="H8" s="2"/>
      <c r="J8" s="2"/>
      <c r="K8" s="2"/>
    </row>
    <row r="9" spans="1:11" x14ac:dyDescent="0.2">
      <c r="B9" s="2"/>
      <c r="C9" s="2"/>
      <c r="D9" s="11"/>
      <c r="E9" s="2">
        <f>SUM(E7:E8)</f>
        <v>42675.159999999996</v>
      </c>
      <c r="F9" s="2"/>
      <c r="G9" s="2"/>
      <c r="H9" s="2"/>
      <c r="J9" s="2"/>
      <c r="K9" s="2"/>
    </row>
    <row r="10" spans="1:11" x14ac:dyDescent="0.2">
      <c r="B10" s="2"/>
      <c r="C10" s="2"/>
      <c r="D10" s="11"/>
      <c r="E10" s="2"/>
      <c r="F10" s="2"/>
      <c r="G10" s="2"/>
      <c r="H10" s="2"/>
      <c r="J10" s="2"/>
      <c r="K10" s="2"/>
    </row>
    <row r="11" spans="1:11" ht="13.5" x14ac:dyDescent="0.25">
      <c r="A11" s="187" t="s">
        <v>595</v>
      </c>
      <c r="C11" s="203"/>
      <c r="D11" s="203"/>
      <c r="E11" s="2"/>
      <c r="F11" s="2">
        <v>3196</v>
      </c>
      <c r="G11" s="2">
        <v>3334</v>
      </c>
      <c r="H11" s="2">
        <v>3186</v>
      </c>
      <c r="I11" s="2">
        <v>3186</v>
      </c>
      <c r="J11" s="2">
        <v>3265</v>
      </c>
      <c r="K11" s="2">
        <v>3265</v>
      </c>
    </row>
    <row r="12" spans="1:11" x14ac:dyDescent="0.2">
      <c r="A12" s="183" t="s">
        <v>596</v>
      </c>
      <c r="B12" s="2"/>
      <c r="C12" s="2">
        <f>+E9</f>
        <v>42675.159999999996</v>
      </c>
      <c r="D12" s="13">
        <v>7.6499999999999999E-2</v>
      </c>
      <c r="E12" s="2">
        <f>ROUND(D12*C12,0)</f>
        <v>3265</v>
      </c>
      <c r="F12" s="2"/>
      <c r="G12" s="2"/>
      <c r="H12" s="2"/>
      <c r="J12" s="2"/>
      <c r="K12" s="2"/>
    </row>
    <row r="13" spans="1:11" x14ac:dyDescent="0.2">
      <c r="C13" s="203"/>
      <c r="D13" s="203"/>
      <c r="E13" s="2"/>
      <c r="F13" s="2"/>
      <c r="G13" s="2"/>
      <c r="H13" s="2"/>
      <c r="J13" s="2"/>
      <c r="K13" s="2"/>
    </row>
    <row r="14" spans="1:11" ht="13.5" x14ac:dyDescent="0.25">
      <c r="A14" s="187" t="s">
        <v>597</v>
      </c>
      <c r="C14" s="203"/>
      <c r="D14" s="203"/>
      <c r="E14" s="2"/>
      <c r="F14" s="2">
        <v>62</v>
      </c>
      <c r="G14" s="2">
        <v>74</v>
      </c>
      <c r="H14" s="2">
        <v>72</v>
      </c>
      <c r="I14" s="2">
        <v>72</v>
      </c>
      <c r="J14" s="2">
        <v>74</v>
      </c>
      <c r="K14" s="2">
        <v>74</v>
      </c>
    </row>
    <row r="15" spans="1:11" x14ac:dyDescent="0.2">
      <c r="A15" s="183" t="s">
        <v>596</v>
      </c>
      <c r="B15" s="2"/>
      <c r="C15" s="2">
        <f>+E9</f>
        <v>42675.159999999996</v>
      </c>
      <c r="D15" s="13">
        <v>1.74E-3</v>
      </c>
      <c r="E15" s="2">
        <f>ROUND(D15*C15,0)</f>
        <v>74</v>
      </c>
      <c r="F15" s="2"/>
      <c r="G15" s="2"/>
      <c r="H15" s="2"/>
      <c r="J15" s="2"/>
      <c r="K15" s="2"/>
    </row>
    <row r="16" spans="1:11" x14ac:dyDescent="0.2">
      <c r="C16" s="203"/>
      <c r="D16" s="203"/>
      <c r="E16" s="2"/>
      <c r="F16" s="2"/>
      <c r="G16" s="2"/>
      <c r="H16" s="2"/>
      <c r="J16" s="2"/>
      <c r="K16" s="2"/>
    </row>
    <row r="17" spans="1:11" ht="13.5" x14ac:dyDescent="0.25">
      <c r="A17" s="187" t="s">
        <v>598</v>
      </c>
      <c r="C17" s="203"/>
      <c r="D17" s="203"/>
      <c r="E17" s="2"/>
      <c r="F17" s="2">
        <v>25</v>
      </c>
      <c r="G17" s="2">
        <v>20</v>
      </c>
      <c r="H17" s="2">
        <v>20</v>
      </c>
      <c r="I17" s="2">
        <v>20</v>
      </c>
      <c r="J17" s="2">
        <v>20</v>
      </c>
      <c r="K17" s="2">
        <v>20</v>
      </c>
    </row>
    <row r="18" spans="1:11" x14ac:dyDescent="0.2">
      <c r="A18" s="183" t="s">
        <v>596</v>
      </c>
      <c r="B18" s="2" t="s">
        <v>345</v>
      </c>
      <c r="C18" s="2" t="s">
        <v>345</v>
      </c>
      <c r="D18" s="13" t="s">
        <v>345</v>
      </c>
      <c r="E18" s="2">
        <v>20</v>
      </c>
      <c r="F18" s="2"/>
      <c r="G18" s="2"/>
      <c r="H18" s="2"/>
      <c r="J18" s="2"/>
      <c r="K18" s="2"/>
    </row>
    <row r="19" spans="1:11" x14ac:dyDescent="0.2">
      <c r="C19" s="203"/>
      <c r="D19" s="203"/>
      <c r="E19" s="2"/>
      <c r="F19" s="2"/>
      <c r="G19" s="2"/>
      <c r="H19" s="2"/>
      <c r="J19" s="2"/>
      <c r="K19" s="2"/>
    </row>
    <row r="20" spans="1:11" ht="13.5" x14ac:dyDescent="0.25">
      <c r="A20" s="187" t="s">
        <v>599</v>
      </c>
      <c r="C20" s="18" t="s">
        <v>1757</v>
      </c>
      <c r="D20" s="18" t="s">
        <v>1838</v>
      </c>
      <c r="E20" s="18" t="s">
        <v>1977</v>
      </c>
      <c r="F20" s="2">
        <v>249</v>
      </c>
      <c r="G20" s="2">
        <v>270</v>
      </c>
      <c r="H20" s="2">
        <v>270</v>
      </c>
      <c r="I20" s="2">
        <v>270</v>
      </c>
      <c r="J20" s="2">
        <v>270</v>
      </c>
      <c r="K20" s="2">
        <v>270</v>
      </c>
    </row>
    <row r="21" spans="1:11" x14ac:dyDescent="0.2">
      <c r="A21" s="183" t="s">
        <v>308</v>
      </c>
      <c r="C21" s="2">
        <v>270</v>
      </c>
      <c r="D21" s="2">
        <v>270</v>
      </c>
      <c r="E21" s="2">
        <v>270</v>
      </c>
      <c r="F21" s="2"/>
      <c r="G21" s="2"/>
      <c r="H21" s="2"/>
      <c r="J21" s="2"/>
      <c r="K21" s="2"/>
    </row>
    <row r="22" spans="1:11" x14ac:dyDescent="0.2">
      <c r="C22" s="2"/>
      <c r="D22" s="2"/>
      <c r="E22" s="2"/>
      <c r="F22" s="2"/>
      <c r="G22" s="2"/>
      <c r="H22" s="2"/>
      <c r="J22" s="2"/>
      <c r="K22" s="2"/>
    </row>
    <row r="23" spans="1:11" ht="13.5" x14ac:dyDescent="0.25">
      <c r="A23" s="187" t="s">
        <v>24</v>
      </c>
      <c r="C23" s="18" t="s">
        <v>1757</v>
      </c>
      <c r="D23" s="18" t="s">
        <v>1838</v>
      </c>
      <c r="E23" s="18" t="s">
        <v>1977</v>
      </c>
      <c r="F23" s="2">
        <v>0</v>
      </c>
      <c r="G23" s="2">
        <v>50</v>
      </c>
      <c r="H23" s="2">
        <v>50</v>
      </c>
      <c r="I23" s="2">
        <v>50</v>
      </c>
      <c r="J23" s="2">
        <v>50</v>
      </c>
      <c r="K23" s="2">
        <v>50</v>
      </c>
    </row>
    <row r="24" spans="1:11" x14ac:dyDescent="0.2">
      <c r="A24" s="183" t="s">
        <v>1702</v>
      </c>
      <c r="C24" s="2">
        <v>50</v>
      </c>
      <c r="D24" s="2">
        <v>50</v>
      </c>
      <c r="E24" s="2">
        <v>50</v>
      </c>
      <c r="F24" s="2"/>
      <c r="G24" s="2"/>
      <c r="H24" s="2"/>
      <c r="J24" s="2"/>
      <c r="K24" s="2"/>
    </row>
    <row r="25" spans="1:11" x14ac:dyDescent="0.2">
      <c r="C25" s="2"/>
      <c r="D25" s="2"/>
      <c r="E25" s="2"/>
      <c r="F25" s="2"/>
      <c r="G25" s="2"/>
      <c r="H25" s="2"/>
      <c r="J25" s="2"/>
      <c r="K25" s="2"/>
    </row>
    <row r="26" spans="1:11" ht="13.5" x14ac:dyDescent="0.25">
      <c r="A26" s="187" t="s">
        <v>827</v>
      </c>
      <c r="C26" s="18" t="s">
        <v>1757</v>
      </c>
      <c r="D26" s="18" t="s">
        <v>1838</v>
      </c>
      <c r="E26" s="18" t="s">
        <v>1977</v>
      </c>
      <c r="F26" s="2">
        <v>67</v>
      </c>
      <c r="G26" s="2">
        <v>100</v>
      </c>
      <c r="H26" s="2">
        <v>100</v>
      </c>
      <c r="I26" s="2">
        <v>100</v>
      </c>
      <c r="J26" s="2">
        <v>100</v>
      </c>
      <c r="K26" s="2">
        <v>100</v>
      </c>
    </row>
    <row r="27" spans="1:11" x14ac:dyDescent="0.2">
      <c r="A27" s="183" t="s">
        <v>828</v>
      </c>
      <c r="B27" s="2" t="s">
        <v>345</v>
      </c>
      <c r="C27" s="2">
        <v>100</v>
      </c>
      <c r="D27" s="2">
        <v>100</v>
      </c>
      <c r="E27" s="2">
        <v>100</v>
      </c>
      <c r="F27" s="2"/>
      <c r="G27" s="2"/>
      <c r="H27" s="2"/>
      <c r="J27" s="2"/>
      <c r="K27" s="2"/>
    </row>
    <row r="28" spans="1:11" x14ac:dyDescent="0.2">
      <c r="B28" s="2"/>
      <c r="C28" s="2"/>
      <c r="D28" s="2"/>
      <c r="E28" s="2"/>
      <c r="F28" s="2"/>
      <c r="G28" s="2"/>
      <c r="H28" s="2"/>
      <c r="J28" s="2"/>
      <c r="K28" s="2"/>
    </row>
    <row r="29" spans="1:11" ht="13.5" x14ac:dyDescent="0.25">
      <c r="A29" s="187" t="s">
        <v>407</v>
      </c>
      <c r="C29" s="18" t="s">
        <v>1757</v>
      </c>
      <c r="D29" s="18" t="s">
        <v>1838</v>
      </c>
      <c r="E29" s="18" t="s">
        <v>1977</v>
      </c>
      <c r="F29" s="2">
        <v>783</v>
      </c>
      <c r="G29" s="2">
        <v>980</v>
      </c>
      <c r="H29" s="2">
        <v>910</v>
      </c>
      <c r="I29" s="2">
        <v>910</v>
      </c>
      <c r="J29" s="2">
        <v>910</v>
      </c>
      <c r="K29" s="2">
        <v>910</v>
      </c>
    </row>
    <row r="30" spans="1:11" x14ac:dyDescent="0.2">
      <c r="A30" s="183" t="s">
        <v>811</v>
      </c>
      <c r="C30" s="2">
        <v>500</v>
      </c>
      <c r="D30" s="2">
        <v>500</v>
      </c>
      <c r="E30" s="2">
        <v>430</v>
      </c>
      <c r="F30" s="2"/>
      <c r="G30" s="2"/>
      <c r="H30" s="2"/>
      <c r="J30" s="2"/>
      <c r="K30" s="2"/>
    </row>
    <row r="31" spans="1:11" ht="15" x14ac:dyDescent="0.35">
      <c r="A31" s="183" t="s">
        <v>854</v>
      </c>
      <c r="C31" s="10">
        <v>480</v>
      </c>
      <c r="D31" s="10">
        <v>480</v>
      </c>
      <c r="E31" s="10">
        <v>480</v>
      </c>
      <c r="F31" s="2"/>
      <c r="G31" s="2"/>
      <c r="H31" s="2"/>
      <c r="J31" s="2"/>
      <c r="K31" s="2"/>
    </row>
    <row r="32" spans="1:11" x14ac:dyDescent="0.2">
      <c r="A32" s="183" t="s">
        <v>1073</v>
      </c>
      <c r="C32" s="2">
        <f>SUM(C30:C31)</f>
        <v>980</v>
      </c>
      <c r="D32" s="2">
        <f>SUM(D30:D31)</f>
        <v>980</v>
      </c>
      <c r="E32" s="2">
        <f>SUM(E30:E31)</f>
        <v>910</v>
      </c>
      <c r="F32" s="2"/>
      <c r="G32" s="2"/>
      <c r="H32" s="2"/>
      <c r="J32" s="2"/>
      <c r="K32" s="2"/>
    </row>
    <row r="33" spans="1:11" x14ac:dyDescent="0.2">
      <c r="A33" s="183" t="s">
        <v>345</v>
      </c>
      <c r="C33" s="2" t="s">
        <v>345</v>
      </c>
      <c r="D33" s="2" t="s">
        <v>345</v>
      </c>
      <c r="E33" s="2" t="s">
        <v>345</v>
      </c>
      <c r="F33" s="2"/>
      <c r="G33" s="2"/>
      <c r="H33" s="2"/>
      <c r="J33" s="2"/>
      <c r="K33" s="2"/>
    </row>
    <row r="34" spans="1:11" ht="13.5" x14ac:dyDescent="0.25">
      <c r="A34" s="187" t="s">
        <v>578</v>
      </c>
      <c r="C34" s="18" t="s">
        <v>1757</v>
      </c>
      <c r="D34" s="18" t="s">
        <v>1838</v>
      </c>
      <c r="E34" s="18" t="s">
        <v>1977</v>
      </c>
      <c r="F34" s="2">
        <v>0</v>
      </c>
      <c r="G34" s="2">
        <v>50</v>
      </c>
      <c r="H34" s="2">
        <v>50</v>
      </c>
      <c r="I34" s="2">
        <v>50</v>
      </c>
      <c r="J34" s="2">
        <v>50</v>
      </c>
      <c r="K34" s="2">
        <v>50</v>
      </c>
    </row>
    <row r="35" spans="1:11" x14ac:dyDescent="0.2">
      <c r="A35" s="183" t="s">
        <v>377</v>
      </c>
      <c r="B35" s="2" t="s">
        <v>345</v>
      </c>
      <c r="C35" s="2">
        <v>50</v>
      </c>
      <c r="D35" s="2">
        <v>50</v>
      </c>
      <c r="E35" s="2">
        <v>50</v>
      </c>
      <c r="F35" s="2"/>
      <c r="G35" s="2"/>
      <c r="H35" s="2"/>
      <c r="J35" s="2"/>
      <c r="K35" s="2"/>
    </row>
    <row r="36" spans="1:11" x14ac:dyDescent="0.2">
      <c r="C36" s="2"/>
      <c r="D36" s="2"/>
      <c r="E36" s="2"/>
      <c r="F36" s="2"/>
      <c r="G36" s="2"/>
      <c r="H36" s="2"/>
      <c r="J36" s="2"/>
      <c r="K36" s="2"/>
    </row>
    <row r="37" spans="1:11" ht="13.5" x14ac:dyDescent="0.25">
      <c r="A37" s="16" t="s">
        <v>1290</v>
      </c>
      <c r="C37" s="18" t="s">
        <v>1757</v>
      </c>
      <c r="D37" s="18" t="s">
        <v>1838</v>
      </c>
      <c r="E37" s="18" t="s">
        <v>1977</v>
      </c>
      <c r="F37" s="2">
        <v>407</v>
      </c>
      <c r="G37" s="2">
        <v>397</v>
      </c>
      <c r="H37" s="2">
        <v>496</v>
      </c>
      <c r="I37" s="2">
        <v>496</v>
      </c>
      <c r="J37" s="2">
        <v>496</v>
      </c>
      <c r="K37" s="2">
        <v>496</v>
      </c>
    </row>
    <row r="38" spans="1:11" x14ac:dyDescent="0.2">
      <c r="A38" s="183" t="s">
        <v>738</v>
      </c>
      <c r="C38" s="203">
        <v>371</v>
      </c>
      <c r="D38" s="203">
        <v>397</v>
      </c>
      <c r="E38" s="203">
        <v>496</v>
      </c>
      <c r="F38" s="2"/>
      <c r="G38" s="2"/>
      <c r="H38" s="2"/>
      <c r="J38" s="2"/>
      <c r="K38" s="2"/>
    </row>
    <row r="39" spans="1:11" x14ac:dyDescent="0.2">
      <c r="C39" s="2"/>
      <c r="D39" s="2"/>
      <c r="E39" s="2"/>
      <c r="F39" s="2"/>
      <c r="G39" s="2"/>
      <c r="H39" s="2"/>
      <c r="J39" s="2"/>
      <c r="K39" s="2"/>
    </row>
    <row r="40" spans="1:11" ht="13.5" x14ac:dyDescent="0.25">
      <c r="A40" s="187" t="s">
        <v>1291</v>
      </c>
      <c r="C40" s="18" t="s">
        <v>1757</v>
      </c>
      <c r="D40" s="18" t="s">
        <v>1838</v>
      </c>
      <c r="E40" s="18" t="s">
        <v>1977</v>
      </c>
      <c r="F40" s="2">
        <v>0</v>
      </c>
      <c r="G40" s="2">
        <v>600</v>
      </c>
      <c r="H40" s="2">
        <v>600</v>
      </c>
      <c r="I40" s="2">
        <v>600</v>
      </c>
      <c r="J40" s="2">
        <v>600</v>
      </c>
      <c r="K40" s="2">
        <v>600</v>
      </c>
    </row>
    <row r="41" spans="1:11" x14ac:dyDescent="0.2">
      <c r="A41" s="183" t="s">
        <v>267</v>
      </c>
      <c r="C41" s="2">
        <v>600</v>
      </c>
      <c r="D41" s="2">
        <v>600</v>
      </c>
      <c r="E41" s="2">
        <v>600</v>
      </c>
      <c r="F41" s="2"/>
      <c r="G41" s="2"/>
      <c r="H41" s="2"/>
      <c r="J41" s="2"/>
      <c r="K41" s="2"/>
    </row>
    <row r="42" spans="1:11" x14ac:dyDescent="0.2">
      <c r="C42" s="203"/>
      <c r="D42" s="2"/>
      <c r="E42" s="2"/>
      <c r="F42" s="2"/>
      <c r="G42" s="2"/>
      <c r="H42" s="2"/>
      <c r="J42" s="2"/>
      <c r="K42" s="2"/>
    </row>
    <row r="43" spans="1:11" ht="13.5" x14ac:dyDescent="0.25">
      <c r="A43" s="187" t="s">
        <v>520</v>
      </c>
      <c r="C43" s="203"/>
      <c r="D43" s="2"/>
      <c r="E43" s="2"/>
      <c r="F43" s="2">
        <v>1500</v>
      </c>
      <c r="G43" s="2">
        <v>1500</v>
      </c>
      <c r="H43" s="2">
        <v>1500</v>
      </c>
      <c r="I43" s="2">
        <v>1500</v>
      </c>
      <c r="J43" s="2">
        <v>1500</v>
      </c>
      <c r="K43" s="2">
        <v>1500</v>
      </c>
    </row>
    <row r="44" spans="1:11" x14ac:dyDescent="0.2">
      <c r="A44" s="22" t="s">
        <v>1412</v>
      </c>
      <c r="C44" s="203"/>
      <c r="D44" s="2"/>
      <c r="E44" s="2">
        <v>1500</v>
      </c>
      <c r="F44" s="2"/>
      <c r="G44" s="2"/>
      <c r="H44" s="2"/>
      <c r="J44" s="2"/>
      <c r="K44" s="2"/>
    </row>
    <row r="45" spans="1:11" x14ac:dyDescent="0.2">
      <c r="A45" s="22"/>
      <c r="C45" s="203"/>
      <c r="D45" s="2"/>
      <c r="E45" s="2"/>
      <c r="F45" s="2"/>
      <c r="G45" s="2"/>
      <c r="H45" s="2"/>
      <c r="J45" s="2"/>
      <c r="K45" s="2"/>
    </row>
    <row r="46" spans="1:11" ht="13.5" x14ac:dyDescent="0.25">
      <c r="A46" s="187" t="s">
        <v>449</v>
      </c>
      <c r="C46" s="18" t="s">
        <v>1757</v>
      </c>
      <c r="D46" s="18" t="s">
        <v>1838</v>
      </c>
      <c r="E46" s="18" t="s">
        <v>1977</v>
      </c>
      <c r="F46" s="2">
        <v>120</v>
      </c>
      <c r="G46" s="2">
        <v>185</v>
      </c>
      <c r="H46" s="2">
        <v>185</v>
      </c>
      <c r="I46" s="2">
        <v>185</v>
      </c>
      <c r="J46" s="2">
        <v>185</v>
      </c>
      <c r="K46" s="2">
        <v>185</v>
      </c>
    </row>
    <row r="47" spans="1:11" x14ac:dyDescent="0.2">
      <c r="A47" s="183" t="s">
        <v>425</v>
      </c>
      <c r="C47" s="2">
        <v>90</v>
      </c>
      <c r="D47" s="2">
        <v>90</v>
      </c>
      <c r="E47" s="2">
        <v>90</v>
      </c>
      <c r="F47" s="2"/>
      <c r="G47" s="2"/>
      <c r="H47" s="2"/>
      <c r="J47" s="2"/>
      <c r="K47" s="2"/>
    </row>
    <row r="48" spans="1:11" ht="15" x14ac:dyDescent="0.35">
      <c r="A48" s="183" t="s">
        <v>1798</v>
      </c>
      <c r="C48" s="10">
        <v>95</v>
      </c>
      <c r="D48" s="10">
        <v>95</v>
      </c>
      <c r="E48" s="10">
        <v>95</v>
      </c>
      <c r="F48" s="2"/>
      <c r="G48" s="2"/>
      <c r="H48" s="2"/>
      <c r="J48" s="2"/>
      <c r="K48" s="2"/>
    </row>
    <row r="49" spans="1:11" x14ac:dyDescent="0.2">
      <c r="A49" s="183" t="s">
        <v>1073</v>
      </c>
      <c r="C49" s="2">
        <f>SUM(C47:C48)</f>
        <v>185</v>
      </c>
      <c r="D49" s="2">
        <f>SUM(D47:D48)</f>
        <v>185</v>
      </c>
      <c r="E49" s="2">
        <f>SUM(E47:E48)</f>
        <v>185</v>
      </c>
      <c r="F49" s="2"/>
      <c r="G49" s="2"/>
      <c r="H49" s="2"/>
      <c r="J49" s="2"/>
      <c r="K49" s="2"/>
    </row>
    <row r="50" spans="1:11" x14ac:dyDescent="0.2">
      <c r="C50" s="2"/>
      <c r="D50" s="2"/>
      <c r="E50" s="2"/>
      <c r="F50" s="2"/>
      <c r="G50" s="2"/>
      <c r="H50" s="2"/>
      <c r="J50" s="2"/>
      <c r="K50" s="2"/>
    </row>
    <row r="51" spans="1:11" ht="13.5" x14ac:dyDescent="0.25">
      <c r="A51" s="187" t="s">
        <v>450</v>
      </c>
      <c r="C51" s="18" t="s">
        <v>1757</v>
      </c>
      <c r="D51" s="18" t="s">
        <v>1838</v>
      </c>
      <c r="E51" s="18" t="s">
        <v>1977</v>
      </c>
      <c r="F51" s="2">
        <v>0</v>
      </c>
      <c r="G51" s="2">
        <v>20</v>
      </c>
      <c r="H51" s="2">
        <v>20</v>
      </c>
      <c r="I51" s="2">
        <v>20</v>
      </c>
      <c r="J51" s="2">
        <v>20</v>
      </c>
      <c r="K51" s="2">
        <v>20</v>
      </c>
    </row>
    <row r="52" spans="1:11" x14ac:dyDescent="0.2">
      <c r="A52" s="183" t="s">
        <v>266</v>
      </c>
      <c r="C52" s="2">
        <v>20</v>
      </c>
      <c r="D52" s="2">
        <v>20</v>
      </c>
      <c r="E52" s="2">
        <v>20</v>
      </c>
      <c r="F52" s="2"/>
      <c r="G52" s="2"/>
      <c r="H52" s="2"/>
      <c r="J52" s="2"/>
      <c r="K52" s="2"/>
    </row>
    <row r="53" spans="1:11" x14ac:dyDescent="0.2">
      <c r="C53" s="203"/>
      <c r="D53" s="2"/>
      <c r="E53" s="2"/>
      <c r="F53" s="2"/>
      <c r="G53" s="2"/>
      <c r="H53" s="2"/>
      <c r="J53" s="2"/>
      <c r="K53" s="2"/>
    </row>
    <row r="54" spans="1:11" ht="13.5" x14ac:dyDescent="0.25">
      <c r="A54" s="187" t="s">
        <v>1474</v>
      </c>
      <c r="C54" s="203"/>
      <c r="D54" s="2"/>
      <c r="E54" s="2"/>
      <c r="F54" s="2"/>
      <c r="G54" s="2"/>
      <c r="H54" s="2"/>
      <c r="J54" s="2"/>
      <c r="K54" s="2"/>
    </row>
    <row r="55" spans="1:11" x14ac:dyDescent="0.2">
      <c r="C55" s="203"/>
      <c r="D55" s="2"/>
      <c r="E55" s="2"/>
      <c r="F55" s="2"/>
      <c r="G55" s="2"/>
      <c r="H55" s="2"/>
      <c r="J55" s="2"/>
      <c r="K55" s="2"/>
    </row>
    <row r="56" spans="1:11" ht="15" x14ac:dyDescent="0.35">
      <c r="C56" s="203"/>
      <c r="D56" s="256" t="s">
        <v>1977</v>
      </c>
      <c r="E56" s="259"/>
      <c r="F56" s="2"/>
      <c r="G56" s="2"/>
      <c r="H56" s="2"/>
      <c r="J56" s="2"/>
      <c r="K56" s="2"/>
    </row>
    <row r="57" spans="1:11" ht="13.5" x14ac:dyDescent="0.25">
      <c r="A57" s="187" t="s">
        <v>244</v>
      </c>
      <c r="B57" s="83" t="s">
        <v>1757</v>
      </c>
      <c r="C57" s="83" t="s">
        <v>1838</v>
      </c>
      <c r="D57" s="18" t="s">
        <v>216</v>
      </c>
      <c r="E57" s="18" t="s">
        <v>220</v>
      </c>
      <c r="F57" s="2">
        <v>75833</v>
      </c>
      <c r="G57" s="2">
        <v>76905</v>
      </c>
      <c r="H57" s="2">
        <v>78568</v>
      </c>
      <c r="I57" s="2">
        <v>78568</v>
      </c>
      <c r="J57" s="2">
        <v>78568</v>
      </c>
      <c r="K57" s="2">
        <v>78568</v>
      </c>
    </row>
    <row r="58" spans="1:11" x14ac:dyDescent="0.2">
      <c r="A58" s="203" t="s">
        <v>707</v>
      </c>
      <c r="B58" s="2">
        <v>1000</v>
      </c>
      <c r="C58" s="165">
        <v>1000</v>
      </c>
      <c r="D58" s="2">
        <v>1000</v>
      </c>
      <c r="E58" s="165">
        <v>1000</v>
      </c>
      <c r="F58" s="2"/>
      <c r="G58" s="2"/>
      <c r="H58" s="2"/>
      <c r="J58" s="2"/>
      <c r="K58" s="2"/>
    </row>
    <row r="59" spans="1:11" x14ac:dyDescent="0.2">
      <c r="A59" s="203" t="s">
        <v>1198</v>
      </c>
      <c r="B59" s="2">
        <v>1000</v>
      </c>
      <c r="C59" s="165">
        <v>1000</v>
      </c>
      <c r="D59" s="2">
        <v>1000</v>
      </c>
      <c r="E59" s="165">
        <v>1000</v>
      </c>
      <c r="F59" s="2"/>
      <c r="G59" s="2"/>
      <c r="H59" s="2"/>
      <c r="J59" s="2"/>
      <c r="K59" s="2"/>
    </row>
    <row r="60" spans="1:11" x14ac:dyDescent="0.2">
      <c r="A60" s="203" t="s">
        <v>1155</v>
      </c>
      <c r="B60" s="2">
        <v>5500</v>
      </c>
      <c r="C60" s="165">
        <v>5500</v>
      </c>
      <c r="D60" s="2">
        <v>6000</v>
      </c>
      <c r="E60" s="165">
        <v>5775</v>
      </c>
      <c r="F60" s="2"/>
      <c r="G60" s="2"/>
      <c r="H60" s="2"/>
      <c r="J60" s="2"/>
      <c r="K60" s="2"/>
    </row>
    <row r="61" spans="1:11" x14ac:dyDescent="0.2">
      <c r="A61" s="203" t="s">
        <v>884</v>
      </c>
      <c r="B61" s="2">
        <v>2915</v>
      </c>
      <c r="C61" s="165">
        <v>2915</v>
      </c>
      <c r="D61" s="7">
        <v>2915</v>
      </c>
      <c r="E61" s="165">
        <v>2915</v>
      </c>
      <c r="F61" s="2"/>
      <c r="G61" s="2"/>
      <c r="H61" s="2"/>
      <c r="J61" s="2"/>
      <c r="K61" s="2"/>
    </row>
    <row r="62" spans="1:11" x14ac:dyDescent="0.2">
      <c r="A62" s="203" t="s">
        <v>1624</v>
      </c>
      <c r="B62" s="2">
        <v>3869</v>
      </c>
      <c r="C62" s="165">
        <v>3869</v>
      </c>
      <c r="D62" s="2">
        <v>4000</v>
      </c>
      <c r="E62" s="165">
        <v>4000</v>
      </c>
      <c r="F62" s="2"/>
      <c r="G62" s="2"/>
      <c r="H62" s="2"/>
      <c r="J62" s="2"/>
      <c r="K62" s="2"/>
    </row>
    <row r="63" spans="1:11" x14ac:dyDescent="0.2">
      <c r="A63" s="203" t="s">
        <v>1703</v>
      </c>
      <c r="B63" s="2">
        <v>2500</v>
      </c>
      <c r="C63" s="165">
        <v>2500</v>
      </c>
      <c r="D63" s="2">
        <v>5000</v>
      </c>
      <c r="E63" s="165">
        <v>2625</v>
      </c>
      <c r="F63" s="2"/>
      <c r="G63" s="2"/>
      <c r="H63" s="2"/>
      <c r="J63" s="2"/>
      <c r="K63" s="2"/>
    </row>
    <row r="64" spans="1:11" x14ac:dyDescent="0.2">
      <c r="A64" s="203" t="s">
        <v>79</v>
      </c>
      <c r="B64" s="2">
        <v>13886</v>
      </c>
      <c r="C64" s="165">
        <v>13886</v>
      </c>
      <c r="D64" s="2">
        <v>43257</v>
      </c>
      <c r="E64" s="165">
        <v>15018</v>
      </c>
      <c r="F64" s="2"/>
      <c r="G64" s="2"/>
      <c r="H64" s="2"/>
      <c r="J64" s="2"/>
      <c r="K64" s="2"/>
    </row>
    <row r="65" spans="1:11" x14ac:dyDescent="0.2">
      <c r="A65" s="192" t="s">
        <v>1875</v>
      </c>
      <c r="B65" s="2">
        <v>4869</v>
      </c>
      <c r="C65" s="165">
        <v>8000</v>
      </c>
      <c r="D65" s="2">
        <v>8000</v>
      </c>
      <c r="E65" s="165">
        <v>8000</v>
      </c>
      <c r="F65" s="2"/>
      <c r="G65" s="2"/>
      <c r="H65" s="2"/>
      <c r="J65" s="2"/>
      <c r="K65" s="2"/>
    </row>
    <row r="66" spans="1:11" x14ac:dyDescent="0.2">
      <c r="A66" s="203" t="s">
        <v>786</v>
      </c>
      <c r="B66" s="2">
        <v>1000</v>
      </c>
      <c r="C66" s="166" t="s">
        <v>1876</v>
      </c>
      <c r="D66" s="166" t="s">
        <v>1876</v>
      </c>
      <c r="E66" s="166" t="s">
        <v>1876</v>
      </c>
      <c r="F66" s="2"/>
      <c r="G66" s="2"/>
      <c r="H66" s="2"/>
      <c r="J66" s="2"/>
      <c r="K66" s="2"/>
    </row>
    <row r="67" spans="1:11" x14ac:dyDescent="0.2">
      <c r="A67" s="203" t="s">
        <v>1194</v>
      </c>
      <c r="B67" s="2">
        <v>15000</v>
      </c>
      <c r="C67" s="165">
        <v>15000</v>
      </c>
      <c r="D67" s="2">
        <v>15000</v>
      </c>
      <c r="E67" s="165">
        <v>15000</v>
      </c>
      <c r="F67" s="2"/>
      <c r="G67" s="2"/>
      <c r="H67" s="2"/>
      <c r="J67" s="2"/>
      <c r="K67" s="2"/>
    </row>
    <row r="68" spans="1:11" x14ac:dyDescent="0.2">
      <c r="A68" s="203" t="s">
        <v>343</v>
      </c>
      <c r="B68" s="2">
        <v>4369</v>
      </c>
      <c r="C68" s="166" t="s">
        <v>1876</v>
      </c>
      <c r="D68" s="166" t="s">
        <v>1876</v>
      </c>
      <c r="E68" s="166" t="s">
        <v>1876</v>
      </c>
      <c r="F68" s="2"/>
      <c r="G68" s="2"/>
      <c r="H68" s="2"/>
      <c r="J68" s="2"/>
      <c r="K68" s="2"/>
    </row>
    <row r="69" spans="1:11" x14ac:dyDescent="0.2">
      <c r="A69" s="203" t="s">
        <v>80</v>
      </c>
      <c r="B69" s="2">
        <v>0</v>
      </c>
      <c r="C69" s="165">
        <v>5000</v>
      </c>
      <c r="D69" s="2">
        <v>5000</v>
      </c>
      <c r="E69" s="165">
        <v>5000</v>
      </c>
      <c r="F69" s="2"/>
      <c r="G69" s="2"/>
      <c r="H69" s="2"/>
      <c r="J69" s="2"/>
      <c r="K69" s="2"/>
    </row>
    <row r="70" spans="1:11" x14ac:dyDescent="0.2">
      <c r="A70" s="203" t="s">
        <v>779</v>
      </c>
      <c r="B70" s="2">
        <v>5000</v>
      </c>
      <c r="C70" s="165">
        <v>5000</v>
      </c>
      <c r="D70" s="2">
        <v>5000</v>
      </c>
      <c r="E70" s="165">
        <v>5000</v>
      </c>
      <c r="F70" s="2"/>
      <c r="G70" s="2"/>
      <c r="H70" s="2"/>
      <c r="J70" s="2"/>
      <c r="K70" s="2"/>
    </row>
    <row r="71" spans="1:11" x14ac:dyDescent="0.2">
      <c r="A71" s="203" t="s">
        <v>81</v>
      </c>
      <c r="B71" s="2">
        <v>1300</v>
      </c>
      <c r="C71" s="165">
        <v>1300</v>
      </c>
      <c r="D71" s="2">
        <v>2000</v>
      </c>
      <c r="E71" s="165">
        <v>1300</v>
      </c>
      <c r="F71" s="2"/>
      <c r="G71" s="2"/>
      <c r="H71" s="2"/>
      <c r="J71" s="2"/>
      <c r="K71" s="2"/>
    </row>
    <row r="72" spans="1:11" x14ac:dyDescent="0.2">
      <c r="A72" s="203" t="s">
        <v>444</v>
      </c>
      <c r="B72" s="3">
        <v>3000</v>
      </c>
      <c r="C72" s="165">
        <v>2500</v>
      </c>
      <c r="D72" s="2">
        <v>2500</v>
      </c>
      <c r="E72" s="165">
        <v>2500</v>
      </c>
      <c r="F72" s="2"/>
      <c r="G72" s="2"/>
      <c r="H72" s="2"/>
      <c r="J72" s="2"/>
      <c r="K72" s="2"/>
    </row>
    <row r="73" spans="1:11" ht="15" x14ac:dyDescent="0.35">
      <c r="A73" s="203" t="s">
        <v>2013</v>
      </c>
      <c r="B73" s="28">
        <v>10625</v>
      </c>
      <c r="C73" s="167">
        <v>9435</v>
      </c>
      <c r="D73" s="10">
        <v>10100</v>
      </c>
      <c r="E73" s="167">
        <v>9435</v>
      </c>
      <c r="F73" s="2"/>
      <c r="G73" s="2"/>
      <c r="H73" s="2"/>
      <c r="J73" s="2"/>
      <c r="K73" s="2"/>
    </row>
    <row r="74" spans="1:11" x14ac:dyDescent="0.2">
      <c r="A74" s="183" t="s">
        <v>1073</v>
      </c>
      <c r="B74" s="2">
        <f>SUM(B58:B73)</f>
        <v>75833</v>
      </c>
      <c r="C74" s="2">
        <f>SUM(C58:C73)</f>
        <v>76905</v>
      </c>
      <c r="D74" s="2">
        <f>SUM(D58:D73)</f>
        <v>110772</v>
      </c>
      <c r="E74" s="165">
        <f>SUM(E58:E73)</f>
        <v>78568</v>
      </c>
      <c r="F74" s="2"/>
      <c r="G74" s="2"/>
      <c r="H74" s="2"/>
      <c r="J74" s="2"/>
      <c r="K74" s="2"/>
    </row>
    <row r="75" spans="1:11" x14ac:dyDescent="0.2">
      <c r="B75" s="2"/>
      <c r="C75" s="2"/>
      <c r="D75" s="2"/>
      <c r="E75" s="2"/>
      <c r="F75" s="2"/>
      <c r="G75" s="2"/>
      <c r="H75" s="2"/>
      <c r="J75" s="2"/>
      <c r="K75" s="2"/>
    </row>
    <row r="76" spans="1:11" x14ac:dyDescent="0.2">
      <c r="A76" s="183" t="s">
        <v>814</v>
      </c>
      <c r="B76" s="2"/>
      <c r="C76" s="2"/>
      <c r="D76" s="2"/>
      <c r="E76" s="7"/>
      <c r="F76" s="2">
        <v>21243</v>
      </c>
      <c r="G76" s="2">
        <v>35000</v>
      </c>
      <c r="H76" s="2">
        <v>35000</v>
      </c>
      <c r="I76" s="2">
        <v>35000</v>
      </c>
      <c r="J76" s="2">
        <v>35000</v>
      </c>
      <c r="K76" s="2">
        <v>35000</v>
      </c>
    </row>
    <row r="77" spans="1:11" x14ac:dyDescent="0.2">
      <c r="A77" s="183" t="s">
        <v>815</v>
      </c>
      <c r="B77" s="2"/>
      <c r="C77" s="2"/>
      <c r="D77" s="2"/>
      <c r="E77" s="7"/>
      <c r="F77" s="2">
        <v>192</v>
      </c>
      <c r="G77" s="2">
        <v>1500</v>
      </c>
      <c r="H77" s="2">
        <v>1300</v>
      </c>
      <c r="I77" s="2">
        <v>1300</v>
      </c>
      <c r="J77" s="2">
        <v>1300</v>
      </c>
      <c r="K77" s="2">
        <v>1300</v>
      </c>
    </row>
    <row r="78" spans="1:11" x14ac:dyDescent="0.2">
      <c r="A78" s="183" t="s">
        <v>622</v>
      </c>
      <c r="B78" s="2"/>
      <c r="C78" s="2"/>
      <c r="D78" s="2"/>
      <c r="E78" s="7"/>
      <c r="F78" s="2">
        <v>0</v>
      </c>
      <c r="G78" s="2">
        <v>200</v>
      </c>
      <c r="H78" s="2">
        <v>400</v>
      </c>
      <c r="I78" s="2">
        <v>400</v>
      </c>
      <c r="J78" s="2">
        <v>400</v>
      </c>
      <c r="K78" s="2">
        <v>400</v>
      </c>
    </row>
    <row r="79" spans="1:11" x14ac:dyDescent="0.2">
      <c r="A79" s="183" t="s">
        <v>623</v>
      </c>
      <c r="B79" s="2"/>
      <c r="C79" s="2"/>
      <c r="D79" s="2"/>
      <c r="E79" s="7"/>
      <c r="F79" s="2">
        <v>808</v>
      </c>
      <c r="G79" s="2">
        <v>500</v>
      </c>
      <c r="H79" s="2">
        <v>800</v>
      </c>
      <c r="I79" s="2">
        <v>800</v>
      </c>
      <c r="J79" s="2">
        <v>800</v>
      </c>
      <c r="K79" s="2">
        <v>800</v>
      </c>
    </row>
    <row r="80" spans="1:11" x14ac:dyDescent="0.2">
      <c r="A80" s="183" t="s">
        <v>816</v>
      </c>
      <c r="B80" s="2"/>
      <c r="C80" s="2"/>
      <c r="D80" s="2"/>
      <c r="E80" s="7"/>
      <c r="F80" s="2">
        <v>5</v>
      </c>
      <c r="G80" s="2">
        <v>50</v>
      </c>
      <c r="H80" s="2">
        <v>50</v>
      </c>
      <c r="I80" s="2">
        <v>50</v>
      </c>
      <c r="J80" s="2">
        <v>50</v>
      </c>
      <c r="K80" s="2">
        <v>50</v>
      </c>
    </row>
    <row r="81" spans="1:11" x14ac:dyDescent="0.2">
      <c r="A81" s="183" t="s">
        <v>817</v>
      </c>
      <c r="B81" s="2"/>
      <c r="C81" s="2"/>
      <c r="D81" s="2"/>
      <c r="E81" s="7"/>
      <c r="F81" s="2">
        <v>0</v>
      </c>
      <c r="G81" s="2">
        <v>1</v>
      </c>
      <c r="H81" s="2">
        <v>1</v>
      </c>
      <c r="I81" s="2">
        <v>1</v>
      </c>
      <c r="J81" s="2">
        <v>1</v>
      </c>
      <c r="K81" s="2">
        <v>1</v>
      </c>
    </row>
    <row r="82" spans="1:11" x14ac:dyDescent="0.2">
      <c r="A82" s="183" t="s">
        <v>818</v>
      </c>
      <c r="B82" s="2"/>
      <c r="C82" s="2"/>
      <c r="D82" s="2"/>
      <c r="E82" s="7"/>
      <c r="F82" s="2">
        <v>0</v>
      </c>
      <c r="G82" s="2">
        <v>200</v>
      </c>
      <c r="H82" s="2">
        <v>200</v>
      </c>
      <c r="I82" s="2">
        <v>200</v>
      </c>
      <c r="J82" s="2">
        <v>200</v>
      </c>
      <c r="K82" s="2">
        <v>200</v>
      </c>
    </row>
    <row r="83" spans="1:11" x14ac:dyDescent="0.2">
      <c r="A83" s="183" t="s">
        <v>819</v>
      </c>
      <c r="B83" s="2"/>
      <c r="C83" s="2"/>
      <c r="D83" s="2"/>
      <c r="E83" s="7"/>
      <c r="F83" s="2">
        <v>0</v>
      </c>
      <c r="G83" s="2">
        <v>1</v>
      </c>
      <c r="H83" s="2">
        <v>1</v>
      </c>
      <c r="I83" s="2">
        <v>1</v>
      </c>
      <c r="J83" s="2">
        <v>1</v>
      </c>
      <c r="K83" s="2">
        <v>1</v>
      </c>
    </row>
    <row r="84" spans="1:11" x14ac:dyDescent="0.2">
      <c r="A84" s="183" t="s">
        <v>1124</v>
      </c>
      <c r="B84" s="2"/>
      <c r="C84" s="2"/>
      <c r="D84" s="2"/>
      <c r="E84" s="7"/>
      <c r="F84" s="2">
        <v>0</v>
      </c>
      <c r="G84" s="2">
        <v>1</v>
      </c>
      <c r="H84" s="2">
        <v>1</v>
      </c>
      <c r="I84" s="2">
        <v>1</v>
      </c>
      <c r="J84" s="2">
        <v>1</v>
      </c>
      <c r="K84" s="2">
        <v>1</v>
      </c>
    </row>
    <row r="85" spans="1:11" x14ac:dyDescent="0.2">
      <c r="A85" s="183" t="s">
        <v>1674</v>
      </c>
      <c r="B85" s="2"/>
      <c r="C85" s="2"/>
      <c r="D85" s="2"/>
      <c r="E85" s="7"/>
      <c r="F85" s="2">
        <v>59</v>
      </c>
      <c r="G85" s="2">
        <v>1000</v>
      </c>
      <c r="H85" s="2">
        <v>1000</v>
      </c>
      <c r="I85" s="2">
        <v>1000</v>
      </c>
      <c r="J85" s="2">
        <v>1000</v>
      </c>
      <c r="K85" s="2">
        <v>1000</v>
      </c>
    </row>
    <row r="86" spans="1:11" x14ac:dyDescent="0.2">
      <c r="A86" s="183" t="s">
        <v>630</v>
      </c>
      <c r="B86" s="2"/>
      <c r="C86" s="2"/>
      <c r="D86" s="2"/>
      <c r="E86" s="7"/>
      <c r="F86" s="2">
        <v>0</v>
      </c>
      <c r="G86" s="2">
        <v>1</v>
      </c>
      <c r="H86" s="2">
        <v>1</v>
      </c>
      <c r="I86" s="2">
        <v>1</v>
      </c>
      <c r="J86" s="2">
        <v>1</v>
      </c>
      <c r="K86" s="2">
        <v>1</v>
      </c>
    </row>
    <row r="87" spans="1:11" x14ac:dyDescent="0.2">
      <c r="A87" s="183" t="s">
        <v>234</v>
      </c>
      <c r="B87" s="2"/>
      <c r="C87" s="2"/>
      <c r="D87" s="2"/>
      <c r="E87" s="7"/>
      <c r="F87" s="2">
        <v>0</v>
      </c>
      <c r="G87" s="2">
        <v>1</v>
      </c>
      <c r="H87" s="2">
        <v>1</v>
      </c>
      <c r="I87" s="2">
        <v>1</v>
      </c>
      <c r="J87" s="2">
        <v>1</v>
      </c>
      <c r="K87" s="2">
        <v>1</v>
      </c>
    </row>
    <row r="88" spans="1:11" x14ac:dyDescent="0.2">
      <c r="A88" s="183" t="s">
        <v>235</v>
      </c>
      <c r="B88" s="2"/>
      <c r="C88" s="2"/>
      <c r="D88" s="2"/>
      <c r="E88" s="7"/>
      <c r="F88" s="2">
        <v>681</v>
      </c>
      <c r="G88" s="2">
        <v>1000</v>
      </c>
      <c r="H88" s="2">
        <v>1000</v>
      </c>
      <c r="I88" s="2">
        <v>1000</v>
      </c>
      <c r="J88" s="2">
        <v>1000</v>
      </c>
      <c r="K88" s="2">
        <v>1000</v>
      </c>
    </row>
    <row r="89" spans="1:11" x14ac:dyDescent="0.2">
      <c r="A89" s="183" t="s">
        <v>874</v>
      </c>
      <c r="B89" s="2"/>
      <c r="C89" s="2"/>
      <c r="D89" s="2"/>
      <c r="E89" s="7"/>
      <c r="F89" s="2">
        <v>0</v>
      </c>
      <c r="G89" s="2">
        <v>500</v>
      </c>
      <c r="H89" s="2">
        <v>800</v>
      </c>
      <c r="I89" s="2">
        <v>800</v>
      </c>
      <c r="J89" s="2">
        <v>800</v>
      </c>
      <c r="K89" s="2">
        <v>800</v>
      </c>
    </row>
    <row r="90" spans="1:11" x14ac:dyDescent="0.2">
      <c r="A90" s="183" t="s">
        <v>1241</v>
      </c>
      <c r="B90" s="2"/>
      <c r="C90" s="2"/>
      <c r="D90" s="2"/>
      <c r="E90" s="7"/>
      <c r="F90" s="2">
        <v>400</v>
      </c>
      <c r="G90" s="2">
        <v>1</v>
      </c>
      <c r="H90" s="2">
        <v>1</v>
      </c>
      <c r="I90" s="2">
        <v>1</v>
      </c>
      <c r="J90" s="2">
        <v>1</v>
      </c>
      <c r="K90" s="2">
        <v>1</v>
      </c>
    </row>
    <row r="91" spans="1:11" ht="15" x14ac:dyDescent="0.35">
      <c r="A91" s="183" t="s">
        <v>584</v>
      </c>
      <c r="B91" s="10"/>
      <c r="C91" s="10"/>
      <c r="D91" s="10"/>
      <c r="E91" s="8"/>
      <c r="F91" s="10">
        <v>0</v>
      </c>
      <c r="G91" s="10">
        <v>1</v>
      </c>
      <c r="H91" s="10">
        <v>1</v>
      </c>
      <c r="I91" s="10">
        <v>1</v>
      </c>
      <c r="J91" s="10">
        <v>1</v>
      </c>
      <c r="K91" s="10">
        <v>1</v>
      </c>
    </row>
    <row r="92" spans="1:11" ht="15" x14ac:dyDescent="0.35">
      <c r="A92" s="183" t="s">
        <v>345</v>
      </c>
      <c r="B92" s="2"/>
      <c r="C92" s="7"/>
      <c r="D92" s="7"/>
      <c r="E92" s="2"/>
      <c r="F92" s="10">
        <f t="shared" ref="F92:K92" si="0">SUM(F76:F91)</f>
        <v>23388</v>
      </c>
      <c r="G92" s="10">
        <f t="shared" si="0"/>
        <v>39957</v>
      </c>
      <c r="H92" s="10">
        <f t="shared" si="0"/>
        <v>40557</v>
      </c>
      <c r="I92" s="10">
        <f t="shared" ref="I92:J92" si="1">SUM(I76:I91)</f>
        <v>40557</v>
      </c>
      <c r="J92" s="10">
        <f t="shared" si="1"/>
        <v>40557</v>
      </c>
      <c r="K92" s="10">
        <f t="shared" si="0"/>
        <v>40557</v>
      </c>
    </row>
    <row r="93" spans="1:11" x14ac:dyDescent="0.2">
      <c r="B93" s="2"/>
      <c r="C93" s="7"/>
      <c r="D93" s="7"/>
      <c r="E93" s="2"/>
      <c r="F93" s="2"/>
      <c r="G93" s="2"/>
      <c r="H93" s="2"/>
      <c r="J93" s="2"/>
      <c r="K93" s="2"/>
    </row>
    <row r="94" spans="1:11" x14ac:dyDescent="0.2">
      <c r="A94" s="183" t="s">
        <v>1151</v>
      </c>
      <c r="E94" s="2"/>
      <c r="F94" s="2">
        <f t="shared" ref="F94:K94" si="2">SUM(F6:F91)</f>
        <v>147723</v>
      </c>
      <c r="G94" s="2">
        <f t="shared" si="2"/>
        <v>168029</v>
      </c>
      <c r="H94" s="2">
        <f t="shared" si="2"/>
        <v>168225</v>
      </c>
      <c r="I94" s="2">
        <f t="shared" ref="I94:J94" si="3">SUM(I6:I91)</f>
        <v>168225</v>
      </c>
      <c r="J94" s="2">
        <f t="shared" si="3"/>
        <v>169340</v>
      </c>
      <c r="K94" s="2">
        <f t="shared" si="2"/>
        <v>169340</v>
      </c>
    </row>
    <row r="95" spans="1:11" x14ac:dyDescent="0.2">
      <c r="J95" s="2"/>
      <c r="K95" s="2"/>
    </row>
    <row r="96" spans="1:11" x14ac:dyDescent="0.2">
      <c r="A96" s="183" t="s">
        <v>829</v>
      </c>
      <c r="F96" s="2">
        <f t="shared" ref="F96:K96" si="4">SUM(F6:F17)</f>
        <v>45376</v>
      </c>
      <c r="G96" s="2">
        <f t="shared" si="4"/>
        <v>47015</v>
      </c>
      <c r="H96" s="2">
        <f t="shared" si="4"/>
        <v>44919</v>
      </c>
      <c r="I96" s="2">
        <f t="shared" si="4"/>
        <v>44919</v>
      </c>
      <c r="J96" s="2">
        <f t="shared" ref="J96" si="5">SUM(J6:J17)</f>
        <v>46034</v>
      </c>
      <c r="K96" s="2">
        <f t="shared" si="4"/>
        <v>46034</v>
      </c>
    </row>
    <row r="97" spans="1:11" x14ac:dyDescent="0.2">
      <c r="A97" s="183" t="s">
        <v>809</v>
      </c>
      <c r="F97" s="2">
        <f t="shared" ref="F97:K97" si="6">SUM(F57:F91)+SUM(F19:F53)</f>
        <v>102347</v>
      </c>
      <c r="G97" s="2">
        <f t="shared" si="6"/>
        <v>121014</v>
      </c>
      <c r="H97" s="2">
        <f t="shared" si="6"/>
        <v>123306</v>
      </c>
      <c r="I97" s="2">
        <f t="shared" si="6"/>
        <v>123306</v>
      </c>
      <c r="J97" s="2">
        <f t="shared" ref="J97" si="7">SUM(J57:J91)+SUM(J19:J53)</f>
        <v>123306</v>
      </c>
      <c r="K97" s="2">
        <f t="shared" si="6"/>
        <v>123306</v>
      </c>
    </row>
    <row r="98" spans="1:11" x14ac:dyDescent="0.2">
      <c r="A98" s="183" t="s">
        <v>810</v>
      </c>
      <c r="F98" s="17">
        <f t="shared" ref="F98:K98" si="8">+F54</f>
        <v>0</v>
      </c>
      <c r="G98" s="17">
        <f t="shared" si="8"/>
        <v>0</v>
      </c>
      <c r="H98" s="17">
        <f t="shared" si="8"/>
        <v>0</v>
      </c>
      <c r="I98" s="17">
        <f t="shared" si="8"/>
        <v>0</v>
      </c>
      <c r="J98" s="17">
        <f t="shared" ref="J98" si="9">+J54</f>
        <v>0</v>
      </c>
      <c r="K98" s="17">
        <f t="shared" si="8"/>
        <v>0</v>
      </c>
    </row>
    <row r="99" spans="1:11" x14ac:dyDescent="0.2">
      <c r="A99" s="183" t="s">
        <v>1073</v>
      </c>
      <c r="F99" s="2">
        <f t="shared" ref="F99:K99" si="10">SUM(F96:F98)</f>
        <v>147723</v>
      </c>
      <c r="G99" s="2">
        <f t="shared" si="10"/>
        <v>168029</v>
      </c>
      <c r="H99" s="2">
        <f t="shared" si="10"/>
        <v>168225</v>
      </c>
      <c r="I99" s="2">
        <f t="shared" si="10"/>
        <v>168225</v>
      </c>
      <c r="J99" s="2">
        <f t="shared" ref="J99" si="11">SUM(J96:J98)</f>
        <v>169340</v>
      </c>
      <c r="K99" s="2">
        <f t="shared" si="10"/>
        <v>169340</v>
      </c>
    </row>
    <row r="100" spans="1:11" x14ac:dyDescent="0.2">
      <c r="J100" s="2"/>
      <c r="K100" s="2">
        <f>+K99-J99</f>
        <v>0</v>
      </c>
    </row>
    <row r="101" spans="1:11" x14ac:dyDescent="0.2">
      <c r="J101" s="2"/>
    </row>
    <row r="102" spans="1:11" x14ac:dyDescent="0.2">
      <c r="J102" s="2"/>
    </row>
    <row r="103" spans="1:11" x14ac:dyDescent="0.2">
      <c r="J103" s="2"/>
    </row>
    <row r="104" spans="1:11" x14ac:dyDescent="0.2">
      <c r="J104" s="2"/>
    </row>
    <row r="105" spans="1:11" x14ac:dyDescent="0.2">
      <c r="J105" s="2"/>
    </row>
    <row r="106" spans="1:11" x14ac:dyDescent="0.2">
      <c r="J106" s="2"/>
    </row>
    <row r="107" spans="1:11" x14ac:dyDescent="0.2">
      <c r="J107" s="2"/>
    </row>
    <row r="108" spans="1:11" x14ac:dyDescent="0.2">
      <c r="J108" s="2"/>
    </row>
    <row r="109" spans="1:11" x14ac:dyDescent="0.2">
      <c r="J109" s="2"/>
    </row>
    <row r="110" spans="1:11" x14ac:dyDescent="0.2">
      <c r="J110" s="2"/>
    </row>
    <row r="111" spans="1:11" x14ac:dyDescent="0.2">
      <c r="J111" s="2"/>
    </row>
    <row r="112" spans="1:11" x14ac:dyDescent="0.2">
      <c r="J112" s="2"/>
    </row>
    <row r="113" spans="10:10" x14ac:dyDescent="0.2">
      <c r="J113" s="2"/>
    </row>
    <row r="114" spans="10:10" x14ac:dyDescent="0.2">
      <c r="J114" s="2"/>
    </row>
    <row r="115" spans="10:10" x14ac:dyDescent="0.2">
      <c r="J115" s="2"/>
    </row>
    <row r="116" spans="10:10" x14ac:dyDescent="0.2">
      <c r="J116" s="2"/>
    </row>
    <row r="117" spans="10:10" x14ac:dyDescent="0.2">
      <c r="J117" s="2"/>
    </row>
    <row r="118" spans="10:10" x14ac:dyDescent="0.2">
      <c r="J118" s="2"/>
    </row>
    <row r="119" spans="10:10" x14ac:dyDescent="0.2">
      <c r="J119" s="2"/>
    </row>
    <row r="120" spans="10:10" x14ac:dyDescent="0.2">
      <c r="J120" s="2"/>
    </row>
    <row r="121" spans="10:10" x14ac:dyDescent="0.2">
      <c r="J121" s="2"/>
    </row>
    <row r="122" spans="10:10" x14ac:dyDescent="0.2">
      <c r="J122" s="2"/>
    </row>
    <row r="123" spans="10:10" x14ac:dyDescent="0.2">
      <c r="J123" s="2"/>
    </row>
    <row r="124" spans="10:10" x14ac:dyDescent="0.2">
      <c r="J124" s="2"/>
    </row>
    <row r="125" spans="10:10" x14ac:dyDescent="0.2">
      <c r="J125" s="2"/>
    </row>
    <row r="126" spans="10:10" x14ac:dyDescent="0.2">
      <c r="J126" s="2"/>
    </row>
    <row r="127" spans="10:10" x14ac:dyDescent="0.2">
      <c r="J127" s="2"/>
    </row>
    <row r="128" spans="10:10" x14ac:dyDescent="0.2">
      <c r="J128" s="2"/>
    </row>
    <row r="129" spans="10:10" x14ac:dyDescent="0.2">
      <c r="J129" s="2"/>
    </row>
    <row r="130" spans="10:10" x14ac:dyDescent="0.2">
      <c r="J130" s="2"/>
    </row>
    <row r="131" spans="10:10" x14ac:dyDescent="0.2">
      <c r="J131" s="2"/>
    </row>
    <row r="132" spans="10:10" x14ac:dyDescent="0.2">
      <c r="J132" s="2"/>
    </row>
    <row r="133" spans="10:10" x14ac:dyDescent="0.2">
      <c r="J133" s="2"/>
    </row>
    <row r="134" spans="10:10" x14ac:dyDescent="0.2">
      <c r="J134" s="2"/>
    </row>
    <row r="135" spans="10:10" x14ac:dyDescent="0.2">
      <c r="J135" s="2"/>
    </row>
    <row r="136" spans="10:10" x14ac:dyDescent="0.2">
      <c r="J136" s="2"/>
    </row>
    <row r="137" spans="10:10" x14ac:dyDescent="0.2">
      <c r="J137" s="2"/>
    </row>
    <row r="138" spans="10:10" x14ac:dyDescent="0.2">
      <c r="J138" s="2"/>
    </row>
    <row r="139" spans="10:10" x14ac:dyDescent="0.2">
      <c r="J139" s="2"/>
    </row>
    <row r="140" spans="10:10" x14ac:dyDescent="0.2">
      <c r="J140" s="2"/>
    </row>
    <row r="141" spans="10:10" x14ac:dyDescent="0.2">
      <c r="J141" s="2"/>
    </row>
    <row r="142" spans="10:10" x14ac:dyDescent="0.2">
      <c r="J142" s="2"/>
    </row>
    <row r="143" spans="10:10" x14ac:dyDescent="0.2">
      <c r="J143" s="2"/>
    </row>
    <row r="144" spans="10:10" x14ac:dyDescent="0.2">
      <c r="J144" s="2"/>
    </row>
    <row r="145" spans="10:10" x14ac:dyDescent="0.2">
      <c r="J145" s="2"/>
    </row>
    <row r="146" spans="10:10" x14ac:dyDescent="0.2">
      <c r="J146" s="2"/>
    </row>
    <row r="147" spans="10:10" x14ac:dyDescent="0.2">
      <c r="J147" s="2"/>
    </row>
    <row r="148" spans="10:10" x14ac:dyDescent="0.2">
      <c r="J148" s="2"/>
    </row>
    <row r="149" spans="10:10" x14ac:dyDescent="0.2">
      <c r="J149" s="2"/>
    </row>
    <row r="150" spans="10:10" x14ac:dyDescent="0.2">
      <c r="J150" s="2"/>
    </row>
    <row r="151" spans="10:10" x14ac:dyDescent="0.2">
      <c r="J151" s="2"/>
    </row>
    <row r="152" spans="10:10" x14ac:dyDescent="0.2">
      <c r="J152" s="2"/>
    </row>
    <row r="153" spans="10:10" x14ac:dyDescent="0.2">
      <c r="J153" s="2"/>
    </row>
    <row r="154" spans="10:10" x14ac:dyDescent="0.2">
      <c r="J154" s="2"/>
    </row>
    <row r="155" spans="10:10" x14ac:dyDescent="0.2">
      <c r="J155" s="2"/>
    </row>
    <row r="156" spans="10:10" x14ac:dyDescent="0.2">
      <c r="J156" s="2"/>
    </row>
    <row r="157" spans="10:10" x14ac:dyDescent="0.2">
      <c r="J157" s="2"/>
    </row>
    <row r="158" spans="10:10" x14ac:dyDescent="0.2">
      <c r="J158" s="2"/>
    </row>
    <row r="159" spans="10:10" x14ac:dyDescent="0.2">
      <c r="J159" s="2"/>
    </row>
    <row r="160" spans="10:10" x14ac:dyDescent="0.2">
      <c r="J160" s="2"/>
    </row>
    <row r="161" spans="10:10" x14ac:dyDescent="0.2">
      <c r="J161" s="2"/>
    </row>
    <row r="162" spans="10:10" x14ac:dyDescent="0.2">
      <c r="J162" s="2"/>
    </row>
    <row r="163" spans="10:10" x14ac:dyDescent="0.2">
      <c r="J163" s="2"/>
    </row>
    <row r="164" spans="10:10" x14ac:dyDescent="0.2">
      <c r="J164" s="2"/>
    </row>
    <row r="165" spans="10:10" x14ac:dyDescent="0.2">
      <c r="J165" s="2"/>
    </row>
    <row r="166" spans="10:10" x14ac:dyDescent="0.2">
      <c r="J166" s="2"/>
    </row>
    <row r="167" spans="10:10" x14ac:dyDescent="0.2">
      <c r="J167" s="2"/>
    </row>
    <row r="168" spans="10:10" x14ac:dyDescent="0.2">
      <c r="J168" s="2"/>
    </row>
    <row r="169" spans="10:10" x14ac:dyDescent="0.2">
      <c r="J169" s="2"/>
    </row>
    <row r="170" spans="10:10" x14ac:dyDescent="0.2">
      <c r="J170" s="2"/>
    </row>
  </sheetData>
  <mergeCells count="2">
    <mergeCell ref="D56:E56"/>
    <mergeCell ref="A1:J1"/>
  </mergeCells>
  <phoneticPr fontId="0" type="noConversion"/>
  <printOptions gridLines="1"/>
  <pageMargins left="0.75" right="0.16" top="0.51" bottom="0.16" header="0.5" footer="0.5"/>
  <pageSetup scale="86" fitToHeight="3" orientation="landscape" r:id="rId1"/>
  <headerFooter alignWithMargins="0"/>
  <rowBreaks count="2" manualBreakCount="2">
    <brk id="44" max="10" man="1"/>
    <brk id="75"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70"/>
  <sheetViews>
    <sheetView view="pageBreakPreview" zoomScaleNormal="100" zoomScaleSheetLayoutView="100" workbookViewId="0">
      <pane ySplit="5" topLeftCell="A6" activePane="bottomLeft" state="frozen"/>
      <selection activeCell="D43" sqref="D43"/>
      <selection pane="bottomLeft" activeCell="G65" sqref="G65"/>
    </sheetView>
  </sheetViews>
  <sheetFormatPr defaultColWidth="8.85546875" defaultRowHeight="12.75" x14ac:dyDescent="0.2"/>
  <cols>
    <col min="1" max="1" width="53.85546875" style="129" bestFit="1" customWidth="1"/>
    <col min="2" max="3" width="11.28515625" style="129" bestFit="1" customWidth="1"/>
    <col min="4" max="4" width="11.7109375" style="129" bestFit="1" customWidth="1"/>
    <col min="5" max="5" width="14.85546875" style="129" bestFit="1" customWidth="1"/>
    <col min="6" max="7" width="11.28515625" style="129" bestFit="1" customWidth="1"/>
    <col min="8" max="8" width="0" style="129" hidden="1" customWidth="1"/>
    <col min="9" max="11" width="10.85546875" style="129" bestFit="1" customWidth="1"/>
    <col min="12" max="13" width="10" style="129" bestFit="1" customWidth="1"/>
    <col min="14" max="16384" width="8.85546875" style="129"/>
  </cols>
  <sheetData>
    <row r="1" spans="1:8" x14ac:dyDescent="0.2">
      <c r="A1" s="254" t="s">
        <v>1978</v>
      </c>
      <c r="B1" s="254"/>
      <c r="C1" s="254"/>
      <c r="D1" s="254"/>
      <c r="E1" s="254"/>
      <c r="F1" s="254"/>
      <c r="G1" s="254"/>
      <c r="H1" s="5"/>
    </row>
    <row r="2" spans="1:8" ht="18.75" x14ac:dyDescent="0.3">
      <c r="A2" s="91" t="s">
        <v>1585</v>
      </c>
      <c r="B2" s="91"/>
      <c r="C2" s="91"/>
      <c r="D2" s="91"/>
      <c r="E2" s="91"/>
      <c r="F2" s="91"/>
      <c r="G2" s="91"/>
    </row>
    <row r="3" spans="1:8" x14ac:dyDescent="0.2">
      <c r="A3" s="134"/>
      <c r="B3" s="2"/>
      <c r="C3" s="2"/>
      <c r="D3" s="134"/>
      <c r="E3" s="134"/>
      <c r="F3" s="134"/>
      <c r="G3" s="134"/>
    </row>
    <row r="4" spans="1:8" x14ac:dyDescent="0.2">
      <c r="A4" s="134"/>
      <c r="B4" s="15" t="s">
        <v>204</v>
      </c>
      <c r="C4" s="15" t="s">
        <v>205</v>
      </c>
      <c r="D4" s="15" t="s">
        <v>61</v>
      </c>
      <c r="E4" s="15" t="s">
        <v>358</v>
      </c>
      <c r="F4" s="15" t="s">
        <v>270</v>
      </c>
      <c r="G4" s="15" t="s">
        <v>301</v>
      </c>
    </row>
    <row r="5" spans="1:8" ht="15" x14ac:dyDescent="0.35">
      <c r="A5" s="134"/>
      <c r="B5" s="196" t="s">
        <v>1757</v>
      </c>
      <c r="C5" s="196" t="s">
        <v>1838</v>
      </c>
      <c r="D5" s="196" t="s">
        <v>1977</v>
      </c>
      <c r="E5" s="196" t="s">
        <v>1977</v>
      </c>
      <c r="F5" s="196" t="s">
        <v>1977</v>
      </c>
      <c r="G5" s="196" t="s">
        <v>1977</v>
      </c>
    </row>
    <row r="6" spans="1:8" ht="13.5" x14ac:dyDescent="0.25">
      <c r="A6" s="136" t="s">
        <v>236</v>
      </c>
      <c r="B6" s="2">
        <v>0</v>
      </c>
      <c r="C6" s="2">
        <v>1</v>
      </c>
      <c r="D6" s="2">
        <v>1</v>
      </c>
      <c r="E6" s="2">
        <v>1</v>
      </c>
      <c r="F6" s="2">
        <v>1</v>
      </c>
      <c r="G6" s="2">
        <v>1</v>
      </c>
    </row>
    <row r="7" spans="1:8" x14ac:dyDescent="0.2">
      <c r="A7" s="134" t="s">
        <v>231</v>
      </c>
      <c r="B7" s="2"/>
      <c r="C7" s="2"/>
      <c r="D7" s="2"/>
      <c r="E7" s="2"/>
      <c r="F7" s="2"/>
      <c r="G7" s="2"/>
    </row>
    <row r="8" spans="1:8" x14ac:dyDescent="0.2">
      <c r="A8" s="134" t="s">
        <v>232</v>
      </c>
      <c r="B8" s="2"/>
      <c r="C8" s="2"/>
      <c r="D8" s="2"/>
      <c r="E8" s="2"/>
      <c r="F8" s="2"/>
      <c r="G8" s="2"/>
    </row>
    <row r="9" spans="1:8" x14ac:dyDescent="0.2">
      <c r="A9" s="134"/>
      <c r="B9" s="2"/>
      <c r="C9" s="2"/>
      <c r="D9" s="2"/>
      <c r="E9" s="2"/>
      <c r="F9" s="2"/>
      <c r="G9" s="2"/>
    </row>
    <row r="10" spans="1:8" ht="13.5" x14ac:dyDescent="0.25">
      <c r="A10" s="136"/>
      <c r="B10" s="2"/>
      <c r="C10" s="2"/>
      <c r="D10" s="2"/>
      <c r="E10" s="2"/>
      <c r="F10" s="2"/>
      <c r="G10" s="2"/>
    </row>
    <row r="11" spans="1:8" x14ac:dyDescent="0.2">
      <c r="A11" s="116" t="s">
        <v>1173</v>
      </c>
      <c r="B11" s="2">
        <v>7175</v>
      </c>
      <c r="C11" s="2">
        <v>3707</v>
      </c>
      <c r="D11" s="2">
        <v>3681</v>
      </c>
      <c r="E11" s="2">
        <v>3681</v>
      </c>
      <c r="F11" s="2">
        <v>3681</v>
      </c>
      <c r="G11" s="2">
        <v>3681</v>
      </c>
    </row>
    <row r="12" spans="1:8" x14ac:dyDescent="0.2">
      <c r="A12" s="134" t="s">
        <v>33</v>
      </c>
      <c r="B12" s="2"/>
      <c r="C12" s="2"/>
      <c r="D12" s="2"/>
      <c r="E12" s="2"/>
      <c r="F12" s="2"/>
      <c r="G12" s="2"/>
    </row>
    <row r="13" spans="1:8" ht="13.5" x14ac:dyDescent="0.25">
      <c r="A13" s="136"/>
      <c r="B13" s="2"/>
      <c r="C13" s="2"/>
      <c r="D13" s="2"/>
      <c r="E13" s="2"/>
      <c r="F13" s="2"/>
      <c r="G13" s="2"/>
    </row>
    <row r="14" spans="1:8" x14ac:dyDescent="0.2">
      <c r="A14" s="116" t="s">
        <v>1174</v>
      </c>
      <c r="B14" s="2">
        <v>112860</v>
      </c>
      <c r="C14" s="2">
        <v>145000</v>
      </c>
      <c r="D14" s="2">
        <v>155000</v>
      </c>
      <c r="E14" s="2">
        <v>155000</v>
      </c>
      <c r="F14" s="2">
        <v>155000</v>
      </c>
      <c r="G14" s="2">
        <v>155000</v>
      </c>
    </row>
    <row r="15" spans="1:8" x14ac:dyDescent="0.2">
      <c r="A15" s="134" t="s">
        <v>33</v>
      </c>
      <c r="B15" s="2"/>
      <c r="C15" s="2"/>
      <c r="D15" s="2"/>
      <c r="E15" s="2"/>
      <c r="F15" s="2"/>
      <c r="G15" s="2"/>
    </row>
    <row r="16" spans="1:8" ht="13.5" x14ac:dyDescent="0.25">
      <c r="A16" s="136"/>
      <c r="B16" s="2"/>
      <c r="C16" s="2"/>
      <c r="D16" s="2"/>
      <c r="E16" s="2"/>
      <c r="F16" s="2"/>
      <c r="G16" s="2"/>
    </row>
    <row r="17" spans="1:12" x14ac:dyDescent="0.2">
      <c r="A17" s="116" t="s">
        <v>1610</v>
      </c>
      <c r="B17" s="2">
        <v>140000</v>
      </c>
      <c r="C17" s="2">
        <v>104955</v>
      </c>
      <c r="D17" s="2">
        <v>97050</v>
      </c>
      <c r="E17" s="2">
        <v>97050</v>
      </c>
      <c r="F17" s="2">
        <v>97050</v>
      </c>
      <c r="G17" s="2">
        <v>97050</v>
      </c>
    </row>
    <row r="18" spans="1:12" x14ac:dyDescent="0.2">
      <c r="A18" s="134" t="s">
        <v>1612</v>
      </c>
      <c r="B18" s="2"/>
      <c r="C18" s="2"/>
      <c r="D18" s="2"/>
      <c r="E18" s="2"/>
      <c r="F18" s="2"/>
      <c r="G18" s="2"/>
    </row>
    <row r="19" spans="1:12" ht="13.5" x14ac:dyDescent="0.25">
      <c r="A19" s="136"/>
      <c r="B19" s="2"/>
      <c r="C19" s="2"/>
      <c r="D19" s="2"/>
      <c r="E19" s="2"/>
      <c r="F19" s="2"/>
      <c r="G19" s="2"/>
    </row>
    <row r="20" spans="1:12" ht="15" x14ac:dyDescent="0.35">
      <c r="A20" s="116" t="s">
        <v>1611</v>
      </c>
      <c r="B20" s="10">
        <v>155000</v>
      </c>
      <c r="C20" s="10">
        <v>155000</v>
      </c>
      <c r="D20" s="10">
        <v>155000</v>
      </c>
      <c r="E20" s="10">
        <v>155000</v>
      </c>
      <c r="F20" s="10">
        <v>155000</v>
      </c>
      <c r="G20" s="10">
        <v>155000</v>
      </c>
    </row>
    <row r="21" spans="1:12" x14ac:dyDescent="0.2">
      <c r="A21" s="134" t="s">
        <v>1612</v>
      </c>
      <c r="B21" s="2"/>
      <c r="C21" s="2"/>
      <c r="D21" s="2"/>
      <c r="E21" s="2"/>
      <c r="F21" s="2"/>
      <c r="G21" s="2"/>
    </row>
    <row r="22" spans="1:12" ht="13.5" x14ac:dyDescent="0.25">
      <c r="A22" s="136"/>
      <c r="B22" s="2"/>
      <c r="C22" s="2"/>
      <c r="D22" s="2"/>
      <c r="E22" s="2"/>
      <c r="F22" s="2"/>
      <c r="G22" s="2"/>
    </row>
    <row r="23" spans="1:12" x14ac:dyDescent="0.2">
      <c r="A23" s="134" t="s">
        <v>1171</v>
      </c>
      <c r="B23" s="2">
        <f>SUM(B11:B20)</f>
        <v>415035</v>
      </c>
      <c r="C23" s="2">
        <f t="shared" ref="C23:D23" si="0">SUM(C11:C20)</f>
        <v>408662</v>
      </c>
      <c r="D23" s="2">
        <f t="shared" si="0"/>
        <v>410731</v>
      </c>
      <c r="E23" s="2">
        <f>SUM(E6:E20)</f>
        <v>410732</v>
      </c>
      <c r="F23" s="2">
        <f>SUM(F6:F20)</f>
        <v>410732</v>
      </c>
      <c r="G23" s="2">
        <f>SUM(G6:G20)</f>
        <v>410732</v>
      </c>
    </row>
    <row r="24" spans="1:12" x14ac:dyDescent="0.2">
      <c r="A24" s="134"/>
      <c r="B24" s="2"/>
      <c r="C24" s="2"/>
      <c r="D24" s="2"/>
      <c r="E24" s="2"/>
      <c r="F24" s="2"/>
      <c r="G24" s="2"/>
    </row>
    <row r="25" spans="1:12" ht="13.5" x14ac:dyDescent="0.25">
      <c r="A25" s="136"/>
      <c r="B25" s="180"/>
      <c r="C25" s="180"/>
      <c r="D25" s="180"/>
      <c r="E25" s="180"/>
      <c r="F25" s="180"/>
      <c r="G25" s="180"/>
    </row>
    <row r="26" spans="1:12" x14ac:dyDescent="0.2">
      <c r="A26" s="134" t="s">
        <v>1568</v>
      </c>
      <c r="B26" s="2">
        <f>+'01-gen gov'!E274+'02-assessing'!E119+'03-fire'!E376+'04-police'!E304+'05-comm'!E154+'06-code enforcement'!E150+'07-pub works'!E140+'08-highway'!E356+'09-solid waste'!E225+'13-parks &amp; rec'!E253+'15-library'!E248+'16-equip mntc'!E127+'17-bldg &amp; grounds'!E149+'21-comm dev'!E157+'24-tax coll'!E151+'25-welfare'!F94+B23</f>
        <v>26948199</v>
      </c>
      <c r="C26" s="2">
        <f>+'01-gen gov'!F274+'02-assessing'!F119+'03-fire'!F376+'04-police'!F304+'05-comm'!F154+'06-code enforcement'!F150+'07-pub works'!F140+'08-highway'!F356+'09-solid waste'!F225+'13-parks &amp; rec'!F253+'15-library'!F248+'16-equip mntc'!F127+'17-bldg &amp; grounds'!F149+'21-comm dev'!F157+'24-tax coll'!F151+'25-welfare'!G94+C23</f>
        <v>28827373.501744002</v>
      </c>
      <c r="D26" s="2">
        <f>+'01-gen gov'!G274+'02-assessing'!G119+'03-fire'!G376+'04-police'!G304+'05-comm'!G154+'06-code enforcement'!G150+'07-pub works'!G140+'08-highway'!G356+'09-solid waste'!G225+'13-parks &amp; rec'!G253+'15-library'!G248+'16-equip mntc'!G127+'17-bldg &amp; grounds'!G149+'21-comm dev'!G157+'24-tax coll'!G151+'25-welfare'!H94+D23</f>
        <v>30684169</v>
      </c>
      <c r="E26" s="2">
        <f>+'01-gen gov'!H274+'02-assessing'!H119+'03-fire'!H376+'04-police'!H304+'05-comm'!H154+'06-code enforcement'!H150+'07-pub works'!H140+'08-highway'!H356+'09-solid waste'!H225+'13-parks &amp; rec'!H253+'15-library'!H248+'16-equip mntc'!H127+'17-bldg &amp; grounds'!H149+'21-comm dev'!H157+'24-tax coll'!H151+'25-welfare'!I94+E23</f>
        <v>30615929</v>
      </c>
      <c r="F26" s="2">
        <f>+'01-gen gov'!I274+'02-assessing'!I119+'03-fire'!I376+'04-police'!I304+'05-comm'!I154+'06-code enforcement'!I150+'07-pub works'!I140+'08-highway'!I356+'09-solid waste'!I225+'13-parks &amp; rec'!I253+'15-library'!I248+'16-equip mntc'!I127+'17-bldg &amp; grounds'!I149+'21-comm dev'!I157+'24-tax coll'!I151+'25-welfare'!J94+F23</f>
        <v>30610494</v>
      </c>
      <c r="G26" s="2">
        <f>+'01-gen gov'!J274+'02-assessing'!J119+'03-fire'!J376+'04-police'!J304+'05-comm'!J154+'06-code enforcement'!J150+'07-pub works'!J140+'08-highway'!J356+'09-solid waste'!J225+'13-parks &amp; rec'!J253+'15-library'!J248+'16-equip mntc'!J127+'17-bldg &amp; grounds'!J149+'21-comm dev'!J157+'24-tax coll'!J151+'25-welfare'!K94+G23</f>
        <v>32482780</v>
      </c>
    </row>
    <row r="27" spans="1:12" x14ac:dyDescent="0.2">
      <c r="A27" s="47"/>
      <c r="B27" s="2"/>
      <c r="C27" s="2"/>
      <c r="D27" s="2"/>
      <c r="E27" s="2"/>
      <c r="F27" s="2"/>
      <c r="G27" s="2"/>
    </row>
    <row r="28" spans="1:12" x14ac:dyDescent="0.2">
      <c r="A28" s="134" t="s">
        <v>519</v>
      </c>
      <c r="B28" s="2">
        <f>+'25-welfare'!F96+'24-tax coll'!E153+'21-comm dev'!E160+'17-bldg &amp; grounds'!E151+'16-equip mntc'!E130+'15-library'!E255+'13-parks &amp; rec'!E255+'09-solid waste'!E228+'08-highway'!E358+'07-pub works'!E142+'06-code enforcement'!E152+'05-comm'!E156+'04-police'!E306+'03-fire'!E378+'02-assessing'!E121+'01-gen gov'!E276</f>
        <v>20142284</v>
      </c>
      <c r="C28" s="2">
        <f>+'25-welfare'!G96+'24-tax coll'!F153+'21-comm dev'!F160+'17-bldg &amp; grounds'!F151+'16-equip mntc'!F130+'15-library'!F255+'13-parks &amp; rec'!F255+'09-solid waste'!F228+'08-highway'!F358+'07-pub works'!F142+'06-code enforcement'!F152+'05-comm'!F156+'04-police'!F306+'03-fire'!F378+'02-assessing'!F121+'01-gen gov'!F276</f>
        <v>22398671.501744002</v>
      </c>
      <c r="D28" s="2">
        <f>+'25-welfare'!H96+'24-tax coll'!G153+'21-comm dev'!G160+'17-bldg &amp; grounds'!G151+'16-equip mntc'!G130+'15-library'!G255+'13-parks &amp; rec'!G255+'09-solid waste'!G228+'08-highway'!G358+'07-pub works'!G142+'06-code enforcement'!G152+'05-comm'!G156+'04-police'!G306+'03-fire'!G378+'02-assessing'!G121+'01-gen gov'!G276</f>
        <v>23049720</v>
      </c>
      <c r="E28" s="2">
        <f>+'25-welfare'!I96+'24-tax coll'!H153+'21-comm dev'!H160+'17-bldg &amp; grounds'!H151+'16-equip mntc'!H130+'15-library'!H255+'13-parks &amp; rec'!H255+'09-solid waste'!H228+'08-highway'!H358+'07-pub works'!H142+'06-code enforcement'!H152+'05-comm'!H156+'04-police'!H306+'03-fire'!H378+'02-assessing'!H121+'01-gen gov'!H276</f>
        <v>22955215</v>
      </c>
      <c r="F28" s="2">
        <f>+'25-welfare'!J96+'24-tax coll'!I153+'21-comm dev'!I160+'17-bldg &amp; grounds'!I151+'16-equip mntc'!I130+'15-library'!I255+'13-parks &amp; rec'!I255+'09-solid waste'!I228+'08-highway'!I358+'07-pub works'!I142+'06-code enforcement'!I152+'05-comm'!I156+'04-police'!I306+'03-fire'!I378+'02-assessing'!I121+'01-gen gov'!I276</f>
        <v>23020595</v>
      </c>
      <c r="G28" s="2">
        <f>+'25-welfare'!K96+'24-tax coll'!J153+'21-comm dev'!J160+'17-bldg &amp; grounds'!J151+'16-equip mntc'!J130+'15-library'!J255+'13-parks &amp; rec'!J255+'09-solid waste'!J228+'08-highway'!J358+'07-pub works'!J142+'06-code enforcement'!J152+'05-comm'!J156+'04-police'!J306+'03-fire'!J378+'02-assessing'!J121+'01-gen gov'!J276</f>
        <v>23044941</v>
      </c>
    </row>
    <row r="29" spans="1:12" x14ac:dyDescent="0.2">
      <c r="A29" s="134" t="s">
        <v>809</v>
      </c>
      <c r="B29" s="2">
        <f>+'25-welfare'!F97+'24-tax coll'!E154+'21-comm dev'!E161+'17-bldg &amp; grounds'!E152+'16-equip mntc'!E131+'15-library'!E256+'13-parks &amp; rec'!E256+'09-solid waste'!E229+'08-highway'!E359+'07-pub works'!E143+'06-code enforcement'!E153+'05-comm'!E157+'04-police'!E307+'03-fire'!E379+'02-assessing'!E122+'01-gen gov'!E277</f>
        <v>4722082</v>
      </c>
      <c r="C29" s="2">
        <f>+'25-welfare'!G97+'24-tax coll'!F154+'21-comm dev'!F161+'17-bldg &amp; grounds'!F152+'16-equip mntc'!F131+'15-library'!F256+'13-parks &amp; rec'!F256+'09-solid waste'!F229+'08-highway'!F359+'07-pub works'!F143+'06-code enforcement'!F153+'05-comm'!F157+'04-police'!F307+'03-fire'!F379+'02-assessing'!F122+'01-gen gov'!F277</f>
        <v>4534301</v>
      </c>
      <c r="D29" s="2">
        <f>+'25-welfare'!H97+'24-tax coll'!G154+'21-comm dev'!G161+'17-bldg &amp; grounds'!G152+'16-equip mntc'!G131+'15-library'!G256+'13-parks &amp; rec'!G256+'09-solid waste'!G229+'08-highway'!G359+'07-pub works'!G143+'06-code enforcement'!G153+'05-comm'!G157+'04-police'!G307+'03-fire'!G379+'02-assessing'!G122+'01-gen gov'!G277</f>
        <v>5084179</v>
      </c>
      <c r="E29" s="2">
        <f>+'25-welfare'!I97+'24-tax coll'!H154+'21-comm dev'!H161+'17-bldg &amp; grounds'!H152+'16-equip mntc'!H131+'15-library'!H256+'13-parks &amp; rec'!H256+'09-solid waste'!H229+'08-highway'!H359+'07-pub works'!H143+'06-code enforcement'!H153+'05-comm'!H157+'04-police'!H307+'03-fire'!H379+'02-assessing'!H122+'01-gen gov'!H277</f>
        <v>5026479</v>
      </c>
      <c r="F29" s="2">
        <f>+'25-welfare'!J97+'24-tax coll'!I154+'21-comm dev'!I161+'17-bldg &amp; grounds'!I152+'16-equip mntc'!I131+'15-library'!I256+'13-parks &amp; rec'!I256+'09-solid waste'!I229+'08-highway'!I359+'07-pub works'!I143+'06-code enforcement'!I153+'05-comm'!I157+'04-police'!I307+'03-fire'!I379+'02-assessing'!I122+'01-gen gov'!I277</f>
        <v>4955664</v>
      </c>
      <c r="G29" s="2">
        <f>+'25-welfare'!K97+'24-tax coll'!J154+'21-comm dev'!J161+'17-bldg &amp; grounds'!J152+'16-equip mntc'!J131+'15-library'!J256+'13-parks &amp; rec'!J256+'09-solid waste'!J229+'08-highway'!J359+'07-pub works'!J143+'06-code enforcement'!J153+'05-comm'!J157+'04-police'!J307+'03-fire'!J379+'02-assessing'!J122+'01-gen gov'!J277</f>
        <v>4956354</v>
      </c>
    </row>
    <row r="30" spans="1:12" x14ac:dyDescent="0.2">
      <c r="A30" s="134" t="s">
        <v>810</v>
      </c>
      <c r="B30" s="2">
        <f>+'25-welfare'!F98+'24-tax coll'!E155+'21-comm dev'!E162+'17-bldg &amp; grounds'!E153+'16-equip mntc'!E132+'15-library'!E257+'13-parks &amp; rec'!E257+'09-solid waste'!E230+'08-highway'!E360+'07-pub works'!E144+'06-code enforcement'!E154+'05-comm'!E158+'04-police'!E308+'03-fire'!E380+'02-assessing'!E123+'01-gen gov'!E278</f>
        <v>1667023</v>
      </c>
      <c r="C30" s="2">
        <f>+'25-welfare'!G98+'24-tax coll'!F155+'21-comm dev'!F162+'17-bldg &amp; grounds'!F153+'16-equip mntc'!F132+'15-library'!F257+'13-parks &amp; rec'!F257+'09-solid waste'!F230+'08-highway'!F360+'07-pub works'!F144+'06-code enforcement'!F154+'05-comm'!F158+'04-police'!F308+'03-fire'!F380+'02-assessing'!F123+'01-gen gov'!F278</f>
        <v>1483739</v>
      </c>
      <c r="D30" s="2">
        <f>+'25-welfare'!H98+'24-tax coll'!G155+'21-comm dev'!G162+'17-bldg &amp; grounds'!G153+'16-equip mntc'!G132+'15-library'!G257+'13-parks &amp; rec'!G257+'09-solid waste'!G230+'08-highway'!G360+'07-pub works'!G144+'06-code enforcement'!G154+'05-comm'!G158+'04-police'!G308+'03-fire'!G380+'02-assessing'!G123+'01-gen gov'!G278</f>
        <v>2139539</v>
      </c>
      <c r="E30" s="2">
        <f>+'25-welfare'!I98+'24-tax coll'!H155+'21-comm dev'!H162+'17-bldg &amp; grounds'!H153+'16-equip mntc'!H132+'15-library'!H257+'13-parks &amp; rec'!H257+'09-solid waste'!H230+'08-highway'!H360+'07-pub works'!H144+'06-code enforcement'!H154+'05-comm'!H158+'04-police'!H308+'03-fire'!H380+'02-assessing'!H123+'01-gen gov'!H278</f>
        <v>2223503</v>
      </c>
      <c r="F30" s="2">
        <f>+'25-welfare'!J98+'24-tax coll'!I155+'21-comm dev'!I162+'17-bldg &amp; grounds'!I153+'16-equip mntc'!I132+'15-library'!I257+'13-parks &amp; rec'!I257+'09-solid waste'!I230+'08-highway'!I360+'07-pub works'!I144+'06-code enforcement'!I154+'05-comm'!I158+'04-police'!I308+'03-fire'!I380+'02-assessing'!I123+'01-gen gov'!I278</f>
        <v>2223503</v>
      </c>
      <c r="G30" s="2">
        <f>+'25-welfare'!K98+'24-tax coll'!J155+'21-comm dev'!J162+'17-bldg &amp; grounds'!J153+'16-equip mntc'!J132+'15-library'!J257+'13-parks &amp; rec'!J257+'09-solid waste'!J230+'08-highway'!J360+'07-pub works'!J144+'06-code enforcement'!J154+'05-comm'!J158+'04-police'!J308+'03-fire'!J380+'02-assessing'!J123+'01-gen gov'!J278</f>
        <v>4170753</v>
      </c>
    </row>
    <row r="31" spans="1:12" ht="15" x14ac:dyDescent="0.35">
      <c r="A31" s="134" t="s">
        <v>974</v>
      </c>
      <c r="B31" s="10">
        <f t="shared" ref="B31:D31" si="1">+B23</f>
        <v>415035</v>
      </c>
      <c r="C31" s="10">
        <f>+C23</f>
        <v>408662</v>
      </c>
      <c r="D31" s="10">
        <f t="shared" si="1"/>
        <v>410731</v>
      </c>
      <c r="E31" s="10">
        <f t="shared" ref="E31:G31" si="2">+E23</f>
        <v>410732</v>
      </c>
      <c r="F31" s="10">
        <f t="shared" si="2"/>
        <v>410732</v>
      </c>
      <c r="G31" s="10">
        <f t="shared" si="2"/>
        <v>410732</v>
      </c>
    </row>
    <row r="32" spans="1:12" x14ac:dyDescent="0.2">
      <c r="A32" s="134" t="s">
        <v>1073</v>
      </c>
      <c r="B32" s="2">
        <f t="shared" ref="B32:D32" si="3">SUM(B28:B31)</f>
        <v>26946424</v>
      </c>
      <c r="C32" s="2">
        <f t="shared" si="3"/>
        <v>28825373.501744002</v>
      </c>
      <c r="D32" s="2">
        <f t="shared" si="3"/>
        <v>30684169</v>
      </c>
      <c r="E32" s="2">
        <f t="shared" ref="E32:G32" si="4">SUM(E28:E31)</f>
        <v>30615929</v>
      </c>
      <c r="F32" s="2">
        <f t="shared" si="4"/>
        <v>30610494</v>
      </c>
      <c r="G32" s="2">
        <f t="shared" si="4"/>
        <v>32582780</v>
      </c>
      <c r="I32" s="2">
        <f>+B32-B26</f>
        <v>-1775</v>
      </c>
      <c r="J32" s="2">
        <f>+C32-C26</f>
        <v>-2000</v>
      </c>
      <c r="K32" s="2">
        <f>+D32-D26</f>
        <v>0</v>
      </c>
      <c r="L32" s="2">
        <f>+E32-E26</f>
        <v>0</v>
      </c>
    </row>
    <row r="33" spans="1:13" x14ac:dyDescent="0.2">
      <c r="A33" s="134"/>
      <c r="B33" s="2"/>
      <c r="C33" s="2"/>
      <c r="D33" s="2"/>
      <c r="E33" s="2"/>
      <c r="F33" s="2"/>
      <c r="G33" s="2"/>
    </row>
    <row r="34" spans="1:13" x14ac:dyDescent="0.2">
      <c r="A34" s="254" t="s">
        <v>1978</v>
      </c>
      <c r="B34" s="254"/>
      <c r="C34" s="254"/>
      <c r="D34" s="254"/>
      <c r="E34" s="254"/>
      <c r="F34" s="254"/>
      <c r="G34" s="254"/>
    </row>
    <row r="35" spans="1:13" x14ac:dyDescent="0.2">
      <c r="A35" s="254" t="s">
        <v>1586</v>
      </c>
      <c r="B35" s="254"/>
      <c r="C35" s="254"/>
      <c r="D35" s="254"/>
      <c r="E35" s="254"/>
      <c r="F35" s="254"/>
      <c r="G35" s="254"/>
    </row>
    <row r="36" spans="1:13" ht="15" x14ac:dyDescent="0.35">
      <c r="A36" s="134"/>
      <c r="B36" s="10"/>
      <c r="C36" s="10"/>
      <c r="D36" s="10"/>
      <c r="E36" s="10"/>
      <c r="F36" s="10"/>
      <c r="G36" s="10"/>
    </row>
    <row r="37" spans="1:13" x14ac:dyDescent="0.2">
      <c r="A37" s="134"/>
      <c r="B37" s="15" t="s">
        <v>204</v>
      </c>
      <c r="C37" s="15" t="s">
        <v>205</v>
      </c>
      <c r="D37" s="15" t="s">
        <v>61</v>
      </c>
      <c r="E37" s="15" t="s">
        <v>358</v>
      </c>
      <c r="F37" s="15" t="s">
        <v>270</v>
      </c>
      <c r="G37" s="15" t="s">
        <v>301</v>
      </c>
      <c r="I37" s="2"/>
      <c r="J37" s="2"/>
      <c r="K37" s="2"/>
      <c r="L37" s="2"/>
      <c r="M37" s="2"/>
    </row>
    <row r="38" spans="1:13" ht="15" x14ac:dyDescent="0.35">
      <c r="A38" s="134"/>
      <c r="B38" s="199" t="s">
        <v>1757</v>
      </c>
      <c r="C38" s="199" t="s">
        <v>1838</v>
      </c>
      <c r="D38" s="199" t="s">
        <v>1977</v>
      </c>
      <c r="E38" s="199" t="s">
        <v>1977</v>
      </c>
      <c r="F38" s="199" t="s">
        <v>1977</v>
      </c>
      <c r="G38" s="199" t="s">
        <v>1977</v>
      </c>
    </row>
    <row r="39" spans="1:13" x14ac:dyDescent="0.2">
      <c r="A39" s="133" t="s">
        <v>1211</v>
      </c>
      <c r="B39" s="86">
        <v>1083</v>
      </c>
      <c r="C39" s="15">
        <v>0</v>
      </c>
      <c r="D39" s="15">
        <v>0</v>
      </c>
      <c r="E39" s="15">
        <v>0</v>
      </c>
      <c r="F39" s="15">
        <v>0</v>
      </c>
      <c r="G39" s="15">
        <v>0</v>
      </c>
    </row>
    <row r="40" spans="1:13" ht="18.75" x14ac:dyDescent="0.3">
      <c r="A40" s="138" t="s">
        <v>1774</v>
      </c>
      <c r="B40" s="91"/>
      <c r="C40" s="91"/>
      <c r="D40" s="91"/>
      <c r="E40" s="91"/>
      <c r="F40" s="91"/>
      <c r="G40" s="91"/>
    </row>
    <row r="41" spans="1:13" x14ac:dyDescent="0.2">
      <c r="A41" s="134"/>
      <c r="B41" s="2"/>
      <c r="C41" s="195"/>
      <c r="D41" s="195"/>
      <c r="E41" s="227"/>
      <c r="F41" s="231"/>
      <c r="G41" s="233"/>
    </row>
    <row r="42" spans="1:13" x14ac:dyDescent="0.2">
      <c r="A42" s="137" t="s">
        <v>1212</v>
      </c>
      <c r="B42" s="15">
        <v>55823</v>
      </c>
      <c r="C42" s="15">
        <v>0</v>
      </c>
      <c r="D42" s="15">
        <v>0</v>
      </c>
      <c r="E42" s="15">
        <v>0</v>
      </c>
      <c r="F42" s="15">
        <v>0</v>
      </c>
      <c r="G42" s="15">
        <v>0</v>
      </c>
    </row>
    <row r="43" spans="1:13" ht="15" x14ac:dyDescent="0.35">
      <c r="A43" s="134" t="s">
        <v>1774</v>
      </c>
      <c r="B43" s="135"/>
      <c r="C43" s="196"/>
      <c r="D43" s="196"/>
      <c r="E43" s="228"/>
      <c r="F43" s="232"/>
      <c r="G43" s="234"/>
    </row>
    <row r="44" spans="1:13" ht="13.5" x14ac:dyDescent="0.25">
      <c r="A44" s="136"/>
      <c r="B44" s="2"/>
      <c r="C44" s="2"/>
      <c r="D44" s="2"/>
      <c r="E44" s="2"/>
      <c r="F44" s="2"/>
      <c r="G44" s="2"/>
    </row>
    <row r="45" spans="1:13" x14ac:dyDescent="0.2">
      <c r="A45" s="137" t="s">
        <v>1098</v>
      </c>
      <c r="B45" s="2">
        <v>8958</v>
      </c>
      <c r="C45" s="2">
        <v>4479</v>
      </c>
      <c r="D45" s="2">
        <v>0</v>
      </c>
      <c r="E45" s="2">
        <v>0</v>
      </c>
      <c r="F45" s="2">
        <v>0</v>
      </c>
      <c r="G45" s="2">
        <v>0</v>
      </c>
    </row>
    <row r="46" spans="1:13" x14ac:dyDescent="0.2">
      <c r="A46" s="134" t="s">
        <v>100</v>
      </c>
      <c r="B46" s="2"/>
      <c r="C46" s="2"/>
      <c r="D46" s="2"/>
      <c r="E46" s="2"/>
      <c r="F46" s="2"/>
      <c r="G46" s="2"/>
    </row>
    <row r="47" spans="1:13" ht="13.5" x14ac:dyDescent="0.25">
      <c r="A47" s="136"/>
      <c r="B47" s="2"/>
      <c r="C47" s="2"/>
      <c r="D47" s="2"/>
      <c r="E47" s="2"/>
      <c r="F47" s="2"/>
      <c r="G47" s="2"/>
    </row>
    <row r="48" spans="1:13" x14ac:dyDescent="0.2">
      <c r="A48" s="137" t="s">
        <v>1099</v>
      </c>
      <c r="B48" s="2">
        <v>263468</v>
      </c>
      <c r="C48" s="2">
        <v>263468</v>
      </c>
      <c r="D48" s="2">
        <v>0</v>
      </c>
      <c r="E48" s="2">
        <v>0</v>
      </c>
      <c r="F48" s="2">
        <v>0</v>
      </c>
      <c r="G48" s="2">
        <v>0</v>
      </c>
    </row>
    <row r="49" spans="1:10" x14ac:dyDescent="0.2">
      <c r="A49" s="22" t="s">
        <v>99</v>
      </c>
      <c r="B49" s="2"/>
      <c r="C49" s="2"/>
      <c r="D49" s="2"/>
      <c r="E49" s="2"/>
      <c r="F49" s="2"/>
      <c r="G49" s="2"/>
    </row>
    <row r="50" spans="1:10" ht="13.5" x14ac:dyDescent="0.25">
      <c r="A50" s="136"/>
      <c r="B50" s="2"/>
      <c r="C50" s="2"/>
      <c r="D50" s="2"/>
      <c r="E50" s="2"/>
      <c r="F50" s="2"/>
      <c r="G50" s="2"/>
    </row>
    <row r="51" spans="1:10" x14ac:dyDescent="0.2">
      <c r="A51" s="137" t="s">
        <v>1508</v>
      </c>
      <c r="B51" s="2">
        <v>111264</v>
      </c>
      <c r="C51" s="2">
        <v>166022</v>
      </c>
      <c r="D51" s="2">
        <v>166022</v>
      </c>
      <c r="E51" s="2">
        <v>166022</v>
      </c>
      <c r="F51" s="2">
        <v>166022</v>
      </c>
      <c r="G51" s="2">
        <v>166022</v>
      </c>
    </row>
    <row r="52" spans="1:10" x14ac:dyDescent="0.2">
      <c r="A52" s="134" t="s">
        <v>1479</v>
      </c>
      <c r="B52" s="2"/>
      <c r="C52" s="2"/>
      <c r="D52" s="2"/>
      <c r="E52" s="2"/>
      <c r="F52" s="2"/>
      <c r="G52" s="2"/>
    </row>
    <row r="53" spans="1:10" ht="13.5" x14ac:dyDescent="0.25">
      <c r="A53" s="136"/>
      <c r="B53" s="2"/>
      <c r="C53" s="2"/>
      <c r="D53" s="2"/>
      <c r="E53" s="2"/>
      <c r="F53" s="2"/>
      <c r="G53" s="2"/>
    </row>
    <row r="54" spans="1:10" x14ac:dyDescent="0.2">
      <c r="A54" s="137" t="s">
        <v>1509</v>
      </c>
      <c r="B54" s="2">
        <v>166022</v>
      </c>
      <c r="C54" s="2">
        <v>181677</v>
      </c>
      <c r="D54" s="2">
        <v>181677</v>
      </c>
      <c r="E54" s="2">
        <v>181677</v>
      </c>
      <c r="F54" s="2">
        <v>181677</v>
      </c>
      <c r="G54" s="2">
        <v>181677</v>
      </c>
    </row>
    <row r="55" spans="1:10" x14ac:dyDescent="0.2">
      <c r="A55" s="22" t="s">
        <v>1480</v>
      </c>
      <c r="B55" s="2"/>
      <c r="C55" s="2"/>
      <c r="D55" s="2"/>
      <c r="E55" s="2"/>
      <c r="F55" s="2"/>
      <c r="G55" s="2"/>
    </row>
    <row r="56" spans="1:10" ht="13.5" x14ac:dyDescent="0.25">
      <c r="A56" s="136"/>
      <c r="B56" s="2"/>
      <c r="C56" s="2"/>
      <c r="D56" s="2"/>
      <c r="E56" s="2"/>
      <c r="F56" s="2"/>
      <c r="G56" s="2"/>
      <c r="J56" s="2"/>
    </row>
    <row r="57" spans="1:10" x14ac:dyDescent="0.2">
      <c r="A57" s="137" t="s">
        <v>1510</v>
      </c>
      <c r="B57" s="2">
        <v>181677</v>
      </c>
      <c r="C57" s="2">
        <v>104310</v>
      </c>
      <c r="D57" s="2">
        <v>97356</v>
      </c>
      <c r="E57" s="2">
        <v>97356</v>
      </c>
      <c r="F57" s="2">
        <v>97356</v>
      </c>
      <c r="G57" s="2">
        <v>97356</v>
      </c>
      <c r="J57" s="11"/>
    </row>
    <row r="58" spans="1:10" x14ac:dyDescent="0.2">
      <c r="A58" s="22" t="s">
        <v>1481</v>
      </c>
      <c r="B58" s="2"/>
      <c r="C58" s="2"/>
      <c r="D58" s="2"/>
      <c r="E58" s="2"/>
      <c r="F58" s="2"/>
      <c r="G58" s="2"/>
    </row>
    <row r="59" spans="1:10" ht="13.5" x14ac:dyDescent="0.25">
      <c r="A59" s="136"/>
      <c r="B59" s="2"/>
      <c r="C59" s="2"/>
      <c r="D59" s="2"/>
      <c r="E59" s="2"/>
      <c r="F59" s="2"/>
      <c r="G59" s="2"/>
    </row>
    <row r="60" spans="1:10" x14ac:dyDescent="0.2">
      <c r="A60" s="22"/>
      <c r="B60" s="2"/>
      <c r="C60" s="2"/>
      <c r="D60" s="2"/>
      <c r="E60" s="2"/>
      <c r="F60" s="2"/>
      <c r="G60" s="2"/>
    </row>
    <row r="61" spans="1:10" ht="13.5" x14ac:dyDescent="0.25">
      <c r="A61" s="136" t="s">
        <v>218</v>
      </c>
      <c r="B61" s="2">
        <f>SUM(B39:B58)</f>
        <v>788295</v>
      </c>
      <c r="C61" s="2">
        <f t="shared" ref="C61:G61" si="5">SUM(C39:C58)</f>
        <v>719956</v>
      </c>
      <c r="D61" s="2">
        <f t="shared" si="5"/>
        <v>445055</v>
      </c>
      <c r="E61" s="2">
        <f t="shared" ref="E61:F61" si="6">SUM(E39:E58)</f>
        <v>445055</v>
      </c>
      <c r="F61" s="2">
        <f t="shared" si="6"/>
        <v>445055</v>
      </c>
      <c r="G61" s="2">
        <f t="shared" si="5"/>
        <v>445055</v>
      </c>
    </row>
    <row r="62" spans="1:10" ht="15" x14ac:dyDescent="0.35">
      <c r="A62" s="136"/>
      <c r="B62" s="10"/>
      <c r="C62" s="10"/>
      <c r="D62" s="10"/>
      <c r="E62" s="10"/>
      <c r="F62" s="10"/>
      <c r="G62" s="10"/>
    </row>
    <row r="63" spans="1:10" x14ac:dyDescent="0.2">
      <c r="A63" s="22" t="s">
        <v>1171</v>
      </c>
      <c r="B63" s="2">
        <f>+B23</f>
        <v>415035</v>
      </c>
      <c r="C63" s="2">
        <f t="shared" ref="C63:G63" si="7">+C23</f>
        <v>408662</v>
      </c>
      <c r="D63" s="2">
        <f t="shared" si="7"/>
        <v>410731</v>
      </c>
      <c r="E63" s="2">
        <f t="shared" si="7"/>
        <v>410732</v>
      </c>
      <c r="F63" s="2">
        <f t="shared" ref="F63" si="8">+F23</f>
        <v>410732</v>
      </c>
      <c r="G63" s="2">
        <f t="shared" si="7"/>
        <v>410732</v>
      </c>
    </row>
    <row r="64" spans="1:10" x14ac:dyDescent="0.2">
      <c r="A64" s="22" t="s">
        <v>218</v>
      </c>
      <c r="B64" s="2">
        <f>+B61</f>
        <v>788295</v>
      </c>
      <c r="C64" s="2">
        <f t="shared" ref="C64:G64" si="9">+C61</f>
        <v>719956</v>
      </c>
      <c r="D64" s="2">
        <f t="shared" si="9"/>
        <v>445055</v>
      </c>
      <c r="E64" s="2">
        <f t="shared" si="9"/>
        <v>445055</v>
      </c>
      <c r="F64" s="2">
        <f t="shared" ref="F64" si="10">+F61</f>
        <v>445055</v>
      </c>
      <c r="G64" s="2">
        <f t="shared" si="9"/>
        <v>445055</v>
      </c>
    </row>
    <row r="65" spans="1:8" x14ac:dyDescent="0.2">
      <c r="A65" s="134" t="s">
        <v>1073</v>
      </c>
      <c r="B65" s="2">
        <f>SUM(B63:B64)</f>
        <v>1203330</v>
      </c>
      <c r="C65" s="2">
        <f t="shared" ref="C65:G65" si="11">SUM(C63:C64)</f>
        <v>1128618</v>
      </c>
      <c r="D65" s="2">
        <f t="shared" si="11"/>
        <v>855786</v>
      </c>
      <c r="E65" s="2">
        <f t="shared" si="11"/>
        <v>855787</v>
      </c>
      <c r="F65" s="2">
        <f t="shared" ref="F65" si="12">SUM(F63:F64)</f>
        <v>855787</v>
      </c>
      <c r="G65" s="2">
        <f t="shared" si="11"/>
        <v>855787</v>
      </c>
    </row>
    <row r="66" spans="1:8" x14ac:dyDescent="0.2">
      <c r="B66" s="2"/>
      <c r="C66" s="2"/>
      <c r="D66" s="2"/>
      <c r="E66" s="2"/>
      <c r="F66" s="2"/>
      <c r="G66" s="2"/>
    </row>
    <row r="67" spans="1:8" x14ac:dyDescent="0.2">
      <c r="B67" s="2"/>
      <c r="C67" s="2"/>
      <c r="D67" s="2"/>
      <c r="E67" s="2"/>
      <c r="F67" s="2"/>
      <c r="G67" s="2"/>
    </row>
    <row r="68" spans="1:8" x14ac:dyDescent="0.2">
      <c r="B68" s="2"/>
      <c r="C68" s="2"/>
      <c r="D68" s="2"/>
      <c r="E68" s="2"/>
      <c r="F68" s="2"/>
      <c r="G68" s="2"/>
      <c r="H68" s="2" t="e">
        <f>#N/A</f>
        <v>#N/A</v>
      </c>
    </row>
    <row r="69" spans="1:8" ht="15" x14ac:dyDescent="0.35">
      <c r="B69" s="10"/>
      <c r="C69" s="10"/>
      <c r="D69" s="10"/>
      <c r="E69" s="10"/>
      <c r="F69" s="10"/>
      <c r="G69" s="10"/>
      <c r="H69" s="10" t="e">
        <f>#N/A</f>
        <v>#N/A</v>
      </c>
    </row>
    <row r="70" spans="1:8" x14ac:dyDescent="0.2">
      <c r="B70" s="2"/>
      <c r="C70" s="2"/>
      <c r="D70" s="2"/>
      <c r="E70" s="2"/>
      <c r="F70" s="2"/>
      <c r="G70" s="2"/>
      <c r="H70" s="2" t="e">
        <f>#N/A</f>
        <v>#N/A</v>
      </c>
    </row>
  </sheetData>
  <mergeCells count="3">
    <mergeCell ref="A1:G1"/>
    <mergeCell ref="A34:G34"/>
    <mergeCell ref="A35:G35"/>
  </mergeCells>
  <phoneticPr fontId="0" type="noConversion"/>
  <printOptions gridLines="1"/>
  <pageMargins left="0.75" right="0.16" top="0.51" bottom="0.22" header="0.5" footer="0"/>
  <pageSetup fitToHeight="2" orientation="landscape" r:id="rId1"/>
  <headerFooter alignWithMargins="0"/>
  <rowBreaks count="1" manualBreakCount="1">
    <brk id="33" max="6"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J451"/>
  <sheetViews>
    <sheetView view="pageBreakPreview" zoomScaleNormal="100" zoomScaleSheetLayoutView="100" workbookViewId="0">
      <pane ySplit="5" topLeftCell="A281" activePane="bottomLeft" state="frozen"/>
      <selection activeCell="D43" sqref="D43"/>
      <selection pane="bottomLeft" activeCell="D314" sqref="D314"/>
    </sheetView>
  </sheetViews>
  <sheetFormatPr defaultColWidth="8.85546875" defaultRowHeight="12.75" x14ac:dyDescent="0.2"/>
  <cols>
    <col min="1" max="1" width="44.7109375" style="183" customWidth="1"/>
    <col min="2" max="2" width="8.85546875" style="183" customWidth="1"/>
    <col min="3" max="3" width="12.28515625" style="183" bestFit="1" customWidth="1"/>
    <col min="4" max="4" width="10.42578125" style="183" bestFit="1" customWidth="1"/>
    <col min="5" max="6" width="10.28515625" style="183" bestFit="1" customWidth="1"/>
    <col min="7" max="7" width="11.7109375" style="183" bestFit="1" customWidth="1"/>
    <col min="8" max="8" width="13.7109375" style="2" bestFit="1" customWidth="1"/>
    <col min="9" max="9" width="10.85546875" style="183" customWidth="1"/>
    <col min="10" max="10" width="10.28515625" style="183" bestFit="1" customWidth="1"/>
    <col min="11" max="16384" width="8.85546875" style="183"/>
  </cols>
  <sheetData>
    <row r="1" spans="1:10" x14ac:dyDescent="0.2">
      <c r="A1" s="254" t="e">
        <f>#REF!</f>
        <v>#REF!</v>
      </c>
      <c r="B1" s="255"/>
      <c r="C1" s="255"/>
      <c r="D1" s="255"/>
      <c r="E1" s="255"/>
      <c r="F1" s="255"/>
      <c r="G1" s="255"/>
      <c r="H1" s="255"/>
      <c r="I1" s="255"/>
      <c r="J1" s="255"/>
    </row>
    <row r="2" spans="1:10" ht="18.75" x14ac:dyDescent="0.3">
      <c r="A2" s="91" t="s">
        <v>1587</v>
      </c>
      <c r="B2" s="91"/>
      <c r="C2" s="91"/>
      <c r="D2" s="91"/>
      <c r="E2" s="91"/>
      <c r="F2" s="91"/>
      <c r="G2" s="236"/>
      <c r="I2" s="236"/>
      <c r="J2" s="236"/>
    </row>
    <row r="3" spans="1:10" x14ac:dyDescent="0.2">
      <c r="A3" s="236"/>
      <c r="B3" s="2"/>
      <c r="C3" s="2"/>
      <c r="D3" s="2"/>
      <c r="E3" s="2"/>
      <c r="F3" s="2"/>
      <c r="G3" s="236"/>
      <c r="I3" s="236"/>
      <c r="J3" s="236"/>
    </row>
    <row r="4" spans="1:10" x14ac:dyDescent="0.2">
      <c r="A4" s="236"/>
      <c r="B4" s="2"/>
      <c r="C4" s="2"/>
      <c r="D4" s="2"/>
      <c r="E4" s="15" t="s">
        <v>204</v>
      </c>
      <c r="F4" s="15" t="s">
        <v>205</v>
      </c>
      <c r="G4" s="15" t="s">
        <v>61</v>
      </c>
      <c r="H4" s="15" t="s">
        <v>358</v>
      </c>
      <c r="I4" s="15" t="s">
        <v>270</v>
      </c>
      <c r="J4" s="15" t="s">
        <v>301</v>
      </c>
    </row>
    <row r="5" spans="1:10" ht="15" x14ac:dyDescent="0.35">
      <c r="A5" s="236"/>
      <c r="B5" s="2"/>
      <c r="C5" s="2"/>
      <c r="D5" s="2"/>
      <c r="E5" s="237" t="s">
        <v>1757</v>
      </c>
      <c r="F5" s="237" t="s">
        <v>1838</v>
      </c>
      <c r="G5" s="237" t="s">
        <v>1977</v>
      </c>
      <c r="H5" s="237" t="s">
        <v>1977</v>
      </c>
      <c r="I5" s="237" t="s">
        <v>1977</v>
      </c>
      <c r="J5" s="237" t="s">
        <v>1977</v>
      </c>
    </row>
    <row r="6" spans="1:10" ht="13.5" x14ac:dyDescent="0.25">
      <c r="A6" s="239" t="s">
        <v>676</v>
      </c>
      <c r="B6" s="2"/>
      <c r="C6" s="2"/>
      <c r="D6" s="2"/>
      <c r="E6" s="2">
        <v>45516</v>
      </c>
      <c r="F6" s="40">
        <v>46640</v>
      </c>
      <c r="G6" s="40">
        <v>41392</v>
      </c>
      <c r="H6" s="2">
        <v>41392</v>
      </c>
      <c r="I6" s="2">
        <v>41392</v>
      </c>
      <c r="J6" s="2">
        <v>43426</v>
      </c>
    </row>
    <row r="7" spans="1:10" ht="15" x14ac:dyDescent="0.35">
      <c r="A7" s="236" t="s">
        <v>385</v>
      </c>
      <c r="B7" s="2">
        <v>52</v>
      </c>
      <c r="C7" s="2">
        <v>835.11</v>
      </c>
      <c r="D7" s="10">
        <f>ROUND(B7*C7,0)</f>
        <v>43426</v>
      </c>
      <c r="E7" s="2"/>
      <c r="F7" s="40"/>
      <c r="G7" s="40"/>
      <c r="I7" s="2"/>
      <c r="J7" s="2"/>
    </row>
    <row r="8" spans="1:10" x14ac:dyDescent="0.2">
      <c r="A8" s="236"/>
      <c r="B8" s="2"/>
      <c r="C8" s="2"/>
      <c r="D8" s="2">
        <f>SUM(D7:D7)</f>
        <v>43426</v>
      </c>
      <c r="E8" s="2"/>
      <c r="F8" s="40"/>
      <c r="G8" s="40"/>
      <c r="I8" s="2"/>
      <c r="J8" s="2"/>
    </row>
    <row r="9" spans="1:10" x14ac:dyDescent="0.2">
      <c r="A9" s="236"/>
      <c r="B9" s="2"/>
      <c r="C9" s="2"/>
      <c r="D9" s="2"/>
      <c r="E9" s="2"/>
      <c r="F9" s="40"/>
      <c r="G9" s="40"/>
      <c r="I9" s="2"/>
      <c r="J9" s="2"/>
    </row>
    <row r="10" spans="1:10" ht="13.5" x14ac:dyDescent="0.25">
      <c r="A10" s="239" t="s">
        <v>631</v>
      </c>
      <c r="B10" s="2"/>
      <c r="C10" s="2"/>
      <c r="D10" s="2"/>
      <c r="E10" s="2">
        <v>514915</v>
      </c>
      <c r="F10" s="40">
        <v>595867</v>
      </c>
      <c r="G10" s="40">
        <v>579084</v>
      </c>
      <c r="H10" s="2">
        <v>579084</v>
      </c>
      <c r="I10" s="2">
        <v>582922</v>
      </c>
      <c r="J10" s="2">
        <v>599421</v>
      </c>
    </row>
    <row r="11" spans="1:10" x14ac:dyDescent="0.2">
      <c r="A11" s="236" t="s">
        <v>1675</v>
      </c>
      <c r="B11" s="2">
        <v>52</v>
      </c>
      <c r="C11" s="2">
        <v>1872.8</v>
      </c>
      <c r="D11" s="2">
        <f t="shared" ref="D11:D18" si="0">ROUND(B11*C11,0)</f>
        <v>97386</v>
      </c>
      <c r="E11" s="2"/>
      <c r="F11" s="40"/>
      <c r="G11" s="40"/>
      <c r="I11" s="2"/>
      <c r="J11" s="2"/>
    </row>
    <row r="12" spans="1:10" x14ac:dyDescent="0.2">
      <c r="A12" s="103" t="s">
        <v>632</v>
      </c>
      <c r="B12" s="2">
        <v>52</v>
      </c>
      <c r="C12" s="1">
        <v>1748.58</v>
      </c>
      <c r="D12" s="2">
        <f t="shared" si="0"/>
        <v>90926</v>
      </c>
      <c r="E12" s="1"/>
      <c r="F12" s="113"/>
      <c r="G12" s="113"/>
      <c r="H12" s="1"/>
      <c r="I12" s="1"/>
      <c r="J12" s="1"/>
    </row>
    <row r="13" spans="1:10" x14ac:dyDescent="0.2">
      <c r="A13" s="236" t="s">
        <v>1835</v>
      </c>
      <c r="B13" s="2">
        <v>52</v>
      </c>
      <c r="C13" s="1">
        <v>1176.05</v>
      </c>
      <c r="D13" s="2">
        <f t="shared" si="0"/>
        <v>61155</v>
      </c>
      <c r="E13" s="1"/>
      <c r="F13" s="113"/>
      <c r="G13" s="113"/>
      <c r="H13" s="1"/>
      <c r="I13" s="1"/>
      <c r="J13" s="1"/>
    </row>
    <row r="14" spans="1:10" x14ac:dyDescent="0.2">
      <c r="A14" s="103" t="s">
        <v>1615</v>
      </c>
      <c r="B14" s="2">
        <v>52</v>
      </c>
      <c r="C14" s="1">
        <v>1403.17</v>
      </c>
      <c r="D14" s="2">
        <f t="shared" si="0"/>
        <v>72965</v>
      </c>
      <c r="E14" s="2"/>
      <c r="F14" s="40"/>
      <c r="G14" s="40"/>
      <c r="I14" s="2"/>
      <c r="J14" s="2"/>
    </row>
    <row r="15" spans="1:10" x14ac:dyDescent="0.2">
      <c r="A15" s="103" t="s">
        <v>633</v>
      </c>
      <c r="B15" s="2">
        <v>52</v>
      </c>
      <c r="C15" s="1">
        <v>1418.12</v>
      </c>
      <c r="D15" s="2">
        <f t="shared" si="0"/>
        <v>73742</v>
      </c>
      <c r="E15" s="2"/>
      <c r="F15" s="40"/>
      <c r="G15" s="40"/>
      <c r="I15" s="2"/>
      <c r="J15" s="2"/>
    </row>
    <row r="16" spans="1:10" x14ac:dyDescent="0.2">
      <c r="A16" s="103" t="s">
        <v>212</v>
      </c>
      <c r="B16" s="2">
        <v>52</v>
      </c>
      <c r="C16" s="1">
        <v>1406.64</v>
      </c>
      <c r="D16" s="2">
        <f t="shared" si="0"/>
        <v>73145</v>
      </c>
      <c r="E16" s="2"/>
      <c r="F16" s="40"/>
      <c r="G16" s="40"/>
      <c r="I16" s="2"/>
      <c r="J16" s="2"/>
    </row>
    <row r="17" spans="1:10" x14ac:dyDescent="0.2">
      <c r="A17" s="103" t="s">
        <v>1616</v>
      </c>
      <c r="B17" s="2">
        <v>52</v>
      </c>
      <c r="C17" s="1">
        <v>1221.73</v>
      </c>
      <c r="D17" s="2">
        <f t="shared" si="0"/>
        <v>63530</v>
      </c>
      <c r="E17" s="2"/>
      <c r="F17" s="40"/>
      <c r="G17" s="40"/>
      <c r="I17" s="2"/>
      <c r="J17" s="2"/>
    </row>
    <row r="18" spans="1:10" x14ac:dyDescent="0.2">
      <c r="A18" s="236" t="s">
        <v>1357</v>
      </c>
      <c r="B18" s="2">
        <v>52</v>
      </c>
      <c r="C18" s="2">
        <v>1273</v>
      </c>
      <c r="D18" s="2">
        <f t="shared" si="0"/>
        <v>66196</v>
      </c>
      <c r="E18" s="2"/>
      <c r="F18" s="40"/>
      <c r="G18" s="40"/>
      <c r="I18" s="2"/>
      <c r="J18" s="2"/>
    </row>
    <row r="19" spans="1:10" ht="15" x14ac:dyDescent="0.35">
      <c r="A19" s="236" t="s">
        <v>824</v>
      </c>
      <c r="B19" s="2" t="s">
        <v>345</v>
      </c>
      <c r="C19" s="2" t="s">
        <v>345</v>
      </c>
      <c r="D19" s="10">
        <v>376</v>
      </c>
      <c r="E19" s="2"/>
      <c r="F19" s="40"/>
      <c r="G19" s="40"/>
      <c r="I19" s="2"/>
      <c r="J19" s="2"/>
    </row>
    <row r="20" spans="1:10" x14ac:dyDescent="0.2">
      <c r="A20" s="236" t="s">
        <v>1073</v>
      </c>
      <c r="B20" s="2"/>
      <c r="C20" s="2"/>
      <c r="D20" s="2">
        <f>SUM(D11:D19)</f>
        <v>599421</v>
      </c>
      <c r="E20" s="2"/>
      <c r="F20" s="40"/>
      <c r="G20" s="40"/>
      <c r="I20" s="2"/>
      <c r="J20" s="2"/>
    </row>
    <row r="21" spans="1:10" x14ac:dyDescent="0.2">
      <c r="A21" s="236"/>
      <c r="B21" s="2"/>
      <c r="C21" s="2"/>
      <c r="D21" s="2"/>
      <c r="E21" s="2"/>
      <c r="F21" s="40"/>
      <c r="G21" s="40"/>
      <c r="I21" s="2"/>
      <c r="J21" s="2"/>
    </row>
    <row r="22" spans="1:10" ht="13.5" x14ac:dyDescent="0.25">
      <c r="A22" s="239" t="s">
        <v>1184</v>
      </c>
      <c r="B22" s="2"/>
      <c r="C22" s="2"/>
      <c r="D22" s="2"/>
      <c r="E22" s="2">
        <v>598176</v>
      </c>
      <c r="F22" s="2">
        <v>701719</v>
      </c>
      <c r="G22" s="2">
        <v>677431</v>
      </c>
      <c r="H22" s="2">
        <v>677431</v>
      </c>
      <c r="I22" s="2">
        <v>677431</v>
      </c>
      <c r="J22" s="2">
        <v>677431</v>
      </c>
    </row>
    <row r="23" spans="1:10" x14ac:dyDescent="0.2">
      <c r="A23" s="220" t="s">
        <v>1178</v>
      </c>
      <c r="B23" s="2">
        <v>52</v>
      </c>
      <c r="C23" s="103">
        <v>1004</v>
      </c>
      <c r="D23" s="2">
        <f t="shared" ref="D23:D35" si="1">ROUND(B23*C23,0)</f>
        <v>52208</v>
      </c>
      <c r="E23" s="2"/>
      <c r="F23" s="2"/>
      <c r="G23" s="2"/>
      <c r="I23" s="2"/>
      <c r="J23" s="2"/>
    </row>
    <row r="24" spans="1:10" x14ac:dyDescent="0.2">
      <c r="A24" s="220" t="s">
        <v>1178</v>
      </c>
      <c r="B24" s="2">
        <v>52</v>
      </c>
      <c r="C24" s="103">
        <v>1044</v>
      </c>
      <c r="D24" s="2">
        <f t="shared" si="1"/>
        <v>54288</v>
      </c>
      <c r="E24" s="2"/>
      <c r="F24" s="2"/>
      <c r="G24" s="2"/>
      <c r="I24" s="2"/>
      <c r="J24" s="2"/>
    </row>
    <row r="25" spans="1:10" x14ac:dyDescent="0.2">
      <c r="A25" s="220" t="s">
        <v>1178</v>
      </c>
      <c r="B25" s="2">
        <v>52</v>
      </c>
      <c r="C25" s="103">
        <v>969</v>
      </c>
      <c r="D25" s="2">
        <f t="shared" si="1"/>
        <v>50388</v>
      </c>
      <c r="E25" s="2"/>
      <c r="F25" s="2"/>
      <c r="G25" s="2"/>
      <c r="I25" s="2"/>
      <c r="J25" s="2"/>
    </row>
    <row r="26" spans="1:10" x14ac:dyDescent="0.2">
      <c r="A26" s="220" t="s">
        <v>1178</v>
      </c>
      <c r="B26" s="2">
        <v>52</v>
      </c>
      <c r="C26" s="103">
        <v>1004</v>
      </c>
      <c r="D26" s="2">
        <f t="shared" si="1"/>
        <v>52208</v>
      </c>
      <c r="E26" s="2"/>
      <c r="F26" s="2"/>
      <c r="G26" s="2"/>
      <c r="I26" s="2"/>
      <c r="J26" s="2"/>
    </row>
    <row r="27" spans="1:10" x14ac:dyDescent="0.2">
      <c r="A27" s="220" t="s">
        <v>1550</v>
      </c>
      <c r="B27" s="2">
        <v>52</v>
      </c>
      <c r="C27" s="103">
        <v>1095</v>
      </c>
      <c r="D27" s="2">
        <f t="shared" si="1"/>
        <v>56940</v>
      </c>
      <c r="E27" s="2"/>
      <c r="F27" s="2"/>
      <c r="G27" s="2"/>
      <c r="I27" s="2"/>
      <c r="J27" s="2"/>
    </row>
    <row r="28" spans="1:10" x14ac:dyDescent="0.2">
      <c r="A28" s="220" t="s">
        <v>1550</v>
      </c>
      <c r="B28" s="2">
        <v>52</v>
      </c>
      <c r="C28" s="103">
        <v>1008</v>
      </c>
      <c r="D28" s="2">
        <f t="shared" si="1"/>
        <v>52416</v>
      </c>
      <c r="E28" s="2"/>
      <c r="F28" s="2"/>
      <c r="G28" s="2"/>
      <c r="I28" s="2"/>
      <c r="J28" s="2"/>
    </row>
    <row r="29" spans="1:10" x14ac:dyDescent="0.2">
      <c r="A29" s="220" t="s">
        <v>1550</v>
      </c>
      <c r="B29" s="2">
        <v>52</v>
      </c>
      <c r="C29" s="103">
        <v>1095</v>
      </c>
      <c r="D29" s="2">
        <f t="shared" si="1"/>
        <v>56940</v>
      </c>
      <c r="E29" s="2"/>
      <c r="F29" s="2"/>
      <c r="G29" s="2"/>
      <c r="I29" s="2"/>
      <c r="J29" s="2"/>
    </row>
    <row r="30" spans="1:10" x14ac:dyDescent="0.2">
      <c r="A30" s="220" t="s">
        <v>1550</v>
      </c>
      <c r="B30" s="2">
        <v>52</v>
      </c>
      <c r="C30" s="103">
        <v>1008</v>
      </c>
      <c r="D30" s="2">
        <f t="shared" si="1"/>
        <v>52416</v>
      </c>
      <c r="E30" s="2"/>
      <c r="F30" s="2"/>
      <c r="G30" s="2"/>
      <c r="I30" s="2"/>
      <c r="J30" s="2"/>
    </row>
    <row r="31" spans="1:10" x14ac:dyDescent="0.2">
      <c r="A31" s="220" t="s">
        <v>1525</v>
      </c>
      <c r="B31" s="2">
        <v>52</v>
      </c>
      <c r="C31" s="103">
        <v>954</v>
      </c>
      <c r="D31" s="2">
        <f t="shared" si="1"/>
        <v>49608</v>
      </c>
      <c r="E31" s="2"/>
      <c r="F31" s="2"/>
      <c r="G31" s="2"/>
      <c r="I31" s="2"/>
      <c r="J31" s="2"/>
    </row>
    <row r="32" spans="1:10" x14ac:dyDescent="0.2">
      <c r="A32" s="220" t="s">
        <v>1525</v>
      </c>
      <c r="B32" s="2">
        <v>52</v>
      </c>
      <c r="C32" s="103">
        <v>824</v>
      </c>
      <c r="D32" s="2">
        <f t="shared" si="1"/>
        <v>42848</v>
      </c>
      <c r="E32" s="2"/>
      <c r="F32" s="2"/>
      <c r="G32" s="2"/>
      <c r="I32" s="2"/>
      <c r="J32" s="2"/>
    </row>
    <row r="33" spans="1:10" x14ac:dyDescent="0.2">
      <c r="A33" s="220" t="s">
        <v>1525</v>
      </c>
      <c r="B33" s="2">
        <v>52</v>
      </c>
      <c r="C33" s="103">
        <v>802</v>
      </c>
      <c r="D33" s="2">
        <f t="shared" si="1"/>
        <v>41704</v>
      </c>
      <c r="E33" s="2"/>
      <c r="F33" s="2"/>
      <c r="G33" s="2"/>
      <c r="I33" s="2"/>
      <c r="J33" s="2"/>
    </row>
    <row r="34" spans="1:10" x14ac:dyDescent="0.2">
      <c r="A34" s="220" t="s">
        <v>1526</v>
      </c>
      <c r="B34" s="2">
        <v>52</v>
      </c>
      <c r="C34" s="103">
        <v>921</v>
      </c>
      <c r="D34" s="2">
        <f t="shared" si="1"/>
        <v>47892</v>
      </c>
      <c r="E34" s="2"/>
      <c r="F34" s="2"/>
      <c r="G34" s="2"/>
      <c r="I34" s="2"/>
      <c r="J34" s="2"/>
    </row>
    <row r="35" spans="1:10" x14ac:dyDescent="0.2">
      <c r="A35" s="220" t="s">
        <v>1700</v>
      </c>
      <c r="B35" s="2">
        <v>52</v>
      </c>
      <c r="C35" s="103">
        <v>1095</v>
      </c>
      <c r="D35" s="2">
        <f t="shared" si="1"/>
        <v>56940</v>
      </c>
      <c r="E35" s="2"/>
      <c r="F35" s="2"/>
      <c r="G35" s="2"/>
      <c r="I35" s="2"/>
      <c r="J35" s="2"/>
    </row>
    <row r="36" spans="1:10" x14ac:dyDescent="0.2">
      <c r="A36" s="236" t="s">
        <v>824</v>
      </c>
      <c r="B36" s="2"/>
      <c r="C36" s="2"/>
      <c r="D36" s="2">
        <v>1483</v>
      </c>
      <c r="E36" s="2"/>
      <c r="F36" s="2"/>
      <c r="G36" s="2"/>
      <c r="I36" s="2"/>
      <c r="J36" s="2"/>
    </row>
    <row r="37" spans="1:10" ht="15" x14ac:dyDescent="0.35">
      <c r="A37" s="236" t="s">
        <v>980</v>
      </c>
      <c r="B37" s="2">
        <v>9152</v>
      </c>
      <c r="C37" s="11">
        <v>1</v>
      </c>
      <c r="D37" s="10">
        <f>ROUND(B37*C37,0)</f>
        <v>9152</v>
      </c>
      <c r="E37" s="2"/>
      <c r="F37" s="2"/>
      <c r="G37" s="2"/>
      <c r="I37" s="2"/>
      <c r="J37" s="2"/>
    </row>
    <row r="38" spans="1:10" x14ac:dyDescent="0.2">
      <c r="A38" s="236" t="s">
        <v>1073</v>
      </c>
      <c r="B38" s="2"/>
      <c r="C38" s="2"/>
      <c r="D38" s="2">
        <f>SUM(D23:D37)</f>
        <v>677431</v>
      </c>
      <c r="E38" s="2"/>
      <c r="F38" s="2"/>
      <c r="G38" s="2"/>
      <c r="I38" s="2"/>
      <c r="J38" s="2"/>
    </row>
    <row r="39" spans="1:10" x14ac:dyDescent="0.2">
      <c r="A39" s="236"/>
      <c r="B39" s="236"/>
      <c r="C39" s="55"/>
      <c r="D39" s="2"/>
      <c r="E39" s="2"/>
      <c r="F39" s="2"/>
      <c r="G39" s="2"/>
      <c r="I39" s="2"/>
      <c r="J39" s="2"/>
    </row>
    <row r="40" spans="1:10" ht="13.5" x14ac:dyDescent="0.25">
      <c r="A40" s="239" t="s">
        <v>1230</v>
      </c>
      <c r="B40" s="11"/>
      <c r="C40" s="236"/>
      <c r="D40" s="2"/>
      <c r="E40" s="2">
        <v>21322</v>
      </c>
      <c r="F40" s="2">
        <v>9437</v>
      </c>
      <c r="G40" s="2">
        <v>9341</v>
      </c>
      <c r="H40" s="2">
        <v>9341</v>
      </c>
      <c r="I40" s="2">
        <v>9341</v>
      </c>
      <c r="J40" s="2">
        <v>9709</v>
      </c>
    </row>
    <row r="41" spans="1:10" x14ac:dyDescent="0.2">
      <c r="A41" s="236" t="s">
        <v>615</v>
      </c>
      <c r="B41" s="2" t="s">
        <v>345</v>
      </c>
      <c r="C41" s="11" t="s">
        <v>345</v>
      </c>
      <c r="D41" s="2" t="s">
        <v>345</v>
      </c>
      <c r="E41" s="2"/>
      <c r="F41" s="2"/>
      <c r="G41" s="2"/>
      <c r="I41" s="2"/>
      <c r="J41" s="2"/>
    </row>
    <row r="42" spans="1:10" x14ac:dyDescent="0.2">
      <c r="A42" s="236" t="s">
        <v>1052</v>
      </c>
      <c r="B42" s="2">
        <v>185.5</v>
      </c>
      <c r="C42" s="11">
        <f>SUM(C12:C17)/40/6*1.5</f>
        <v>52.339312500000005</v>
      </c>
      <c r="D42" s="2">
        <f>+C42*B42</f>
        <v>9708.9424687500014</v>
      </c>
      <c r="E42" s="2"/>
      <c r="F42" s="2"/>
      <c r="G42" s="2"/>
      <c r="I42" s="2"/>
      <c r="J42" s="2"/>
    </row>
    <row r="43" spans="1:10" x14ac:dyDescent="0.2">
      <c r="A43" s="236"/>
      <c r="B43" s="2"/>
      <c r="C43" s="11"/>
      <c r="D43" s="2"/>
      <c r="E43" s="2"/>
      <c r="F43" s="2"/>
      <c r="G43" s="2"/>
      <c r="I43" s="2"/>
      <c r="J43" s="2"/>
    </row>
    <row r="44" spans="1:10" ht="13.5" x14ac:dyDescent="0.25">
      <c r="A44" s="239" t="s">
        <v>403</v>
      </c>
      <c r="B44" s="236"/>
      <c r="C44" s="236"/>
      <c r="D44" s="2"/>
      <c r="E44" s="2">
        <v>21435</v>
      </c>
      <c r="F44" s="2">
        <v>39772</v>
      </c>
      <c r="G44" s="2">
        <v>39772</v>
      </c>
      <c r="H44" s="2">
        <v>39772</v>
      </c>
      <c r="I44" s="2">
        <v>39772</v>
      </c>
      <c r="J44" s="2">
        <v>39772</v>
      </c>
    </row>
    <row r="45" spans="1:10" x14ac:dyDescent="0.2">
      <c r="A45" s="236" t="s">
        <v>53</v>
      </c>
      <c r="B45" s="2">
        <v>640</v>
      </c>
      <c r="C45" s="11">
        <v>17.89</v>
      </c>
      <c r="D45" s="2">
        <f>ROUND(B45*C45,0)</f>
        <v>11450</v>
      </c>
      <c r="E45" s="2"/>
      <c r="F45" s="2"/>
      <c r="G45" s="2"/>
      <c r="I45" s="2"/>
      <c r="J45" s="2"/>
    </row>
    <row r="46" spans="1:10" x14ac:dyDescent="0.2">
      <c r="A46" s="236" t="s">
        <v>1648</v>
      </c>
      <c r="B46" s="2">
        <v>880</v>
      </c>
      <c r="C46" s="11">
        <v>14</v>
      </c>
      <c r="D46" s="2">
        <f>+B46*C46</f>
        <v>12320</v>
      </c>
      <c r="E46" s="2"/>
      <c r="F46" s="2"/>
      <c r="G46" s="2"/>
      <c r="I46" s="2"/>
      <c r="J46" s="2"/>
    </row>
    <row r="47" spans="1:10" x14ac:dyDescent="0.2">
      <c r="A47" s="236" t="s">
        <v>1649</v>
      </c>
      <c r="B47" s="2"/>
      <c r="C47" s="11"/>
      <c r="D47" s="2"/>
      <c r="E47" s="2"/>
      <c r="F47" s="2"/>
      <c r="G47" s="2"/>
      <c r="I47" s="2"/>
      <c r="J47" s="2"/>
    </row>
    <row r="48" spans="1:10" x14ac:dyDescent="0.2">
      <c r="A48" s="236" t="s">
        <v>1650</v>
      </c>
      <c r="B48" s="2">
        <v>1248</v>
      </c>
      <c r="C48" s="11">
        <v>12.58</v>
      </c>
      <c r="D48" s="3">
        <f>ROUND(B48*C48,0)</f>
        <v>15700</v>
      </c>
      <c r="E48" s="2"/>
      <c r="F48" s="2"/>
      <c r="G48" s="2"/>
      <c r="I48" s="2"/>
      <c r="J48" s="2"/>
    </row>
    <row r="49" spans="1:10" ht="15" x14ac:dyDescent="0.35">
      <c r="A49" s="236" t="s">
        <v>1965</v>
      </c>
      <c r="B49" s="2">
        <v>24</v>
      </c>
      <c r="C49" s="11">
        <v>12.58</v>
      </c>
      <c r="D49" s="28">
        <f>ROUND(B49*C49,0)</f>
        <v>302</v>
      </c>
      <c r="E49" s="2"/>
      <c r="F49" s="2"/>
      <c r="G49" s="2"/>
      <c r="I49" s="2"/>
      <c r="J49" s="2"/>
    </row>
    <row r="50" spans="1:10" x14ac:dyDescent="0.2">
      <c r="A50" s="236"/>
      <c r="B50" s="2"/>
      <c r="C50" s="11"/>
      <c r="D50" s="3">
        <f>SUM(D45:D49)</f>
        <v>39772</v>
      </c>
      <c r="E50" s="2"/>
      <c r="F50" s="2"/>
      <c r="G50" s="2"/>
      <c r="I50" s="2"/>
      <c r="J50" s="2"/>
    </row>
    <row r="51" spans="1:10" ht="13.5" x14ac:dyDescent="0.25">
      <c r="A51" s="239" t="s">
        <v>843</v>
      </c>
      <c r="B51" s="236"/>
      <c r="C51" s="236"/>
      <c r="D51" s="2"/>
      <c r="E51" s="2">
        <v>53390</v>
      </c>
      <c r="F51" s="2">
        <v>85601</v>
      </c>
      <c r="G51" s="2">
        <v>84135</v>
      </c>
      <c r="H51" s="2">
        <v>84135</v>
      </c>
      <c r="I51" s="2">
        <v>84288</v>
      </c>
      <c r="J51" s="2">
        <v>84288</v>
      </c>
    </row>
    <row r="52" spans="1:10" x14ac:dyDescent="0.2">
      <c r="A52" s="236" t="s">
        <v>180</v>
      </c>
      <c r="B52" s="2" t="s">
        <v>345</v>
      </c>
      <c r="C52" s="11" t="s">
        <v>345</v>
      </c>
      <c r="D52" s="2" t="s">
        <v>345</v>
      </c>
      <c r="E52" s="2"/>
      <c r="F52" s="2"/>
      <c r="G52" s="2"/>
      <c r="I52" s="2"/>
      <c r="J52" s="2"/>
    </row>
    <row r="53" spans="1:10" x14ac:dyDescent="0.2">
      <c r="A53" s="236" t="s">
        <v>1358</v>
      </c>
      <c r="B53" s="2">
        <v>1881.54</v>
      </c>
      <c r="C53" s="11">
        <f>+SUM(C16:C35)/40/14*1.5</f>
        <v>44.797419642857136</v>
      </c>
      <c r="D53" s="2">
        <f>+C53*B53</f>
        <v>84288.136954821413</v>
      </c>
      <c r="E53" s="2"/>
      <c r="F53" s="2"/>
      <c r="G53" s="2"/>
      <c r="I53" s="2"/>
      <c r="J53" s="2"/>
    </row>
    <row r="54" spans="1:10" x14ac:dyDescent="0.2">
      <c r="A54" s="236"/>
      <c r="B54" s="2"/>
      <c r="C54" s="11"/>
      <c r="D54" s="2"/>
      <c r="E54" s="2"/>
      <c r="F54" s="2"/>
      <c r="G54" s="2"/>
      <c r="I54" s="2"/>
      <c r="J54" s="2"/>
    </row>
    <row r="55" spans="1:10" ht="13.5" x14ac:dyDescent="0.25">
      <c r="A55" s="239" t="s">
        <v>576</v>
      </c>
      <c r="B55" s="236"/>
      <c r="C55" s="236"/>
      <c r="D55" s="2"/>
      <c r="E55" s="2">
        <v>96396</v>
      </c>
      <c r="F55" s="2">
        <v>117423</v>
      </c>
      <c r="G55" s="2">
        <v>109483</v>
      </c>
      <c r="H55" s="2">
        <v>109483</v>
      </c>
      <c r="I55" s="2">
        <v>109789</v>
      </c>
      <c r="J55" s="2">
        <v>111235</v>
      </c>
    </row>
    <row r="56" spans="1:10" hidden="1" x14ac:dyDescent="0.2">
      <c r="A56" s="12" t="s">
        <v>762</v>
      </c>
      <c r="B56" s="2">
        <f>+D7</f>
        <v>43426</v>
      </c>
      <c r="C56" s="13">
        <v>7.6499999999999999E-2</v>
      </c>
      <c r="D56" s="2">
        <f t="shared" ref="D56:D61" si="2">ROUND(B56*C56,0)</f>
        <v>3322</v>
      </c>
      <c r="E56" s="2"/>
      <c r="F56" s="2"/>
      <c r="G56" s="2"/>
      <c r="I56" s="2"/>
      <c r="J56" s="2"/>
    </row>
    <row r="57" spans="1:10" hidden="1" x14ac:dyDescent="0.2">
      <c r="A57" s="12" t="s">
        <v>1271</v>
      </c>
      <c r="B57" s="2">
        <f>+D20</f>
        <v>599421</v>
      </c>
      <c r="C57" s="13">
        <v>7.6499999999999999E-2</v>
      </c>
      <c r="D57" s="2">
        <f t="shared" si="2"/>
        <v>45856</v>
      </c>
      <c r="E57" s="2"/>
      <c r="F57" s="2"/>
      <c r="G57" s="2"/>
      <c r="I57" s="2"/>
      <c r="J57" s="2"/>
    </row>
    <row r="58" spans="1:10" hidden="1" x14ac:dyDescent="0.2">
      <c r="A58" s="12" t="s">
        <v>688</v>
      </c>
      <c r="B58" s="2">
        <f>+D38</f>
        <v>677431</v>
      </c>
      <c r="C58" s="13">
        <v>7.6499999999999999E-2</v>
      </c>
      <c r="D58" s="2">
        <f t="shared" si="2"/>
        <v>51823</v>
      </c>
      <c r="E58" s="2"/>
      <c r="F58" s="2"/>
      <c r="G58" s="2"/>
      <c r="I58" s="2"/>
      <c r="J58" s="2"/>
    </row>
    <row r="59" spans="1:10" hidden="1" x14ac:dyDescent="0.2">
      <c r="A59" s="12" t="s">
        <v>763</v>
      </c>
      <c r="B59" s="2">
        <f>+D42</f>
        <v>9708.9424687500014</v>
      </c>
      <c r="C59" s="13">
        <v>7.6499999999999999E-2</v>
      </c>
      <c r="D59" s="2">
        <f t="shared" si="2"/>
        <v>743</v>
      </c>
      <c r="E59" s="2"/>
      <c r="F59" s="2"/>
      <c r="G59" s="2"/>
      <c r="I59" s="2"/>
      <c r="J59" s="2"/>
    </row>
    <row r="60" spans="1:10" hidden="1" x14ac:dyDescent="0.2">
      <c r="A60" s="12" t="s">
        <v>155</v>
      </c>
      <c r="B60" s="2">
        <f>+D50</f>
        <v>39772</v>
      </c>
      <c r="C60" s="13">
        <v>7.6499999999999999E-2</v>
      </c>
      <c r="D60" s="2">
        <f t="shared" si="2"/>
        <v>3043</v>
      </c>
      <c r="E60" s="2"/>
      <c r="F60" s="2"/>
      <c r="G60" s="2"/>
      <c r="I60" s="2"/>
      <c r="J60" s="2"/>
    </row>
    <row r="61" spans="1:10" ht="15" hidden="1" x14ac:dyDescent="0.35">
      <c r="A61" s="12" t="s">
        <v>156</v>
      </c>
      <c r="B61" s="2">
        <f>+D53</f>
        <v>84288.136954821413</v>
      </c>
      <c r="C61" s="13">
        <v>7.6499999999999999E-2</v>
      </c>
      <c r="D61" s="10">
        <f t="shared" si="2"/>
        <v>6448</v>
      </c>
      <c r="E61" s="2"/>
      <c r="F61" s="2"/>
      <c r="G61" s="2"/>
      <c r="I61" s="2"/>
      <c r="J61" s="2"/>
    </row>
    <row r="62" spans="1:10" hidden="1" x14ac:dyDescent="0.2">
      <c r="A62" s="236" t="s">
        <v>1073</v>
      </c>
      <c r="B62" s="236"/>
      <c r="C62" s="236"/>
      <c r="D62" s="2">
        <f>SUM(D56:D61)</f>
        <v>111235</v>
      </c>
      <c r="E62" s="2"/>
      <c r="F62" s="2"/>
      <c r="G62" s="2"/>
      <c r="I62" s="2"/>
      <c r="J62" s="2"/>
    </row>
    <row r="63" spans="1:10" x14ac:dyDescent="0.2">
      <c r="A63" s="236"/>
      <c r="B63" s="236"/>
      <c r="C63" s="236"/>
      <c r="D63" s="2"/>
      <c r="E63" s="2"/>
      <c r="F63" s="2"/>
      <c r="G63" s="2"/>
      <c r="I63" s="2"/>
      <c r="J63" s="2"/>
    </row>
    <row r="64" spans="1:10" ht="13.5" x14ac:dyDescent="0.25">
      <c r="A64" s="239" t="s">
        <v>981</v>
      </c>
      <c r="B64" s="236"/>
      <c r="C64" s="236"/>
      <c r="D64" s="2"/>
      <c r="E64" s="2">
        <v>138999</v>
      </c>
      <c r="F64" s="2">
        <v>210219</v>
      </c>
      <c r="G64" s="2">
        <v>195628</v>
      </c>
      <c r="H64" s="2">
        <v>195628</v>
      </c>
      <c r="I64" s="2">
        <v>196190</v>
      </c>
      <c r="J64" s="2">
        <v>198848</v>
      </c>
    </row>
    <row r="65" spans="1:10" hidden="1" x14ac:dyDescent="0.2">
      <c r="A65" s="22">
        <v>8102</v>
      </c>
      <c r="B65" s="2">
        <f>+B56</f>
        <v>43426</v>
      </c>
      <c r="C65" s="190">
        <v>0.1406</v>
      </c>
      <c r="D65" s="2">
        <f>ROUND(B65*C65,0)</f>
        <v>6106</v>
      </c>
      <c r="E65" s="2"/>
      <c r="F65" s="2"/>
      <c r="G65" s="2"/>
      <c r="I65" s="2"/>
      <c r="J65" s="2"/>
    </row>
    <row r="66" spans="1:10" hidden="1" x14ac:dyDescent="0.2">
      <c r="A66" s="12" t="s">
        <v>1271</v>
      </c>
      <c r="B66" s="2">
        <f>+B57</f>
        <v>599421</v>
      </c>
      <c r="C66" s="190">
        <v>0.1406</v>
      </c>
      <c r="D66" s="2">
        <f>ROUND(B66*C66,0)</f>
        <v>84279</v>
      </c>
      <c r="E66" s="2"/>
      <c r="F66" s="2"/>
      <c r="G66" s="2"/>
      <c r="I66" s="2"/>
      <c r="J66" s="2"/>
    </row>
    <row r="67" spans="1:10" hidden="1" x14ac:dyDescent="0.2">
      <c r="A67" s="22">
        <v>8104</v>
      </c>
      <c r="B67" s="2">
        <f>+B58</f>
        <v>677431</v>
      </c>
      <c r="C67" s="190">
        <v>0.1406</v>
      </c>
      <c r="D67" s="2">
        <f>ROUND(B67*C67,0)</f>
        <v>95247</v>
      </c>
      <c r="E67" s="2"/>
      <c r="F67" s="2"/>
      <c r="G67" s="2"/>
      <c r="I67" s="2"/>
      <c r="J67" s="2"/>
    </row>
    <row r="68" spans="1:10" hidden="1" x14ac:dyDescent="0.2">
      <c r="A68" s="12" t="s">
        <v>763</v>
      </c>
      <c r="B68" s="2">
        <f>+B59</f>
        <v>9708.9424687500014</v>
      </c>
      <c r="C68" s="190">
        <v>0.1406</v>
      </c>
      <c r="D68" s="2">
        <f>ROUND(B68*C68,0)</f>
        <v>1365</v>
      </c>
      <c r="E68" s="2"/>
      <c r="F68" s="2"/>
      <c r="G68" s="2"/>
      <c r="I68" s="2"/>
      <c r="J68" s="2"/>
    </row>
    <row r="69" spans="1:10" ht="15" hidden="1" x14ac:dyDescent="0.35">
      <c r="A69" s="30" t="s">
        <v>156</v>
      </c>
      <c r="B69" s="2">
        <f>+B61</f>
        <v>84288.136954821413</v>
      </c>
      <c r="C69" s="190">
        <v>0.1406</v>
      </c>
      <c r="D69" s="10">
        <f>ROUND(B69*C69,0)</f>
        <v>11851</v>
      </c>
      <c r="E69" s="2"/>
      <c r="F69" s="2"/>
      <c r="G69" s="2"/>
      <c r="I69" s="2"/>
      <c r="J69" s="2"/>
    </row>
    <row r="70" spans="1:10" hidden="1" x14ac:dyDescent="0.2">
      <c r="A70" s="236" t="s">
        <v>1073</v>
      </c>
      <c r="B70" s="236"/>
      <c r="C70" s="236"/>
      <c r="D70" s="2">
        <f>SUM(D65:D69)</f>
        <v>198848</v>
      </c>
      <c r="E70" s="2"/>
      <c r="F70" s="2"/>
      <c r="G70" s="2"/>
      <c r="I70" s="2"/>
      <c r="J70" s="2"/>
    </row>
    <row r="71" spans="1:10" x14ac:dyDescent="0.2">
      <c r="A71" s="236"/>
      <c r="B71" s="236"/>
      <c r="C71" s="236"/>
      <c r="D71" s="2"/>
      <c r="E71" s="2"/>
      <c r="F71" s="2"/>
      <c r="G71" s="2"/>
      <c r="I71" s="2"/>
      <c r="J71" s="2"/>
    </row>
    <row r="72" spans="1:10" ht="13.5" x14ac:dyDescent="0.25">
      <c r="A72" s="239" t="s">
        <v>580</v>
      </c>
      <c r="B72" s="236"/>
      <c r="C72" s="236"/>
      <c r="D72" s="2"/>
      <c r="E72" s="2">
        <v>384306</v>
      </c>
      <c r="F72" s="2">
        <v>434500</v>
      </c>
      <c r="G72" s="2">
        <v>429000</v>
      </c>
      <c r="H72" s="2">
        <v>429000</v>
      </c>
      <c r="I72" s="2">
        <v>418000</v>
      </c>
      <c r="J72" s="2">
        <v>418000</v>
      </c>
    </row>
    <row r="73" spans="1:10" hidden="1" x14ac:dyDescent="0.2">
      <c r="A73" s="236" t="s">
        <v>264</v>
      </c>
      <c r="B73" s="2">
        <v>14</v>
      </c>
      <c r="C73" s="2">
        <v>19000</v>
      </c>
      <c r="D73" s="2">
        <f>ROUND(B73*C73,0)</f>
        <v>266000</v>
      </c>
      <c r="E73" s="2"/>
      <c r="F73" s="2"/>
      <c r="G73" s="2"/>
      <c r="I73" s="2"/>
      <c r="J73" s="2"/>
    </row>
    <row r="74" spans="1:10" hidden="1" x14ac:dyDescent="0.2">
      <c r="A74" s="236" t="s">
        <v>265</v>
      </c>
      <c r="B74" s="2">
        <v>2</v>
      </c>
      <c r="C74" s="2">
        <v>19000</v>
      </c>
      <c r="D74" s="2">
        <f>ROUND(B74*C74,0)</f>
        <v>38000</v>
      </c>
      <c r="E74" s="2"/>
      <c r="F74" s="2"/>
      <c r="G74" s="2"/>
      <c r="I74" s="2"/>
      <c r="J74" s="2"/>
    </row>
    <row r="75" spans="1:10" ht="15" hidden="1" x14ac:dyDescent="0.35">
      <c r="A75" s="236" t="s">
        <v>303</v>
      </c>
      <c r="B75" s="2">
        <v>6</v>
      </c>
      <c r="C75" s="2">
        <v>19000</v>
      </c>
      <c r="D75" s="10">
        <f>ROUND(B75*C75,0)</f>
        <v>114000</v>
      </c>
      <c r="E75" s="2"/>
      <c r="F75" s="2"/>
      <c r="G75" s="2"/>
      <c r="I75" s="2"/>
      <c r="J75" s="2"/>
    </row>
    <row r="76" spans="1:10" hidden="1" x14ac:dyDescent="0.2">
      <c r="A76" s="236" t="s">
        <v>683</v>
      </c>
      <c r="B76" s="2"/>
      <c r="C76" s="2"/>
      <c r="D76" s="2">
        <f>SUM(D73:D75)</f>
        <v>418000</v>
      </c>
      <c r="E76" s="2"/>
      <c r="F76" s="2"/>
      <c r="G76" s="2"/>
      <c r="I76" s="2"/>
      <c r="J76" s="2"/>
    </row>
    <row r="77" spans="1:10" x14ac:dyDescent="0.2">
      <c r="A77" s="236"/>
      <c r="B77" s="236"/>
      <c r="C77" s="236"/>
      <c r="D77" s="2"/>
      <c r="E77" s="2"/>
      <c r="F77" s="2"/>
      <c r="G77" s="2"/>
      <c r="I77" s="2"/>
      <c r="J77" s="2"/>
    </row>
    <row r="78" spans="1:10" ht="13.5" x14ac:dyDescent="0.25">
      <c r="A78" s="239" t="s">
        <v>581</v>
      </c>
      <c r="B78" s="236"/>
      <c r="C78" s="236"/>
      <c r="D78" s="2"/>
      <c r="E78" s="2">
        <v>24528</v>
      </c>
      <c r="F78" s="2">
        <v>27720</v>
      </c>
      <c r="G78" s="2">
        <v>27225</v>
      </c>
      <c r="H78" s="2">
        <v>27225</v>
      </c>
      <c r="I78" s="2">
        <v>27225</v>
      </c>
      <c r="J78" s="2">
        <v>27225</v>
      </c>
    </row>
    <row r="79" spans="1:10" hidden="1" x14ac:dyDescent="0.2">
      <c r="A79" s="236" t="s">
        <v>264</v>
      </c>
      <c r="B79" s="2">
        <v>22</v>
      </c>
      <c r="C79" s="2">
        <v>1375</v>
      </c>
      <c r="D79" s="2">
        <f>+C79*B79</f>
        <v>30250</v>
      </c>
      <c r="E79" s="2"/>
      <c r="F79" s="2"/>
      <c r="G79" s="2"/>
      <c r="I79" s="2"/>
      <c r="J79" s="2"/>
    </row>
    <row r="80" spans="1:10" ht="15" hidden="1" x14ac:dyDescent="0.35">
      <c r="A80" s="236" t="s">
        <v>531</v>
      </c>
      <c r="B80" s="2"/>
      <c r="C80" s="2"/>
      <c r="D80" s="10">
        <f>D79*-0.1</f>
        <v>-3025</v>
      </c>
      <c r="E80" s="2"/>
      <c r="F80" s="2"/>
      <c r="G80" s="2"/>
      <c r="I80" s="2"/>
      <c r="J80" s="2"/>
    </row>
    <row r="81" spans="1:10" hidden="1" x14ac:dyDescent="0.2">
      <c r="A81" s="236" t="s">
        <v>683</v>
      </c>
      <c r="B81" s="2"/>
      <c r="C81" s="2"/>
      <c r="D81" s="2">
        <f>SUM(D79:D80)</f>
        <v>27225</v>
      </c>
      <c r="E81" s="2"/>
      <c r="F81" s="2"/>
      <c r="G81" s="2"/>
      <c r="I81" s="2"/>
      <c r="J81" s="2"/>
    </row>
    <row r="82" spans="1:10" x14ac:dyDescent="0.2">
      <c r="A82" s="236"/>
      <c r="B82" s="236"/>
      <c r="C82" s="236"/>
      <c r="D82" s="2"/>
      <c r="E82" s="2"/>
      <c r="F82" s="2"/>
      <c r="G82" s="2"/>
      <c r="I82" s="2"/>
      <c r="J82" s="2"/>
    </row>
    <row r="83" spans="1:10" ht="13.5" x14ac:dyDescent="0.25">
      <c r="A83" s="239" t="s">
        <v>582</v>
      </c>
      <c r="B83" s="236"/>
      <c r="C83" s="236"/>
      <c r="D83" s="2"/>
      <c r="E83" s="2">
        <v>1516</v>
      </c>
      <c r="F83" s="2">
        <v>1570</v>
      </c>
      <c r="G83" s="2">
        <v>1570</v>
      </c>
      <c r="H83" s="2">
        <v>1570</v>
      </c>
      <c r="I83" s="2">
        <v>1570</v>
      </c>
      <c r="J83" s="2">
        <v>2308</v>
      </c>
    </row>
    <row r="84" spans="1:10" hidden="1" x14ac:dyDescent="0.2">
      <c r="A84" s="236" t="s">
        <v>194</v>
      </c>
      <c r="B84" s="2">
        <v>2</v>
      </c>
      <c r="C84" s="2">
        <v>135</v>
      </c>
      <c r="D84" s="2">
        <f>+C84*B84</f>
        <v>270</v>
      </c>
      <c r="E84" s="2"/>
      <c r="F84" s="2"/>
      <c r="G84" s="2"/>
      <c r="I84" s="2"/>
      <c r="J84" s="2"/>
    </row>
    <row r="85" spans="1:10" hidden="1" x14ac:dyDescent="0.2">
      <c r="A85" s="236" t="s">
        <v>302</v>
      </c>
      <c r="B85" s="2">
        <v>6</v>
      </c>
      <c r="C85" s="2">
        <v>258</v>
      </c>
      <c r="D85" s="2">
        <f>+C85*B85</f>
        <v>1548</v>
      </c>
      <c r="E85" s="2"/>
      <c r="F85" s="2"/>
      <c r="G85" s="2"/>
      <c r="I85" s="2"/>
      <c r="J85" s="2"/>
    </row>
    <row r="86" spans="1:10" ht="15" hidden="1" x14ac:dyDescent="0.35">
      <c r="A86" s="236" t="s">
        <v>195</v>
      </c>
      <c r="B86" s="2">
        <v>14</v>
      </c>
      <c r="C86" s="2">
        <v>35</v>
      </c>
      <c r="D86" s="10">
        <f>+C86*B86</f>
        <v>490</v>
      </c>
      <c r="E86" s="2"/>
      <c r="F86" s="2"/>
      <c r="G86" s="2"/>
      <c r="I86" s="2"/>
      <c r="J86" s="2"/>
    </row>
    <row r="87" spans="1:10" hidden="1" x14ac:dyDescent="0.2">
      <c r="A87" s="236" t="s">
        <v>1073</v>
      </c>
      <c r="B87" s="236"/>
      <c r="C87" s="236"/>
      <c r="D87" s="2">
        <f>SUM(D84:D86)</f>
        <v>2308</v>
      </c>
      <c r="E87" s="2"/>
      <c r="F87" s="2"/>
      <c r="G87" s="2"/>
      <c r="I87" s="2"/>
      <c r="J87" s="2"/>
    </row>
    <row r="88" spans="1:10" x14ac:dyDescent="0.2">
      <c r="A88" s="236"/>
      <c r="B88" s="236"/>
      <c r="C88" s="236"/>
      <c r="D88" s="2"/>
      <c r="E88" s="2"/>
      <c r="F88" s="2"/>
      <c r="G88" s="2"/>
      <c r="I88" s="2"/>
      <c r="J88" s="2"/>
    </row>
    <row r="89" spans="1:10" ht="13.5" x14ac:dyDescent="0.25">
      <c r="A89" s="239" t="s">
        <v>591</v>
      </c>
      <c r="B89" s="236"/>
      <c r="C89" s="236"/>
      <c r="D89" s="2"/>
      <c r="E89" s="2">
        <v>11461</v>
      </c>
      <c r="F89" s="2">
        <v>12100</v>
      </c>
      <c r="G89" s="2">
        <v>11550</v>
      </c>
      <c r="H89" s="2">
        <v>11550</v>
      </c>
      <c r="I89" s="2">
        <v>11550</v>
      </c>
      <c r="J89" s="2">
        <v>11550</v>
      </c>
    </row>
    <row r="90" spans="1:10" hidden="1" x14ac:dyDescent="0.2">
      <c r="A90" s="236" t="s">
        <v>194</v>
      </c>
      <c r="B90" s="2">
        <v>2</v>
      </c>
      <c r="C90" s="2">
        <v>525</v>
      </c>
      <c r="D90" s="2">
        <f>+C90*B90</f>
        <v>1050</v>
      </c>
      <c r="E90" s="2"/>
      <c r="F90" s="2"/>
      <c r="G90" s="2"/>
      <c r="I90" s="2"/>
      <c r="J90" s="2"/>
    </row>
    <row r="91" spans="1:10" ht="15" hidden="1" x14ac:dyDescent="0.35">
      <c r="A91" s="236" t="s">
        <v>1220</v>
      </c>
      <c r="B91" s="2">
        <v>20</v>
      </c>
      <c r="C91" s="2">
        <v>525</v>
      </c>
      <c r="D91" s="10">
        <f>+C91*B91</f>
        <v>10500</v>
      </c>
      <c r="E91" s="2"/>
      <c r="F91" s="2"/>
      <c r="G91" s="2"/>
      <c r="I91" s="2"/>
      <c r="J91" s="2"/>
    </row>
    <row r="92" spans="1:10" hidden="1" x14ac:dyDescent="0.2">
      <c r="A92" s="236" t="s">
        <v>1073</v>
      </c>
      <c r="B92" s="236"/>
      <c r="C92" s="236"/>
      <c r="D92" s="2">
        <f>SUM(D90:D91)</f>
        <v>11550</v>
      </c>
      <c r="E92" s="2"/>
      <c r="F92" s="2"/>
      <c r="G92" s="2"/>
      <c r="I92" s="2"/>
      <c r="J92" s="2"/>
    </row>
    <row r="93" spans="1:10" x14ac:dyDescent="0.2">
      <c r="A93" s="236"/>
      <c r="B93" s="236"/>
      <c r="C93" s="236"/>
      <c r="D93" s="2"/>
      <c r="E93" s="2"/>
      <c r="F93" s="2"/>
      <c r="G93" s="2"/>
      <c r="I93" s="2"/>
      <c r="J93" s="2"/>
    </row>
    <row r="94" spans="1:10" ht="13.5" x14ac:dyDescent="0.25">
      <c r="A94" s="239" t="s">
        <v>251</v>
      </c>
      <c r="B94" s="236"/>
      <c r="C94" s="236"/>
      <c r="D94" s="2"/>
      <c r="E94" s="2">
        <v>17431</v>
      </c>
      <c r="F94" s="2">
        <v>28378</v>
      </c>
      <c r="G94" s="2">
        <v>23703</v>
      </c>
      <c r="H94" s="2">
        <v>23703</v>
      </c>
      <c r="I94" s="2">
        <v>23772</v>
      </c>
      <c r="J94" s="2">
        <v>24062</v>
      </c>
    </row>
    <row r="95" spans="1:10" hidden="1" x14ac:dyDescent="0.2">
      <c r="A95" s="12" t="s">
        <v>762</v>
      </c>
      <c r="B95" s="2">
        <f t="shared" ref="B95:B100" si="3">+B56</f>
        <v>43426</v>
      </c>
      <c r="C95" s="13">
        <v>1.74E-3</v>
      </c>
      <c r="D95" s="2">
        <f t="shared" ref="D95:D100" si="4">ROUND(B95*C95,0)</f>
        <v>76</v>
      </c>
      <c r="E95" s="2"/>
      <c r="F95" s="2"/>
      <c r="G95" s="2"/>
      <c r="I95" s="2"/>
      <c r="J95" s="2"/>
    </row>
    <row r="96" spans="1:10" hidden="1" x14ac:dyDescent="0.2">
      <c r="A96" s="12" t="s">
        <v>1271</v>
      </c>
      <c r="B96" s="2">
        <f t="shared" si="3"/>
        <v>599421</v>
      </c>
      <c r="C96" s="13">
        <v>1.7000000000000001E-2</v>
      </c>
      <c r="D96" s="2">
        <f t="shared" si="4"/>
        <v>10190</v>
      </c>
      <c r="E96" s="2"/>
      <c r="F96" s="2"/>
      <c r="G96" s="2"/>
      <c r="I96" s="2"/>
      <c r="J96" s="2"/>
    </row>
    <row r="97" spans="1:10" hidden="1" x14ac:dyDescent="0.2">
      <c r="A97" s="12" t="s">
        <v>688</v>
      </c>
      <c r="B97" s="2">
        <f t="shared" si="3"/>
        <v>677431</v>
      </c>
      <c r="C97" s="13">
        <v>1.7000000000000001E-2</v>
      </c>
      <c r="D97" s="2">
        <f t="shared" si="4"/>
        <v>11516</v>
      </c>
      <c r="E97" s="2"/>
      <c r="F97" s="2"/>
      <c r="G97" s="2"/>
      <c r="I97" s="2"/>
      <c r="J97" s="2"/>
    </row>
    <row r="98" spans="1:10" hidden="1" x14ac:dyDescent="0.2">
      <c r="A98" s="12" t="s">
        <v>1605</v>
      </c>
      <c r="B98" s="2">
        <f t="shared" si="3"/>
        <v>9708.9424687500014</v>
      </c>
      <c r="C98" s="13">
        <v>1.7000000000000001E-2</v>
      </c>
      <c r="D98" s="2">
        <f t="shared" si="4"/>
        <v>165</v>
      </c>
      <c r="E98" s="2"/>
      <c r="F98" s="2"/>
      <c r="G98" s="2"/>
      <c r="I98" s="2"/>
      <c r="J98" s="2"/>
    </row>
    <row r="99" spans="1:10" hidden="1" x14ac:dyDescent="0.2">
      <c r="A99" s="12" t="s">
        <v>155</v>
      </c>
      <c r="B99" s="2">
        <f t="shared" si="3"/>
        <v>39772</v>
      </c>
      <c r="C99" s="13">
        <v>1.7000000000000001E-2</v>
      </c>
      <c r="D99" s="2">
        <f t="shared" si="4"/>
        <v>676</v>
      </c>
      <c r="E99" s="2"/>
      <c r="F99" s="2"/>
      <c r="G99" s="2"/>
      <c r="I99" s="2"/>
      <c r="J99" s="2"/>
    </row>
    <row r="100" spans="1:10" ht="15" hidden="1" x14ac:dyDescent="0.35">
      <c r="A100" s="12" t="s">
        <v>1606</v>
      </c>
      <c r="B100" s="2">
        <f t="shared" si="3"/>
        <v>84288.136954821413</v>
      </c>
      <c r="C100" s="13">
        <v>1.7000000000000001E-2</v>
      </c>
      <c r="D100" s="10">
        <f t="shared" si="4"/>
        <v>1433</v>
      </c>
      <c r="E100" s="2"/>
      <c r="F100" s="2"/>
      <c r="G100" s="2"/>
      <c r="I100" s="2"/>
      <c r="J100" s="2"/>
    </row>
    <row r="101" spans="1:10" hidden="1" x14ac:dyDescent="0.2">
      <c r="A101" s="236" t="s">
        <v>1073</v>
      </c>
      <c r="B101" s="236"/>
      <c r="C101" s="236"/>
      <c r="D101" s="2">
        <f>SUM(D95:D100)+6</f>
        <v>24062</v>
      </c>
      <c r="E101" s="2"/>
      <c r="F101" s="2"/>
      <c r="G101" s="2"/>
      <c r="I101" s="2"/>
      <c r="J101" s="2"/>
    </row>
    <row r="102" spans="1:10" x14ac:dyDescent="0.2">
      <c r="A102" s="236"/>
      <c r="B102" s="236"/>
      <c r="C102" s="236"/>
      <c r="D102" s="2"/>
      <c r="E102" s="2"/>
      <c r="F102" s="2"/>
      <c r="G102" s="2"/>
      <c r="I102" s="2"/>
      <c r="J102" s="2"/>
    </row>
    <row r="103" spans="1:10" ht="13.5" x14ac:dyDescent="0.25">
      <c r="A103" s="239" t="s">
        <v>1246</v>
      </c>
      <c r="B103" s="236"/>
      <c r="C103" s="236"/>
      <c r="D103" s="2"/>
      <c r="E103" s="2">
        <v>516</v>
      </c>
      <c r="F103" s="2">
        <v>449</v>
      </c>
      <c r="G103" s="2">
        <v>449</v>
      </c>
      <c r="H103" s="2">
        <v>449</v>
      </c>
      <c r="I103" s="2">
        <v>449</v>
      </c>
      <c r="J103" s="2">
        <v>449</v>
      </c>
    </row>
    <row r="104" spans="1:10" hidden="1" x14ac:dyDescent="0.2">
      <c r="A104" s="12" t="s">
        <v>762</v>
      </c>
      <c r="B104" s="2">
        <v>1</v>
      </c>
      <c r="C104" s="2">
        <v>20</v>
      </c>
      <c r="D104" s="2">
        <f>+B104*C104</f>
        <v>20</v>
      </c>
      <c r="E104" s="2"/>
      <c r="F104" s="2"/>
      <c r="G104" s="2"/>
      <c r="I104" s="2"/>
      <c r="J104" s="2"/>
    </row>
    <row r="105" spans="1:10" hidden="1" x14ac:dyDescent="0.2">
      <c r="A105" s="12" t="s">
        <v>1271</v>
      </c>
      <c r="B105" s="2">
        <v>7</v>
      </c>
      <c r="C105" s="2">
        <v>20</v>
      </c>
      <c r="D105" s="2">
        <f>+B105*C105</f>
        <v>140</v>
      </c>
      <c r="E105" s="2"/>
      <c r="F105" s="40"/>
      <c r="G105" s="40"/>
      <c r="I105" s="2"/>
      <c r="J105" s="2"/>
    </row>
    <row r="106" spans="1:10" hidden="1" x14ac:dyDescent="0.2">
      <c r="A106" s="12" t="s">
        <v>688</v>
      </c>
      <c r="B106" s="2">
        <v>13</v>
      </c>
      <c r="C106" s="2">
        <v>20</v>
      </c>
      <c r="D106" s="2">
        <f>+B106*C106</f>
        <v>260</v>
      </c>
      <c r="E106" s="2"/>
      <c r="F106" s="40"/>
      <c r="G106" s="40"/>
      <c r="I106" s="2"/>
      <c r="J106" s="2"/>
    </row>
    <row r="107" spans="1:10" hidden="1" x14ac:dyDescent="0.2">
      <c r="A107" s="12" t="s">
        <v>155</v>
      </c>
      <c r="B107" s="2">
        <v>1</v>
      </c>
      <c r="C107" s="2">
        <v>20</v>
      </c>
      <c r="D107" s="2">
        <f>+B107*C107</f>
        <v>20</v>
      </c>
      <c r="E107" s="2"/>
      <c r="F107" s="40"/>
      <c r="G107" s="40"/>
      <c r="I107" s="2"/>
      <c r="J107" s="2"/>
    </row>
    <row r="108" spans="1:10" ht="15" hidden="1" x14ac:dyDescent="0.35">
      <c r="A108" s="12" t="s">
        <v>155</v>
      </c>
      <c r="B108" s="2">
        <v>6080</v>
      </c>
      <c r="C108" s="13">
        <v>1.4E-3</v>
      </c>
      <c r="D108" s="10">
        <f>+B108*C108</f>
        <v>8.5120000000000005</v>
      </c>
      <c r="E108" s="2"/>
      <c r="F108" s="40"/>
      <c r="G108" s="40"/>
      <c r="I108" s="2"/>
      <c r="J108" s="2"/>
    </row>
    <row r="109" spans="1:10" hidden="1" x14ac:dyDescent="0.2">
      <c r="A109" s="236" t="s">
        <v>1073</v>
      </c>
      <c r="B109" s="236"/>
      <c r="C109" s="236"/>
      <c r="D109" s="2">
        <f>SUM(D104:D108)</f>
        <v>448.512</v>
      </c>
      <c r="E109" s="2"/>
      <c r="F109" s="40"/>
      <c r="G109" s="40"/>
      <c r="I109" s="2"/>
      <c r="J109" s="2"/>
    </row>
    <row r="110" spans="1:10" x14ac:dyDescent="0.2">
      <c r="A110" s="236"/>
      <c r="B110" s="236"/>
      <c r="C110" s="236"/>
      <c r="D110" s="2"/>
      <c r="E110" s="2"/>
      <c r="F110" s="40"/>
      <c r="G110" s="40"/>
      <c r="I110" s="2"/>
      <c r="J110" s="2"/>
    </row>
    <row r="111" spans="1:10" ht="13.5" x14ac:dyDescent="0.25">
      <c r="A111" s="43" t="s">
        <v>75</v>
      </c>
      <c r="B111" s="2" t="s">
        <v>345</v>
      </c>
      <c r="C111" s="2"/>
      <c r="D111" s="2"/>
      <c r="E111" s="2">
        <v>8194</v>
      </c>
      <c r="F111" s="40">
        <v>4870</v>
      </c>
      <c r="G111" s="40">
        <v>24870</v>
      </c>
      <c r="H111" s="2">
        <v>24870</v>
      </c>
      <c r="I111" s="2">
        <v>24870</v>
      </c>
      <c r="J111" s="2">
        <v>24870</v>
      </c>
    </row>
    <row r="112" spans="1:10" x14ac:dyDescent="0.2">
      <c r="A112" s="2" t="s">
        <v>258</v>
      </c>
      <c r="B112" s="2"/>
      <c r="C112" s="2"/>
      <c r="D112" s="2"/>
      <c r="E112" s="2"/>
      <c r="F112" s="40"/>
      <c r="G112" s="40"/>
      <c r="I112" s="2"/>
      <c r="J112" s="2"/>
    </row>
    <row r="113" spans="1:10" x14ac:dyDescent="0.2">
      <c r="A113" s="2" t="s">
        <v>1551</v>
      </c>
      <c r="B113" s="2"/>
      <c r="C113" s="2"/>
      <c r="D113" s="2">
        <v>20000</v>
      </c>
      <c r="E113" s="2"/>
      <c r="F113" s="40"/>
      <c r="G113" s="40"/>
      <c r="I113" s="2"/>
      <c r="J113" s="2"/>
    </row>
    <row r="114" spans="1:10" ht="15" x14ac:dyDescent="0.35">
      <c r="A114" s="2" t="s">
        <v>1834</v>
      </c>
      <c r="B114" s="2"/>
      <c r="C114" s="2"/>
      <c r="D114" s="10">
        <v>4870</v>
      </c>
      <c r="E114" s="2"/>
      <c r="F114" s="40"/>
      <c r="G114" s="40"/>
      <c r="I114" s="2"/>
      <c r="J114" s="2"/>
    </row>
    <row r="115" spans="1:10" x14ac:dyDescent="0.2">
      <c r="A115" s="2" t="s">
        <v>221</v>
      </c>
      <c r="B115" s="2"/>
      <c r="C115" s="2"/>
      <c r="D115" s="2">
        <f>SUM(D113:D114)</f>
        <v>24870</v>
      </c>
      <c r="E115" s="2"/>
      <c r="F115" s="40"/>
      <c r="G115" s="40"/>
      <c r="I115" s="2"/>
      <c r="J115" s="2"/>
    </row>
    <row r="116" spans="1:10" x14ac:dyDescent="0.2">
      <c r="A116" s="236"/>
      <c r="B116" s="236"/>
      <c r="C116" s="236"/>
      <c r="D116" s="2"/>
      <c r="E116" s="2"/>
      <c r="F116" s="40"/>
      <c r="G116" s="40"/>
      <c r="I116" s="2"/>
      <c r="J116" s="2"/>
    </row>
    <row r="117" spans="1:10" ht="13.5" x14ac:dyDescent="0.25">
      <c r="A117" s="43" t="s">
        <v>1501</v>
      </c>
      <c r="B117" s="236"/>
      <c r="C117" s="236"/>
      <c r="D117" s="2">
        <v>0</v>
      </c>
      <c r="E117" s="2">
        <v>2500</v>
      </c>
      <c r="F117" s="2">
        <v>0</v>
      </c>
      <c r="G117" s="2">
        <v>0</v>
      </c>
      <c r="H117" s="2">
        <v>0</v>
      </c>
      <c r="I117" s="2">
        <v>0</v>
      </c>
      <c r="J117" s="2">
        <v>0</v>
      </c>
    </row>
    <row r="118" spans="1:10" ht="13.5" x14ac:dyDescent="0.25">
      <c r="A118" s="43"/>
      <c r="B118" s="236"/>
      <c r="C118" s="236"/>
      <c r="D118" s="2"/>
      <c r="E118" s="2"/>
      <c r="F118" s="2"/>
      <c r="G118" s="2"/>
      <c r="I118" s="2"/>
      <c r="J118" s="2"/>
    </row>
    <row r="119" spans="1:10" ht="13.5" x14ac:dyDescent="0.25">
      <c r="A119" s="239" t="s">
        <v>1247</v>
      </c>
      <c r="B119" s="236"/>
      <c r="C119" s="236"/>
      <c r="D119" s="2"/>
      <c r="E119" s="2">
        <v>6941</v>
      </c>
      <c r="F119" s="40">
        <v>2500</v>
      </c>
      <c r="G119" s="40">
        <v>2500</v>
      </c>
      <c r="H119" s="2">
        <v>2500</v>
      </c>
      <c r="I119" s="2">
        <v>2500</v>
      </c>
      <c r="J119" s="2">
        <v>2500</v>
      </c>
    </row>
    <row r="120" spans="1:10" x14ac:dyDescent="0.2">
      <c r="A120" s="236" t="s">
        <v>1248</v>
      </c>
      <c r="B120" s="236"/>
      <c r="C120" s="236"/>
      <c r="D120" s="2" t="s">
        <v>345</v>
      </c>
      <c r="E120" s="2"/>
      <c r="F120" s="40"/>
      <c r="G120" s="40"/>
      <c r="I120" s="2"/>
      <c r="J120" s="2"/>
    </row>
    <row r="121" spans="1:10" x14ac:dyDescent="0.2">
      <c r="A121" s="236" t="s">
        <v>1436</v>
      </c>
      <c r="B121" s="236"/>
      <c r="C121" s="2"/>
      <c r="D121" s="2"/>
      <c r="E121" s="2"/>
      <c r="F121" s="40"/>
      <c r="G121" s="40"/>
      <c r="I121" s="2"/>
      <c r="J121" s="2"/>
    </row>
    <row r="122" spans="1:10" x14ac:dyDescent="0.2">
      <c r="A122" s="236" t="s">
        <v>1073</v>
      </c>
      <c r="B122" s="2"/>
      <c r="C122" s="2"/>
      <c r="D122" s="2">
        <v>2500</v>
      </c>
      <c r="E122" s="2"/>
      <c r="F122" s="40"/>
      <c r="G122" s="40"/>
      <c r="I122" s="2"/>
      <c r="J122" s="2"/>
    </row>
    <row r="123" spans="1:10" x14ac:dyDescent="0.2">
      <c r="A123" s="236"/>
      <c r="B123" s="236"/>
      <c r="C123" s="2" t="s">
        <v>345</v>
      </c>
      <c r="D123" s="2" t="s">
        <v>345</v>
      </c>
      <c r="E123" s="2"/>
      <c r="F123" s="40"/>
      <c r="G123" s="40"/>
      <c r="I123" s="2"/>
      <c r="J123" s="2"/>
    </row>
    <row r="124" spans="1:10" ht="13.5" x14ac:dyDescent="0.25">
      <c r="A124" s="239" t="s">
        <v>296</v>
      </c>
      <c r="B124" s="236"/>
      <c r="C124" s="2"/>
      <c r="D124" s="2"/>
      <c r="E124" s="2">
        <v>12646</v>
      </c>
      <c r="F124" s="40">
        <v>7900</v>
      </c>
      <c r="G124" s="40">
        <v>7900</v>
      </c>
      <c r="H124" s="2">
        <v>7900</v>
      </c>
      <c r="I124" s="2">
        <v>7900</v>
      </c>
      <c r="J124" s="2">
        <v>7900</v>
      </c>
    </row>
    <row r="125" spans="1:10" x14ac:dyDescent="0.2">
      <c r="A125" s="236" t="s">
        <v>712</v>
      </c>
      <c r="B125" s="236"/>
      <c r="C125" s="2"/>
      <c r="D125" s="2">
        <v>2500</v>
      </c>
      <c r="E125" s="2"/>
      <c r="F125" s="40"/>
      <c r="G125" s="40"/>
      <c r="I125" s="2"/>
      <c r="J125" s="2"/>
    </row>
    <row r="126" spans="1:10" ht="15" x14ac:dyDescent="0.35">
      <c r="A126" s="236" t="s">
        <v>297</v>
      </c>
      <c r="B126" s="236"/>
      <c r="C126" s="10"/>
      <c r="D126" s="10">
        <v>5400</v>
      </c>
      <c r="E126" s="2"/>
      <c r="F126" s="40"/>
      <c r="G126" s="40"/>
      <c r="I126" s="2"/>
      <c r="J126" s="2"/>
    </row>
    <row r="127" spans="1:10" x14ac:dyDescent="0.2">
      <c r="A127" s="236" t="s">
        <v>1073</v>
      </c>
      <c r="B127" s="236"/>
      <c r="C127" s="2"/>
      <c r="D127" s="2">
        <v>7900</v>
      </c>
      <c r="E127" s="2"/>
      <c r="F127" s="40"/>
      <c r="G127" s="40"/>
      <c r="I127" s="2"/>
      <c r="J127" s="2"/>
    </row>
    <row r="128" spans="1:10" x14ac:dyDescent="0.2">
      <c r="A128" s="236"/>
      <c r="B128" s="236"/>
      <c r="C128" s="17"/>
      <c r="D128" s="17"/>
      <c r="E128" s="2"/>
      <c r="F128" s="40"/>
      <c r="G128" s="40"/>
      <c r="I128" s="2"/>
      <c r="J128" s="2"/>
    </row>
    <row r="129" spans="1:10" ht="13.5" x14ac:dyDescent="0.25">
      <c r="A129" s="239" t="s">
        <v>298</v>
      </c>
      <c r="B129" s="236"/>
      <c r="C129" s="2"/>
      <c r="D129" s="2"/>
      <c r="E129" s="2">
        <v>7706</v>
      </c>
      <c r="F129" s="40">
        <v>5300</v>
      </c>
      <c r="G129" s="40">
        <v>5300</v>
      </c>
      <c r="H129" s="2">
        <v>5300</v>
      </c>
      <c r="I129" s="2">
        <v>5300</v>
      </c>
      <c r="J129" s="2">
        <v>5300</v>
      </c>
    </row>
    <row r="130" spans="1:10" x14ac:dyDescent="0.2">
      <c r="A130" s="5" t="s">
        <v>0</v>
      </c>
      <c r="B130" s="5"/>
      <c r="C130" s="2"/>
      <c r="D130" s="2">
        <v>600</v>
      </c>
      <c r="E130" s="2"/>
      <c r="F130" s="40"/>
      <c r="G130" s="40"/>
      <c r="I130" s="2"/>
      <c r="J130" s="2"/>
    </row>
    <row r="131" spans="1:10" x14ac:dyDescent="0.2">
      <c r="A131" s="5" t="s">
        <v>1492</v>
      </c>
      <c r="B131" s="5"/>
      <c r="C131" s="2"/>
      <c r="D131" s="2">
        <v>1300</v>
      </c>
      <c r="E131" s="2"/>
      <c r="F131" s="40"/>
      <c r="G131" s="40"/>
      <c r="I131" s="2"/>
      <c r="J131" s="2"/>
    </row>
    <row r="132" spans="1:10" x14ac:dyDescent="0.2">
      <c r="A132" s="5" t="s">
        <v>1960</v>
      </c>
      <c r="B132" s="5"/>
      <c r="C132" s="41" t="s">
        <v>1713</v>
      </c>
      <c r="D132" s="2">
        <v>1900</v>
      </c>
      <c r="E132" s="2"/>
      <c r="F132" s="40"/>
      <c r="G132" s="40"/>
      <c r="I132" s="2"/>
      <c r="J132" s="2"/>
    </row>
    <row r="133" spans="1:10" x14ac:dyDescent="0.2">
      <c r="A133" s="5" t="s">
        <v>1</v>
      </c>
      <c r="B133" s="5"/>
      <c r="C133" s="2"/>
      <c r="D133" s="2">
        <v>700</v>
      </c>
      <c r="E133" s="2"/>
      <c r="F133" s="40"/>
      <c r="G133" s="40"/>
      <c r="I133" s="2"/>
      <c r="J133" s="2"/>
    </row>
    <row r="134" spans="1:10" ht="15" x14ac:dyDescent="0.35">
      <c r="A134" s="5" t="s">
        <v>963</v>
      </c>
      <c r="B134" s="5"/>
      <c r="C134" s="10"/>
      <c r="D134" s="10">
        <v>800</v>
      </c>
      <c r="E134" s="2"/>
      <c r="F134" s="40"/>
      <c r="G134" s="40"/>
      <c r="I134" s="2"/>
      <c r="J134" s="2"/>
    </row>
    <row r="135" spans="1:10" x14ac:dyDescent="0.2">
      <c r="A135" s="5" t="s">
        <v>1073</v>
      </c>
      <c r="B135" s="5"/>
      <c r="C135" s="2"/>
      <c r="D135" s="2">
        <f>SUM(D130:D134)</f>
        <v>5300</v>
      </c>
      <c r="E135" s="2"/>
      <c r="F135" s="40"/>
      <c r="G135" s="40"/>
      <c r="I135" s="2"/>
      <c r="J135" s="2"/>
    </row>
    <row r="136" spans="1:10" x14ac:dyDescent="0.2">
      <c r="A136" s="236"/>
      <c r="B136" s="2"/>
      <c r="C136" s="17"/>
      <c r="D136" s="17"/>
      <c r="E136" s="2"/>
      <c r="F136" s="40"/>
      <c r="G136" s="40"/>
      <c r="I136" s="2"/>
      <c r="J136" s="2"/>
    </row>
    <row r="137" spans="1:10" ht="13.5" x14ac:dyDescent="0.25">
      <c r="A137" s="239" t="s">
        <v>1005</v>
      </c>
      <c r="B137" s="236"/>
      <c r="C137" s="236"/>
      <c r="D137" s="2" t="s">
        <v>345</v>
      </c>
      <c r="E137" s="2">
        <v>11736</v>
      </c>
      <c r="F137" s="40">
        <v>11212</v>
      </c>
      <c r="G137" s="40">
        <v>11212</v>
      </c>
      <c r="H137" s="2">
        <v>11212</v>
      </c>
      <c r="I137" s="2">
        <v>11212</v>
      </c>
      <c r="J137" s="2">
        <v>11902</v>
      </c>
    </row>
    <row r="138" spans="1:10" x14ac:dyDescent="0.2">
      <c r="A138" s="236" t="s">
        <v>40</v>
      </c>
      <c r="B138" s="2">
        <v>3</v>
      </c>
      <c r="C138" s="2">
        <v>255</v>
      </c>
      <c r="D138" s="2">
        <v>765</v>
      </c>
      <c r="E138" s="2"/>
      <c r="F138" s="40"/>
      <c r="G138" s="40"/>
      <c r="I138" s="2"/>
      <c r="J138" s="2"/>
    </row>
    <row r="139" spans="1:10" x14ac:dyDescent="0.2">
      <c r="A139" s="236" t="s">
        <v>913</v>
      </c>
      <c r="B139" s="2">
        <v>4</v>
      </c>
      <c r="C139" s="2">
        <v>200</v>
      </c>
      <c r="D139" s="2">
        <f>+C139*B139</f>
        <v>800</v>
      </c>
      <c r="E139" s="2"/>
      <c r="F139" s="40"/>
      <c r="G139" s="40"/>
      <c r="I139" s="2"/>
      <c r="J139" s="2"/>
    </row>
    <row r="140" spans="1:10" x14ac:dyDescent="0.2">
      <c r="A140" s="236" t="s">
        <v>1006</v>
      </c>
      <c r="B140" s="2">
        <v>2</v>
      </c>
      <c r="C140" s="2">
        <v>350</v>
      </c>
      <c r="D140" s="2">
        <v>700</v>
      </c>
      <c r="E140" s="2"/>
      <c r="F140" s="40"/>
      <c r="G140" s="40"/>
      <c r="I140" s="2"/>
      <c r="J140" s="2"/>
    </row>
    <row r="141" spans="1:10" x14ac:dyDescent="0.2">
      <c r="A141" s="236" t="s">
        <v>846</v>
      </c>
      <c r="B141" s="2">
        <v>2</v>
      </c>
      <c r="C141" s="2">
        <v>75</v>
      </c>
      <c r="D141" s="2">
        <v>150</v>
      </c>
      <c r="E141" s="2"/>
      <c r="F141" s="103"/>
      <c r="G141" s="103"/>
      <c r="H141" s="128"/>
      <c r="I141" s="128"/>
      <c r="J141" s="128"/>
    </row>
    <row r="142" spans="1:10" x14ac:dyDescent="0.2">
      <c r="A142" s="29" t="s">
        <v>1793</v>
      </c>
      <c r="B142" s="2">
        <v>18</v>
      </c>
      <c r="C142" s="2">
        <v>260</v>
      </c>
      <c r="D142" s="2">
        <f>+C142*B142</f>
        <v>4680</v>
      </c>
      <c r="E142" s="2"/>
      <c r="F142" s="103"/>
      <c r="G142" s="103"/>
      <c r="H142" s="128"/>
      <c r="I142" s="128"/>
      <c r="J142" s="128"/>
    </row>
    <row r="143" spans="1:10" x14ac:dyDescent="0.2">
      <c r="A143" s="236" t="s">
        <v>1437</v>
      </c>
      <c r="B143" s="2">
        <v>1</v>
      </c>
      <c r="C143" s="77">
        <v>2.25</v>
      </c>
      <c r="D143" s="2">
        <v>117</v>
      </c>
      <c r="E143" s="2"/>
      <c r="F143" s="103"/>
      <c r="G143" s="103"/>
      <c r="H143" s="128"/>
      <c r="I143" s="128"/>
      <c r="J143" s="128"/>
    </row>
    <row r="144" spans="1:10" x14ac:dyDescent="0.2">
      <c r="A144" s="236" t="s">
        <v>847</v>
      </c>
      <c r="B144" s="2">
        <v>2</v>
      </c>
      <c r="C144" s="2">
        <v>75</v>
      </c>
      <c r="D144" s="2">
        <v>150</v>
      </c>
      <c r="E144" s="2"/>
      <c r="F144" s="103"/>
      <c r="G144" s="103"/>
      <c r="H144" s="128"/>
      <c r="I144" s="128"/>
      <c r="J144" s="128"/>
    </row>
    <row r="145" spans="1:10" x14ac:dyDescent="0.2">
      <c r="A145" s="236" t="s">
        <v>771</v>
      </c>
      <c r="B145" s="2">
        <v>14</v>
      </c>
      <c r="C145" s="2">
        <v>275</v>
      </c>
      <c r="D145" s="3">
        <f>+B145*C145</f>
        <v>3850</v>
      </c>
      <c r="E145" s="2"/>
      <c r="F145" s="40"/>
      <c r="G145" s="40"/>
      <c r="I145" s="2"/>
      <c r="J145" s="2"/>
    </row>
    <row r="146" spans="1:10" s="236" customFormat="1" ht="15" x14ac:dyDescent="0.35">
      <c r="A146" s="236" t="s">
        <v>2117</v>
      </c>
      <c r="B146" s="2">
        <v>6</v>
      </c>
      <c r="C146" s="2">
        <v>115</v>
      </c>
      <c r="D146" s="28">
        <f>+B146*C146</f>
        <v>690</v>
      </c>
      <c r="E146" s="2"/>
      <c r="F146" s="40"/>
      <c r="G146" s="40"/>
      <c r="H146" s="2"/>
      <c r="I146" s="2"/>
      <c r="J146" s="2"/>
    </row>
    <row r="147" spans="1:10" x14ac:dyDescent="0.2">
      <c r="A147" s="236" t="s">
        <v>1073</v>
      </c>
      <c r="B147" s="236"/>
      <c r="C147" s="236"/>
      <c r="D147" s="2">
        <f>SUM(D138:D146)</f>
        <v>11902</v>
      </c>
      <c r="E147" s="2"/>
      <c r="F147" s="236"/>
      <c r="G147" s="236"/>
      <c r="I147" s="2"/>
      <c r="J147" s="2"/>
    </row>
    <row r="148" spans="1:10" x14ac:dyDescent="0.2">
      <c r="A148" s="236"/>
      <c r="B148" s="236"/>
      <c r="C148" s="236"/>
      <c r="D148" s="2"/>
      <c r="E148" s="2"/>
      <c r="F148" s="236"/>
      <c r="G148" s="236"/>
      <c r="I148" s="2"/>
      <c r="J148" s="2"/>
    </row>
    <row r="149" spans="1:10" ht="13.5" x14ac:dyDescent="0.25">
      <c r="A149" s="239" t="s">
        <v>319</v>
      </c>
      <c r="B149" s="236"/>
      <c r="C149" s="236"/>
      <c r="D149" s="2"/>
      <c r="E149" s="2">
        <v>24564</v>
      </c>
      <c r="F149" s="40">
        <v>28000</v>
      </c>
      <c r="G149" s="40">
        <v>28000</v>
      </c>
      <c r="H149" s="2">
        <v>28000</v>
      </c>
      <c r="I149" s="2">
        <v>28000</v>
      </c>
      <c r="J149" s="2">
        <v>28000</v>
      </c>
    </row>
    <row r="150" spans="1:10" x14ac:dyDescent="0.2">
      <c r="A150" s="29" t="s">
        <v>2030</v>
      </c>
      <c r="B150" s="236"/>
      <c r="C150" s="236"/>
      <c r="D150" s="2"/>
      <c r="E150" s="2"/>
      <c r="F150" s="40"/>
      <c r="G150" s="40"/>
      <c r="I150" s="2"/>
      <c r="J150" s="2"/>
    </row>
    <row r="151" spans="1:10" x14ac:dyDescent="0.2">
      <c r="A151" s="236" t="s">
        <v>2031</v>
      </c>
      <c r="B151" s="236"/>
      <c r="C151" s="2"/>
      <c r="D151" s="2">
        <v>28000</v>
      </c>
      <c r="E151" s="2"/>
      <c r="F151" s="40"/>
      <c r="G151" s="40"/>
      <c r="I151" s="2"/>
      <c r="J151" s="2"/>
    </row>
    <row r="152" spans="1:10" x14ac:dyDescent="0.2">
      <c r="A152" s="236"/>
      <c r="B152" s="236"/>
      <c r="C152" s="2"/>
      <c r="D152" s="2"/>
      <c r="E152" s="2"/>
      <c r="F152" s="40"/>
      <c r="G152" s="40"/>
      <c r="I152" s="2"/>
      <c r="J152" s="2"/>
    </row>
    <row r="153" spans="1:10" ht="13.5" x14ac:dyDescent="0.25">
      <c r="A153" s="239" t="s">
        <v>320</v>
      </c>
      <c r="B153" s="236"/>
      <c r="C153" s="2"/>
      <c r="D153" s="2"/>
      <c r="E153" s="2">
        <v>0</v>
      </c>
      <c r="F153" s="40">
        <v>3000</v>
      </c>
      <c r="G153" s="40">
        <v>3000</v>
      </c>
      <c r="H153" s="2">
        <v>3000</v>
      </c>
      <c r="I153" s="2">
        <v>3000</v>
      </c>
      <c r="J153" s="2">
        <v>3000</v>
      </c>
    </row>
    <row r="154" spans="1:10" x14ac:dyDescent="0.2">
      <c r="A154" s="236" t="s">
        <v>1170</v>
      </c>
      <c r="B154" s="236"/>
      <c r="C154" s="2"/>
      <c r="D154" s="2">
        <v>3000</v>
      </c>
      <c r="E154" s="2"/>
      <c r="F154" s="40"/>
      <c r="G154" s="40"/>
      <c r="I154" s="2"/>
      <c r="J154" s="2"/>
    </row>
    <row r="155" spans="1:10" x14ac:dyDescent="0.2">
      <c r="A155" s="236"/>
      <c r="B155" s="236"/>
      <c r="C155" s="2"/>
      <c r="D155" s="2"/>
      <c r="E155" s="2"/>
      <c r="F155" s="40"/>
      <c r="G155" s="40"/>
      <c r="I155" s="2"/>
      <c r="J155" s="2"/>
    </row>
    <row r="156" spans="1:10" ht="13.5" x14ac:dyDescent="0.25">
      <c r="A156" s="239" t="s">
        <v>1689</v>
      </c>
      <c r="B156" s="236"/>
      <c r="C156" s="2"/>
      <c r="D156" s="2"/>
      <c r="E156" s="2">
        <v>40</v>
      </c>
      <c r="F156" s="2">
        <v>0</v>
      </c>
      <c r="G156" s="2"/>
      <c r="I156" s="2"/>
      <c r="J156" s="2"/>
    </row>
    <row r="157" spans="1:10" x14ac:dyDescent="0.2">
      <c r="A157" s="236"/>
      <c r="B157" s="236"/>
      <c r="C157" s="2"/>
      <c r="D157" s="2"/>
      <c r="E157" s="2"/>
      <c r="F157" s="40"/>
      <c r="G157" s="40"/>
      <c r="I157" s="2"/>
      <c r="J157" s="2"/>
    </row>
    <row r="158" spans="1:10" ht="13.5" x14ac:dyDescent="0.25">
      <c r="A158" s="239" t="s">
        <v>733</v>
      </c>
      <c r="B158" s="236"/>
      <c r="C158" s="2"/>
      <c r="D158" s="2"/>
      <c r="E158" s="2">
        <v>1323</v>
      </c>
      <c r="F158" s="40">
        <v>1500</v>
      </c>
      <c r="G158" s="40">
        <v>1200</v>
      </c>
      <c r="H158" s="2">
        <v>1200</v>
      </c>
      <c r="I158" s="2">
        <v>1200</v>
      </c>
      <c r="J158" s="2">
        <v>1200</v>
      </c>
    </row>
    <row r="159" spans="1:10" x14ac:dyDescent="0.2">
      <c r="A159" s="236" t="s">
        <v>1438</v>
      </c>
      <c r="B159" s="236"/>
      <c r="C159" s="2"/>
      <c r="D159" s="2">
        <v>1200</v>
      </c>
      <c r="E159" s="2"/>
      <c r="F159" s="40"/>
      <c r="G159" s="40"/>
      <c r="I159" s="2"/>
      <c r="J159" s="2"/>
    </row>
    <row r="160" spans="1:10" x14ac:dyDescent="0.2">
      <c r="A160" s="236"/>
      <c r="B160" s="236"/>
      <c r="C160" s="2"/>
      <c r="D160" s="2"/>
      <c r="E160" s="2"/>
      <c r="F160" s="40"/>
      <c r="G160" s="40"/>
      <c r="I160" s="2"/>
      <c r="J160" s="2"/>
    </row>
    <row r="161" spans="1:10" ht="13.5" x14ac:dyDescent="0.25">
      <c r="A161" s="239" t="s">
        <v>309</v>
      </c>
      <c r="B161" s="236"/>
      <c r="C161" s="2"/>
      <c r="D161" s="2"/>
      <c r="E161" s="2">
        <v>342445</v>
      </c>
      <c r="F161" s="40">
        <v>358000</v>
      </c>
      <c r="G161" s="40">
        <v>369000</v>
      </c>
      <c r="H161" s="2">
        <v>369000</v>
      </c>
      <c r="I161" s="2">
        <v>369000</v>
      </c>
      <c r="J161" s="2">
        <v>369000</v>
      </c>
    </row>
    <row r="162" spans="1:10" x14ac:dyDescent="0.2">
      <c r="A162" s="236" t="s">
        <v>310</v>
      </c>
      <c r="B162" s="236"/>
      <c r="C162" s="2"/>
      <c r="D162" s="2">
        <v>277000</v>
      </c>
      <c r="E162" s="2"/>
      <c r="F162" s="193"/>
      <c r="G162" s="193"/>
      <c r="H162" s="193"/>
      <c r="I162" s="193"/>
      <c r="J162" s="193"/>
    </row>
    <row r="163" spans="1:10" x14ac:dyDescent="0.2">
      <c r="A163" s="236" t="s">
        <v>878</v>
      </c>
      <c r="B163" s="236"/>
      <c r="C163" s="2"/>
      <c r="D163" s="2">
        <v>9300</v>
      </c>
      <c r="E163" s="2"/>
      <c r="F163" s="40"/>
      <c r="G163" s="40"/>
      <c r="I163" s="2"/>
      <c r="J163" s="2"/>
    </row>
    <row r="164" spans="1:10" x14ac:dyDescent="0.2">
      <c r="A164" s="236" t="s">
        <v>879</v>
      </c>
      <c r="B164" s="236"/>
      <c r="C164" s="2"/>
      <c r="D164" s="2">
        <v>5000</v>
      </c>
      <c r="E164" s="2"/>
      <c r="F164" s="40"/>
      <c r="G164" s="40"/>
      <c r="I164" s="2"/>
      <c r="J164" s="2"/>
    </row>
    <row r="165" spans="1:10" x14ac:dyDescent="0.2">
      <c r="A165" s="236" t="s">
        <v>635</v>
      </c>
      <c r="B165" s="236"/>
      <c r="C165" s="2"/>
      <c r="D165" s="2">
        <v>3000</v>
      </c>
      <c r="E165" s="2"/>
      <c r="F165" s="40"/>
      <c r="G165" s="40"/>
      <c r="I165" s="2"/>
      <c r="J165" s="2"/>
    </row>
    <row r="166" spans="1:10" x14ac:dyDescent="0.2">
      <c r="A166" s="236" t="s">
        <v>958</v>
      </c>
      <c r="B166" s="236"/>
      <c r="C166" s="2"/>
      <c r="D166" s="2">
        <v>2000</v>
      </c>
      <c r="E166" s="2"/>
      <c r="F166" s="40"/>
      <c r="G166" s="40"/>
      <c r="I166" s="2"/>
      <c r="J166" s="2"/>
    </row>
    <row r="167" spans="1:10" x14ac:dyDescent="0.2">
      <c r="A167" s="236" t="s">
        <v>1334</v>
      </c>
      <c r="B167" s="236"/>
      <c r="C167" s="2"/>
      <c r="D167" s="2">
        <v>1200</v>
      </c>
      <c r="E167" s="2"/>
      <c r="F167" s="40"/>
      <c r="G167" s="40"/>
      <c r="I167" s="2"/>
      <c r="J167" s="2"/>
    </row>
    <row r="168" spans="1:10" x14ac:dyDescent="0.2">
      <c r="A168" s="236" t="s">
        <v>636</v>
      </c>
      <c r="B168" s="236"/>
      <c r="C168" s="2"/>
      <c r="D168" s="2">
        <v>1300</v>
      </c>
      <c r="E168" s="2"/>
      <c r="F168" s="40"/>
      <c r="G168" s="40"/>
      <c r="I168" s="2"/>
      <c r="J168" s="2"/>
    </row>
    <row r="169" spans="1:10" x14ac:dyDescent="0.2">
      <c r="A169" s="236" t="s">
        <v>1552</v>
      </c>
      <c r="B169" s="236"/>
      <c r="C169" s="2"/>
      <c r="D169" s="2">
        <v>4200</v>
      </c>
      <c r="E169" s="2"/>
      <c r="F169" s="40"/>
      <c r="G169" s="40"/>
      <c r="I169" s="2"/>
      <c r="J169" s="2"/>
    </row>
    <row r="170" spans="1:10" ht="15" x14ac:dyDescent="0.35">
      <c r="A170" s="236" t="s">
        <v>637</v>
      </c>
      <c r="B170" s="236"/>
      <c r="C170" s="10"/>
      <c r="D170" s="10">
        <v>66000</v>
      </c>
      <c r="E170" s="2"/>
      <c r="F170" s="40"/>
      <c r="G170" s="40"/>
      <c r="I170" s="2"/>
      <c r="J170" s="2"/>
    </row>
    <row r="171" spans="1:10" x14ac:dyDescent="0.2">
      <c r="A171" s="236" t="s">
        <v>1073</v>
      </c>
      <c r="B171" s="236"/>
      <c r="C171" s="2"/>
      <c r="D171" s="2">
        <f>SUM(D162:D170)</f>
        <v>369000</v>
      </c>
      <c r="E171" s="2"/>
      <c r="F171" s="40"/>
      <c r="G171" s="40"/>
      <c r="I171" s="2"/>
      <c r="J171" s="2"/>
    </row>
    <row r="172" spans="1:10" x14ac:dyDescent="0.2">
      <c r="A172" s="236"/>
      <c r="B172" s="236"/>
      <c r="C172" s="2"/>
      <c r="D172" s="2"/>
      <c r="E172" s="2"/>
      <c r="F172" s="40"/>
      <c r="G172" s="40"/>
      <c r="I172" s="2"/>
      <c r="J172" s="2"/>
    </row>
    <row r="173" spans="1:10" ht="13.5" x14ac:dyDescent="0.25">
      <c r="A173" s="239" t="s">
        <v>335</v>
      </c>
      <c r="B173" s="236"/>
      <c r="C173" s="2"/>
      <c r="D173" s="2"/>
      <c r="E173" s="2">
        <v>86945</v>
      </c>
      <c r="F173" s="40">
        <v>84000</v>
      </c>
      <c r="G173" s="40">
        <v>87400</v>
      </c>
      <c r="H173" s="2">
        <v>87400</v>
      </c>
      <c r="I173" s="2">
        <v>87400</v>
      </c>
      <c r="J173" s="2">
        <v>87400</v>
      </c>
    </row>
    <row r="174" spans="1:10" x14ac:dyDescent="0.2">
      <c r="A174" s="236" t="s">
        <v>1553</v>
      </c>
      <c r="B174" s="236"/>
      <c r="C174" s="2"/>
      <c r="D174" s="2">
        <v>21000</v>
      </c>
      <c r="E174" s="2"/>
      <c r="F174" s="40"/>
      <c r="G174" s="40"/>
      <c r="I174" s="2"/>
      <c r="J174" s="2"/>
    </row>
    <row r="175" spans="1:10" x14ac:dyDescent="0.2">
      <c r="A175" s="236" t="s">
        <v>1554</v>
      </c>
      <c r="B175" s="236"/>
      <c r="C175" s="2"/>
      <c r="D175" s="2">
        <f>1000+3700</f>
        <v>4700</v>
      </c>
      <c r="E175" s="2"/>
      <c r="F175" s="40"/>
      <c r="G175" s="40"/>
      <c r="I175" s="2"/>
      <c r="J175" s="2"/>
    </row>
    <row r="176" spans="1:10" x14ac:dyDescent="0.2">
      <c r="A176" s="236" t="s">
        <v>1770</v>
      </c>
      <c r="B176" s="236"/>
      <c r="C176" s="2"/>
      <c r="D176" s="2">
        <v>4000</v>
      </c>
      <c r="E176" s="2"/>
      <c r="F176" s="40"/>
      <c r="G176" s="40"/>
      <c r="I176" s="2"/>
      <c r="J176" s="2"/>
    </row>
    <row r="177" spans="1:10" x14ac:dyDescent="0.2">
      <c r="A177" s="236" t="s">
        <v>1769</v>
      </c>
      <c r="B177" s="236"/>
      <c r="C177" s="2"/>
      <c r="D177" s="2">
        <v>8700</v>
      </c>
      <c r="E177" s="2"/>
      <c r="F177" s="40"/>
      <c r="G177" s="40"/>
      <c r="I177" s="2"/>
      <c r="J177" s="2"/>
    </row>
    <row r="178" spans="1:10" x14ac:dyDescent="0.2">
      <c r="A178" s="236" t="s">
        <v>951</v>
      </c>
      <c r="B178" s="236"/>
      <c r="C178" s="2"/>
      <c r="D178" s="2">
        <v>48000</v>
      </c>
      <c r="E178" s="2"/>
      <c r="F178" s="40"/>
      <c r="G178" s="40"/>
      <c r="I178" s="2"/>
      <c r="J178" s="2"/>
    </row>
    <row r="179" spans="1:10" ht="15" x14ac:dyDescent="0.35">
      <c r="A179" s="236" t="s">
        <v>1771</v>
      </c>
      <c r="B179" s="236"/>
      <c r="C179" s="10"/>
      <c r="D179" s="10">
        <v>1000</v>
      </c>
      <c r="E179" s="2"/>
      <c r="F179" s="40"/>
      <c r="G179" s="40"/>
      <c r="I179" s="2"/>
      <c r="J179" s="2"/>
    </row>
    <row r="180" spans="1:10" x14ac:dyDescent="0.2">
      <c r="A180" s="236" t="s">
        <v>1073</v>
      </c>
      <c r="B180" s="236"/>
      <c r="C180" s="2"/>
      <c r="D180" s="2">
        <f>SUM(D174:D179)</f>
        <v>87400</v>
      </c>
      <c r="E180" s="2"/>
      <c r="F180" s="40"/>
      <c r="G180" s="40"/>
      <c r="I180" s="2"/>
      <c r="J180" s="2"/>
    </row>
    <row r="181" spans="1:10" x14ac:dyDescent="0.2">
      <c r="A181" s="236"/>
      <c r="B181" s="236"/>
      <c r="C181" s="236"/>
      <c r="D181" s="2"/>
      <c r="E181" s="2"/>
      <c r="F181" s="40"/>
      <c r="G181" s="40"/>
      <c r="I181" s="2"/>
      <c r="J181" s="2"/>
    </row>
    <row r="182" spans="1:10" ht="13.5" x14ac:dyDescent="0.25">
      <c r="A182" s="239" t="s">
        <v>952</v>
      </c>
      <c r="B182" s="236"/>
      <c r="C182" s="236"/>
      <c r="D182" s="2"/>
      <c r="E182" s="2">
        <v>0</v>
      </c>
      <c r="F182" s="40">
        <v>3250</v>
      </c>
      <c r="G182" s="40">
        <v>3250</v>
      </c>
      <c r="H182" s="2">
        <v>3250</v>
      </c>
      <c r="I182" s="2">
        <v>3250</v>
      </c>
      <c r="J182" s="2">
        <v>3250</v>
      </c>
    </row>
    <row r="183" spans="1:10" x14ac:dyDescent="0.2">
      <c r="A183" s="236" t="s">
        <v>879</v>
      </c>
      <c r="B183" s="2">
        <v>400</v>
      </c>
      <c r="C183" s="11">
        <v>3.25</v>
      </c>
      <c r="D183" s="2">
        <f>+C183*B183</f>
        <v>1300</v>
      </c>
      <c r="E183" s="2"/>
      <c r="F183" s="40"/>
      <c r="G183" s="40"/>
      <c r="I183" s="2"/>
      <c r="J183" s="2"/>
    </row>
    <row r="184" spans="1:10" ht="15" x14ac:dyDescent="0.35">
      <c r="A184" s="236" t="s">
        <v>953</v>
      </c>
      <c r="B184" s="2">
        <v>600</v>
      </c>
      <c r="C184" s="11">
        <v>3.25</v>
      </c>
      <c r="D184" s="10">
        <f>B184*C184</f>
        <v>1950</v>
      </c>
      <c r="E184" s="2"/>
      <c r="F184" s="40"/>
      <c r="G184" s="40"/>
      <c r="I184" s="2"/>
      <c r="J184" s="2"/>
    </row>
    <row r="185" spans="1:10" x14ac:dyDescent="0.2">
      <c r="A185" s="236" t="s">
        <v>1073</v>
      </c>
      <c r="B185" s="236"/>
      <c r="C185" s="236"/>
      <c r="D185" s="2">
        <f>SUM(D183:D184)</f>
        <v>3250</v>
      </c>
      <c r="E185" s="2"/>
      <c r="F185" s="236"/>
      <c r="G185" s="236"/>
      <c r="I185" s="2"/>
      <c r="J185" s="2"/>
    </row>
    <row r="186" spans="1:10" x14ac:dyDescent="0.2">
      <c r="A186" s="236"/>
      <c r="B186" s="236"/>
      <c r="C186" s="236"/>
      <c r="D186" s="2"/>
      <c r="E186" s="2"/>
      <c r="F186" s="236"/>
      <c r="G186" s="236"/>
      <c r="I186" s="2"/>
      <c r="J186" s="2"/>
    </row>
    <row r="187" spans="1:10" ht="13.5" x14ac:dyDescent="0.25">
      <c r="A187" s="14" t="s">
        <v>186</v>
      </c>
      <c r="B187" s="236"/>
      <c r="C187" s="236"/>
      <c r="D187" s="2"/>
      <c r="E187" s="2">
        <v>11289</v>
      </c>
      <c r="F187" s="40">
        <v>10000</v>
      </c>
      <c r="G187" s="40">
        <v>10300</v>
      </c>
      <c r="H187" s="2">
        <v>10300</v>
      </c>
      <c r="I187" s="2">
        <v>10300</v>
      </c>
      <c r="J187" s="2">
        <v>10300</v>
      </c>
    </row>
    <row r="188" spans="1:10" x14ac:dyDescent="0.2">
      <c r="A188" s="236" t="s">
        <v>1044</v>
      </c>
      <c r="B188" s="236"/>
      <c r="C188" s="2"/>
      <c r="D188" s="2">
        <v>3000</v>
      </c>
      <c r="E188" s="2"/>
      <c r="F188" s="40"/>
      <c r="G188" s="40"/>
      <c r="I188" s="2"/>
      <c r="J188" s="2"/>
    </row>
    <row r="189" spans="1:10" x14ac:dyDescent="0.2">
      <c r="A189" s="236" t="s">
        <v>1045</v>
      </c>
      <c r="B189" s="236"/>
      <c r="C189" s="2"/>
      <c r="D189" s="2">
        <v>2000</v>
      </c>
      <c r="E189" s="2"/>
      <c r="F189" s="40"/>
      <c r="G189" s="40"/>
      <c r="I189" s="2"/>
      <c r="J189" s="2"/>
    </row>
    <row r="190" spans="1:10" x14ac:dyDescent="0.2">
      <c r="A190" s="236" t="s">
        <v>1046</v>
      </c>
      <c r="B190" s="236"/>
      <c r="C190" s="2"/>
      <c r="D190" s="2">
        <v>0</v>
      </c>
      <c r="E190" s="2"/>
      <c r="F190" s="40"/>
      <c r="G190" s="40"/>
      <c r="I190" s="2"/>
      <c r="J190" s="2"/>
    </row>
    <row r="191" spans="1:10" x14ac:dyDescent="0.2">
      <c r="A191" s="236" t="s">
        <v>1200</v>
      </c>
      <c r="B191" s="236"/>
      <c r="C191" s="2"/>
      <c r="D191" s="2">
        <v>0</v>
      </c>
      <c r="E191" s="2"/>
      <c r="F191" s="40"/>
      <c r="G191" s="40"/>
      <c r="I191" s="2"/>
      <c r="J191" s="2"/>
    </row>
    <row r="192" spans="1:10" x14ac:dyDescent="0.2">
      <c r="A192" s="236" t="s">
        <v>1047</v>
      </c>
      <c r="B192" s="236"/>
      <c r="C192" s="2"/>
      <c r="D192" s="2">
        <v>1700</v>
      </c>
      <c r="E192" s="2"/>
      <c r="F192" s="40"/>
      <c r="G192" s="40"/>
      <c r="I192" s="2"/>
      <c r="J192" s="2"/>
    </row>
    <row r="193" spans="1:10" x14ac:dyDescent="0.2">
      <c r="A193" s="236" t="s">
        <v>1359</v>
      </c>
      <c r="B193" s="236"/>
      <c r="C193" s="2"/>
      <c r="D193" s="2">
        <v>1500</v>
      </c>
      <c r="E193" s="2"/>
      <c r="F193" s="40"/>
      <c r="G193" s="40"/>
      <c r="I193" s="2"/>
      <c r="J193" s="2"/>
    </row>
    <row r="194" spans="1:10" ht="15" x14ac:dyDescent="0.35">
      <c r="A194" s="236" t="s">
        <v>1439</v>
      </c>
      <c r="B194" s="236"/>
      <c r="C194" s="10"/>
      <c r="D194" s="10">
        <v>2100</v>
      </c>
      <c r="E194" s="2"/>
      <c r="F194" s="40"/>
      <c r="G194" s="40"/>
      <c r="I194" s="2"/>
      <c r="J194" s="2"/>
    </row>
    <row r="195" spans="1:10" x14ac:dyDescent="0.2">
      <c r="A195" s="236" t="s">
        <v>1073</v>
      </c>
      <c r="B195" s="236"/>
      <c r="C195" s="2"/>
      <c r="D195" s="2">
        <f>SUM(D188:D194)</f>
        <v>10300</v>
      </c>
      <c r="E195" s="2"/>
      <c r="F195" s="40"/>
      <c r="G195" s="40"/>
      <c r="I195" s="2"/>
      <c r="J195" s="2"/>
    </row>
    <row r="196" spans="1:10" x14ac:dyDescent="0.2">
      <c r="A196" s="236"/>
      <c r="B196" s="236"/>
      <c r="C196" s="2"/>
      <c r="D196" s="2"/>
      <c r="E196" s="2"/>
      <c r="F196" s="40"/>
      <c r="G196" s="40"/>
      <c r="I196" s="2"/>
      <c r="J196" s="2"/>
    </row>
    <row r="197" spans="1:10" ht="13.5" x14ac:dyDescent="0.25">
      <c r="A197" s="239" t="s">
        <v>314</v>
      </c>
      <c r="B197" s="236"/>
      <c r="C197" s="2"/>
      <c r="D197" s="2"/>
      <c r="E197" s="2">
        <v>54121</v>
      </c>
      <c r="F197" s="40">
        <v>68091</v>
      </c>
      <c r="G197" s="40">
        <v>68000</v>
      </c>
      <c r="H197" s="2">
        <v>68000</v>
      </c>
      <c r="I197" s="2">
        <v>68000</v>
      </c>
      <c r="J197" s="2">
        <v>68000</v>
      </c>
    </row>
    <row r="198" spans="1:10" x14ac:dyDescent="0.2">
      <c r="A198" s="236" t="s">
        <v>1651</v>
      </c>
      <c r="B198" s="236"/>
      <c r="C198" s="2"/>
      <c r="D198" s="2">
        <v>68000</v>
      </c>
      <c r="E198" s="2"/>
      <c r="F198" s="40"/>
      <c r="G198" s="40"/>
      <c r="I198" s="2"/>
      <c r="J198" s="2"/>
    </row>
    <row r="199" spans="1:10" x14ac:dyDescent="0.2">
      <c r="A199" s="236"/>
      <c r="B199" s="236"/>
      <c r="C199" s="236"/>
      <c r="D199" s="2"/>
      <c r="E199" s="2"/>
      <c r="F199" s="40"/>
      <c r="G199" s="40"/>
      <c r="I199" s="2"/>
      <c r="J199" s="2"/>
    </row>
    <row r="200" spans="1:10" ht="13.5" x14ac:dyDescent="0.25">
      <c r="A200" s="239" t="s">
        <v>547</v>
      </c>
      <c r="B200" s="236"/>
      <c r="C200" s="236"/>
      <c r="D200" s="2"/>
      <c r="E200" s="2">
        <v>23659</v>
      </c>
      <c r="F200" s="40">
        <v>28595</v>
      </c>
      <c r="G200" s="40">
        <v>31975</v>
      </c>
      <c r="H200" s="2">
        <v>31975</v>
      </c>
      <c r="I200" s="2">
        <v>31975</v>
      </c>
      <c r="J200" s="2">
        <v>31975</v>
      </c>
    </row>
    <row r="201" spans="1:10" x14ac:dyDescent="0.2">
      <c r="A201" s="236" t="s">
        <v>1107</v>
      </c>
      <c r="B201" s="2">
        <v>3500</v>
      </c>
      <c r="C201" s="11">
        <v>2.85</v>
      </c>
      <c r="D201" s="2">
        <f>+C201*B201</f>
        <v>9975</v>
      </c>
      <c r="E201" s="2"/>
      <c r="F201" s="40"/>
      <c r="G201" s="40"/>
      <c r="I201" s="2"/>
      <c r="J201" s="2"/>
    </row>
    <row r="202" spans="1:10" x14ac:dyDescent="0.2">
      <c r="A202" s="236" t="s">
        <v>1555</v>
      </c>
      <c r="B202" s="2">
        <v>7000</v>
      </c>
      <c r="C202" s="11">
        <v>2.75</v>
      </c>
      <c r="D202" s="2">
        <f>+C202*B202</f>
        <v>19250</v>
      </c>
      <c r="E202" s="2"/>
      <c r="F202" s="40"/>
      <c r="G202" s="40"/>
      <c r="I202" s="2"/>
      <c r="J202" s="2"/>
    </row>
    <row r="203" spans="1:10" ht="15" x14ac:dyDescent="0.35">
      <c r="A203" s="236" t="s">
        <v>1176</v>
      </c>
      <c r="B203" s="2">
        <v>1000</v>
      </c>
      <c r="C203" s="11">
        <v>2.75</v>
      </c>
      <c r="D203" s="10">
        <f>+C203*B203</f>
        <v>2750</v>
      </c>
      <c r="E203" s="2"/>
      <c r="F203" s="40"/>
      <c r="G203" s="40"/>
      <c r="I203" s="2"/>
      <c r="J203" s="2"/>
    </row>
    <row r="204" spans="1:10" x14ac:dyDescent="0.2">
      <c r="A204" s="236" t="s">
        <v>1073</v>
      </c>
      <c r="B204" s="236"/>
      <c r="C204" s="236"/>
      <c r="D204" s="2">
        <f>SUM(D201:D203)</f>
        <v>31975</v>
      </c>
      <c r="E204" s="2"/>
      <c r="F204" s="40"/>
      <c r="G204" s="40"/>
      <c r="I204" s="2"/>
      <c r="J204" s="2"/>
    </row>
    <row r="205" spans="1:10" x14ac:dyDescent="0.2">
      <c r="A205" s="236"/>
      <c r="B205" s="236"/>
      <c r="C205" s="236"/>
      <c r="D205" s="2"/>
      <c r="E205" s="2"/>
      <c r="F205" s="40"/>
      <c r="G205" s="40"/>
      <c r="I205" s="2"/>
      <c r="J205" s="2"/>
    </row>
    <row r="206" spans="1:10" ht="13.5" x14ac:dyDescent="0.25">
      <c r="A206" s="239" t="s">
        <v>1234</v>
      </c>
      <c r="B206" s="236"/>
      <c r="C206" s="236"/>
      <c r="D206" s="2"/>
      <c r="E206" s="2">
        <v>14386</v>
      </c>
      <c r="F206" s="40">
        <v>12400</v>
      </c>
      <c r="G206" s="40">
        <v>13095</v>
      </c>
      <c r="H206" s="2">
        <v>13095</v>
      </c>
      <c r="I206" s="2">
        <v>13095</v>
      </c>
      <c r="J206" s="2">
        <v>13095</v>
      </c>
    </row>
    <row r="207" spans="1:10" x14ac:dyDescent="0.2">
      <c r="A207" s="236" t="s">
        <v>811</v>
      </c>
      <c r="B207" s="236"/>
      <c r="C207" s="2"/>
      <c r="D207" s="2">
        <v>4600</v>
      </c>
      <c r="E207" s="2"/>
      <c r="F207" s="40"/>
      <c r="G207" s="40"/>
      <c r="I207" s="2"/>
      <c r="J207" s="2"/>
    </row>
    <row r="208" spans="1:10" x14ac:dyDescent="0.2">
      <c r="A208" s="236" t="s">
        <v>1996</v>
      </c>
      <c r="B208" s="236"/>
      <c r="C208" s="2"/>
      <c r="D208" s="2">
        <v>6120</v>
      </c>
      <c r="E208" s="2"/>
      <c r="F208" s="40"/>
      <c r="G208" s="40"/>
      <c r="I208" s="2"/>
      <c r="J208" s="2"/>
    </row>
    <row r="209" spans="1:10" x14ac:dyDescent="0.2">
      <c r="A209" s="236" t="s">
        <v>1692</v>
      </c>
      <c r="B209" s="236"/>
      <c r="C209" s="2"/>
      <c r="D209" s="2">
        <v>2000</v>
      </c>
      <c r="E209" s="2"/>
      <c r="F209" s="40"/>
      <c r="G209" s="40"/>
      <c r="I209" s="2"/>
      <c r="J209" s="2"/>
    </row>
    <row r="210" spans="1:10" x14ac:dyDescent="0.2">
      <c r="A210" s="236" t="s">
        <v>1764</v>
      </c>
      <c r="B210" s="236">
        <v>2</v>
      </c>
      <c r="C210" s="2"/>
      <c r="D210" s="2">
        <f>+B210*125</f>
        <v>250</v>
      </c>
      <c r="E210" s="2"/>
      <c r="F210" s="40"/>
      <c r="G210" s="40"/>
      <c r="I210" s="2"/>
      <c r="J210" s="2"/>
    </row>
    <row r="211" spans="1:10" ht="15" x14ac:dyDescent="0.35">
      <c r="A211" s="236" t="s">
        <v>141</v>
      </c>
      <c r="B211" s="2" t="s">
        <v>345</v>
      </c>
      <c r="C211" s="10">
        <v>125</v>
      </c>
      <c r="D211" s="10">
        <v>125</v>
      </c>
      <c r="E211" s="2"/>
      <c r="F211" s="40"/>
      <c r="G211" s="40"/>
      <c r="I211" s="2"/>
      <c r="J211" s="2"/>
    </row>
    <row r="212" spans="1:10" x14ac:dyDescent="0.2">
      <c r="A212" s="236" t="s">
        <v>1073</v>
      </c>
      <c r="B212" s="236"/>
      <c r="C212" s="2"/>
      <c r="D212" s="2">
        <f>SUM(D207:D211)</f>
        <v>13095</v>
      </c>
      <c r="E212" s="2"/>
      <c r="F212" s="40"/>
      <c r="G212" s="40"/>
      <c r="I212" s="2"/>
      <c r="J212" s="2"/>
    </row>
    <row r="213" spans="1:10" x14ac:dyDescent="0.2">
      <c r="A213" s="236"/>
      <c r="B213" s="236"/>
      <c r="C213" s="2"/>
      <c r="D213" s="2"/>
      <c r="E213" s="2"/>
      <c r="F213" s="40"/>
      <c r="G213" s="40"/>
      <c r="I213" s="2"/>
      <c r="J213" s="2"/>
    </row>
    <row r="214" spans="1:10" ht="13.5" x14ac:dyDescent="0.25">
      <c r="A214" s="239" t="s">
        <v>935</v>
      </c>
      <c r="B214" s="236"/>
      <c r="C214" s="7" t="s">
        <v>345</v>
      </c>
      <c r="D214" s="7" t="s">
        <v>345</v>
      </c>
      <c r="E214" s="2">
        <v>7055</v>
      </c>
      <c r="F214" s="2">
        <v>9145</v>
      </c>
      <c r="G214" s="2">
        <v>9145</v>
      </c>
      <c r="H214" s="2">
        <v>9145</v>
      </c>
      <c r="I214" s="2">
        <v>9145</v>
      </c>
      <c r="J214" s="2">
        <v>9145</v>
      </c>
    </row>
    <row r="215" spans="1:10" x14ac:dyDescent="0.2">
      <c r="A215" s="236" t="s">
        <v>299</v>
      </c>
      <c r="B215" s="2" t="s">
        <v>345</v>
      </c>
      <c r="C215" s="2"/>
      <c r="D215" s="2">
        <v>375</v>
      </c>
      <c r="E215" s="2"/>
      <c r="F215" s="103"/>
      <c r="G215" s="103"/>
      <c r="H215" s="128"/>
      <c r="I215" s="128"/>
      <c r="J215" s="128"/>
    </row>
    <row r="216" spans="1:10" x14ac:dyDescent="0.2">
      <c r="A216" s="236" t="s">
        <v>1961</v>
      </c>
      <c r="B216" s="2"/>
      <c r="C216" s="2"/>
      <c r="D216" s="2">
        <v>5500</v>
      </c>
      <c r="E216" s="2"/>
      <c r="F216" s="103"/>
      <c r="G216" s="103"/>
      <c r="H216" s="128"/>
      <c r="I216" s="128"/>
      <c r="J216" s="128"/>
    </row>
    <row r="217" spans="1:10" x14ac:dyDescent="0.2">
      <c r="A217" s="236" t="s">
        <v>142</v>
      </c>
      <c r="B217" s="2"/>
      <c r="C217" s="2"/>
      <c r="D217" s="2">
        <v>450</v>
      </c>
      <c r="E217" s="2"/>
      <c r="F217" s="40"/>
      <c r="G217" s="40"/>
      <c r="I217" s="2"/>
      <c r="J217" s="2"/>
    </row>
    <row r="218" spans="1:10" x14ac:dyDescent="0.2">
      <c r="A218" s="236" t="s">
        <v>300</v>
      </c>
      <c r="B218" s="2"/>
      <c r="C218" s="2"/>
      <c r="D218" s="2">
        <v>900</v>
      </c>
      <c r="E218" s="2"/>
      <c r="F218" s="40"/>
      <c r="G218" s="40"/>
      <c r="I218" s="2"/>
      <c r="J218" s="2"/>
    </row>
    <row r="219" spans="1:10" x14ac:dyDescent="0.2">
      <c r="A219" s="236" t="s">
        <v>1712</v>
      </c>
      <c r="B219" s="2"/>
      <c r="C219" s="2"/>
      <c r="D219" s="2">
        <v>1500</v>
      </c>
      <c r="E219" s="2"/>
      <c r="F219" s="40"/>
      <c r="G219" s="40"/>
      <c r="I219" s="2"/>
      <c r="J219" s="2"/>
    </row>
    <row r="220" spans="1:10" ht="15" x14ac:dyDescent="0.35">
      <c r="A220" s="236" t="s">
        <v>755</v>
      </c>
      <c r="B220" s="2"/>
      <c r="C220" s="10"/>
      <c r="D220" s="10">
        <v>420</v>
      </c>
      <c r="E220" s="2"/>
      <c r="F220" s="40"/>
      <c r="G220" s="40"/>
      <c r="I220" s="2"/>
      <c r="J220" s="2"/>
    </row>
    <row r="221" spans="1:10" x14ac:dyDescent="0.2">
      <c r="A221" s="236" t="s">
        <v>1073</v>
      </c>
      <c r="B221" s="2"/>
      <c r="C221" s="2"/>
      <c r="D221" s="2">
        <f>SUM(D215:D220)</f>
        <v>9145</v>
      </c>
      <c r="E221" s="2"/>
      <c r="F221" s="236"/>
      <c r="G221" s="236"/>
      <c r="I221" s="2"/>
      <c r="J221" s="2"/>
    </row>
    <row r="222" spans="1:10" x14ac:dyDescent="0.2">
      <c r="A222" s="236" t="s">
        <v>345</v>
      </c>
      <c r="B222" s="236"/>
      <c r="C222" s="2" t="s">
        <v>345</v>
      </c>
      <c r="D222" s="2" t="s">
        <v>345</v>
      </c>
      <c r="E222" s="2"/>
      <c r="F222" s="236"/>
      <c r="G222" s="236"/>
      <c r="I222" s="2"/>
      <c r="J222" s="2"/>
    </row>
    <row r="223" spans="1:10" ht="13.5" x14ac:dyDescent="0.25">
      <c r="A223" s="16" t="s">
        <v>751</v>
      </c>
      <c r="B223" s="236"/>
      <c r="C223" s="2"/>
      <c r="D223" s="2"/>
      <c r="E223" s="2">
        <v>56812</v>
      </c>
      <c r="F223" s="40">
        <v>63295</v>
      </c>
      <c r="G223" s="40">
        <v>69117</v>
      </c>
      <c r="H223" s="2">
        <v>69117</v>
      </c>
      <c r="I223" s="2">
        <v>69117</v>
      </c>
      <c r="J223" s="2">
        <v>69117</v>
      </c>
    </row>
    <row r="224" spans="1:10" x14ac:dyDescent="0.2">
      <c r="A224" s="236" t="s">
        <v>1420</v>
      </c>
      <c r="B224" s="236"/>
      <c r="C224" s="2"/>
      <c r="D224" s="2">
        <v>69117</v>
      </c>
      <c r="E224" s="2"/>
      <c r="F224" s="236"/>
      <c r="G224" s="236"/>
      <c r="I224" s="2"/>
      <c r="J224" s="2"/>
    </row>
    <row r="225" spans="1:10" x14ac:dyDescent="0.2">
      <c r="A225" s="236"/>
      <c r="B225" s="236"/>
      <c r="C225" s="2"/>
      <c r="D225" s="2"/>
      <c r="E225" s="2"/>
      <c r="F225" s="40"/>
      <c r="G225" s="40"/>
      <c r="I225" s="2"/>
      <c r="J225" s="2"/>
    </row>
    <row r="226" spans="1:10" x14ac:dyDescent="0.2">
      <c r="A226" s="236"/>
      <c r="B226" s="236"/>
      <c r="C226" s="2"/>
      <c r="D226" s="2"/>
      <c r="E226" s="2"/>
      <c r="F226" s="40"/>
      <c r="G226" s="40"/>
      <c r="I226" s="2"/>
      <c r="J226" s="2"/>
    </row>
    <row r="227" spans="1:10" ht="13.5" x14ac:dyDescent="0.25">
      <c r="A227" s="239" t="s">
        <v>900</v>
      </c>
      <c r="B227" s="236"/>
      <c r="C227" s="2"/>
      <c r="D227" s="2"/>
      <c r="E227" s="2">
        <v>86</v>
      </c>
      <c r="F227" s="40">
        <v>2500</v>
      </c>
      <c r="G227" s="40">
        <v>2500</v>
      </c>
      <c r="H227" s="2">
        <v>2500</v>
      </c>
      <c r="I227" s="2">
        <v>2500</v>
      </c>
      <c r="J227" s="2">
        <v>2500</v>
      </c>
    </row>
    <row r="228" spans="1:10" x14ac:dyDescent="0.2">
      <c r="A228" s="236" t="s">
        <v>1556</v>
      </c>
      <c r="B228" s="236"/>
      <c r="C228" s="2" t="s">
        <v>345</v>
      </c>
      <c r="D228" s="2" t="s">
        <v>345</v>
      </c>
      <c r="E228" s="2"/>
      <c r="F228" s="40"/>
      <c r="G228" s="40"/>
      <c r="I228" s="2"/>
      <c r="J228" s="2"/>
    </row>
    <row r="229" spans="1:10" x14ac:dyDescent="0.2">
      <c r="A229" s="236" t="s">
        <v>1440</v>
      </c>
      <c r="B229" s="236"/>
      <c r="C229" s="2"/>
      <c r="D229" s="2">
        <v>2500</v>
      </c>
      <c r="E229" s="2"/>
      <c r="F229" s="40"/>
      <c r="G229" s="40"/>
      <c r="I229" s="2"/>
      <c r="J229" s="2"/>
    </row>
    <row r="230" spans="1:10" x14ac:dyDescent="0.2">
      <c r="A230" s="236"/>
      <c r="B230" s="236"/>
      <c r="C230" s="2"/>
      <c r="D230" s="2"/>
      <c r="E230" s="2"/>
      <c r="F230" s="40"/>
      <c r="G230" s="40"/>
      <c r="I230" s="2"/>
      <c r="J230" s="2"/>
    </row>
    <row r="231" spans="1:10" ht="13.5" x14ac:dyDescent="0.25">
      <c r="A231" s="239" t="s">
        <v>569</v>
      </c>
      <c r="B231" s="236" t="s">
        <v>54</v>
      </c>
      <c r="C231" s="2" t="s">
        <v>2018</v>
      </c>
      <c r="D231" s="2" t="s">
        <v>55</v>
      </c>
      <c r="E231" s="2">
        <v>80036</v>
      </c>
      <c r="F231" s="40">
        <v>99250</v>
      </c>
      <c r="G231" s="40">
        <v>111711</v>
      </c>
      <c r="H231" s="2">
        <v>111711</v>
      </c>
      <c r="I231" s="2">
        <v>111711</v>
      </c>
      <c r="J231" s="2">
        <v>111711</v>
      </c>
    </row>
    <row r="232" spans="1:10" x14ac:dyDescent="0.2">
      <c r="A232" s="236" t="s">
        <v>56</v>
      </c>
      <c r="B232" s="236">
        <v>1.006</v>
      </c>
      <c r="C232" s="2">
        <v>35180</v>
      </c>
      <c r="D232" s="2">
        <f>ROUND(B232*C232,0)</f>
        <v>35391</v>
      </c>
      <c r="E232" s="2"/>
      <c r="F232" s="236"/>
      <c r="G232" s="236"/>
      <c r="I232" s="2"/>
      <c r="J232" s="2"/>
    </row>
    <row r="233" spans="1:10" x14ac:dyDescent="0.2">
      <c r="A233" s="236" t="s">
        <v>57</v>
      </c>
      <c r="B233" s="236">
        <v>0.3</v>
      </c>
      <c r="C233" s="2">
        <v>18500</v>
      </c>
      <c r="D233" s="2">
        <f>+B233*C233</f>
        <v>5550</v>
      </c>
      <c r="E233" s="2"/>
      <c r="F233" s="40"/>
      <c r="G233" s="40"/>
      <c r="I233" s="2"/>
      <c r="J233" s="2"/>
    </row>
    <row r="234" spans="1:10" x14ac:dyDescent="0.2">
      <c r="A234" s="236" t="s">
        <v>894</v>
      </c>
      <c r="B234" s="236">
        <v>1.25</v>
      </c>
      <c r="C234" s="2">
        <v>14000</v>
      </c>
      <c r="D234" s="2">
        <f>+B234*C234</f>
        <v>17500</v>
      </c>
      <c r="E234" s="2"/>
      <c r="F234" s="40"/>
      <c r="G234" s="40"/>
      <c r="I234" s="2"/>
      <c r="J234" s="2"/>
    </row>
    <row r="235" spans="1:10" x14ac:dyDescent="0.2">
      <c r="A235" s="236" t="s">
        <v>1962</v>
      </c>
      <c r="B235" s="236">
        <v>0.1522</v>
      </c>
      <c r="C235" s="2">
        <v>350000</v>
      </c>
      <c r="D235" s="2">
        <f>+B235*C235</f>
        <v>53270</v>
      </c>
      <c r="E235" s="2"/>
      <c r="F235" s="40"/>
      <c r="G235" s="40"/>
      <c r="I235" s="2"/>
      <c r="J235" s="2"/>
    </row>
    <row r="236" spans="1:10" ht="15" x14ac:dyDescent="0.35">
      <c r="A236" s="236"/>
      <c r="B236" s="236"/>
      <c r="C236" s="10"/>
      <c r="D236" s="10">
        <f>B236*C236</f>
        <v>0</v>
      </c>
      <c r="E236" s="2"/>
      <c r="F236" s="40"/>
      <c r="G236" s="40"/>
      <c r="I236" s="2"/>
      <c r="J236" s="2"/>
    </row>
    <row r="237" spans="1:10" x14ac:dyDescent="0.2">
      <c r="A237" s="236" t="s">
        <v>1073</v>
      </c>
      <c r="B237" s="236"/>
      <c r="C237" s="2"/>
      <c r="D237" s="2">
        <f>SUM(D232:D236)</f>
        <v>111711</v>
      </c>
      <c r="E237" s="2"/>
      <c r="F237" s="40"/>
      <c r="G237" s="40"/>
      <c r="I237" s="2"/>
      <c r="J237" s="2"/>
    </row>
    <row r="238" spans="1:10" x14ac:dyDescent="0.2">
      <c r="A238" s="236"/>
      <c r="B238" s="236"/>
      <c r="C238" s="236"/>
      <c r="D238" s="236"/>
      <c r="E238" s="236"/>
      <c r="F238" s="236"/>
      <c r="G238" s="236"/>
      <c r="I238" s="2"/>
      <c r="J238" s="2"/>
    </row>
    <row r="239" spans="1:10" ht="15" x14ac:dyDescent="0.35">
      <c r="A239" s="239" t="s">
        <v>1023</v>
      </c>
      <c r="B239" s="236" t="s">
        <v>54</v>
      </c>
      <c r="C239" s="10" t="s">
        <v>1048</v>
      </c>
      <c r="D239" s="10"/>
      <c r="E239" s="2">
        <v>230800</v>
      </c>
      <c r="F239" s="40">
        <v>275000</v>
      </c>
      <c r="G239" s="40">
        <v>301760</v>
      </c>
      <c r="H239" s="2">
        <v>301760</v>
      </c>
      <c r="I239" s="2">
        <v>301760</v>
      </c>
      <c r="J239" s="2">
        <v>301760</v>
      </c>
    </row>
    <row r="240" spans="1:10" x14ac:dyDescent="0.2">
      <c r="A240" s="29" t="s">
        <v>2019</v>
      </c>
      <c r="B240" s="236">
        <v>13.12</v>
      </c>
      <c r="C240" s="2">
        <v>23000</v>
      </c>
      <c r="D240" s="2">
        <f>+C240*B240</f>
        <v>301760</v>
      </c>
      <c r="E240" s="2"/>
      <c r="F240" s="40"/>
      <c r="G240" s="40"/>
      <c r="I240" s="2"/>
      <c r="J240" s="2"/>
    </row>
    <row r="241" spans="1:10" x14ac:dyDescent="0.2">
      <c r="A241" s="236"/>
      <c r="B241" s="236"/>
      <c r="C241" s="2"/>
      <c r="D241" s="2"/>
      <c r="E241" s="2"/>
      <c r="F241" s="40"/>
      <c r="G241" s="40"/>
      <c r="I241" s="2"/>
      <c r="J241" s="2"/>
    </row>
    <row r="242" spans="1:10" s="188" customFormat="1" x14ac:dyDescent="0.2">
      <c r="A242" s="236"/>
      <c r="B242" s="236"/>
      <c r="C242" s="2"/>
      <c r="D242" s="2"/>
      <c r="E242" s="2"/>
      <c r="F242" s="40"/>
      <c r="G242" s="40"/>
      <c r="H242" s="2"/>
      <c r="I242" s="2"/>
      <c r="J242" s="2"/>
    </row>
    <row r="243" spans="1:10" ht="13.5" x14ac:dyDescent="0.25">
      <c r="A243" s="239" t="s">
        <v>1024</v>
      </c>
      <c r="B243" s="236"/>
      <c r="C243" s="2"/>
      <c r="D243" s="2"/>
      <c r="E243" s="2">
        <v>47496</v>
      </c>
      <c r="F243" s="40">
        <v>12600</v>
      </c>
      <c r="G243" s="40">
        <v>12600</v>
      </c>
      <c r="H243" s="2">
        <v>12600</v>
      </c>
      <c r="I243" s="2">
        <v>12600</v>
      </c>
      <c r="J243" s="2">
        <v>12600</v>
      </c>
    </row>
    <row r="244" spans="1:10" x14ac:dyDescent="0.2">
      <c r="A244" s="236" t="s">
        <v>1109</v>
      </c>
      <c r="B244" s="236"/>
      <c r="C244" s="2"/>
      <c r="D244" s="2">
        <v>2000</v>
      </c>
      <c r="E244" s="2"/>
      <c r="F244" s="103"/>
      <c r="G244" s="103"/>
      <c r="H244" s="128"/>
      <c r="I244" s="128"/>
      <c r="J244" s="128"/>
    </row>
    <row r="245" spans="1:10" x14ac:dyDescent="0.2">
      <c r="A245" s="236" t="s">
        <v>1110</v>
      </c>
      <c r="B245" s="236"/>
      <c r="C245" s="2"/>
      <c r="D245" s="2">
        <v>3000</v>
      </c>
      <c r="E245" s="2"/>
      <c r="F245" s="40"/>
      <c r="G245" s="40"/>
      <c r="I245" s="2"/>
      <c r="J245" s="2"/>
    </row>
    <row r="246" spans="1:10" ht="15" x14ac:dyDescent="0.35">
      <c r="A246" s="236" t="s">
        <v>1111</v>
      </c>
      <c r="B246" s="236"/>
      <c r="C246" s="10"/>
      <c r="D246" s="2">
        <v>7600</v>
      </c>
      <c r="E246" s="2"/>
      <c r="F246" s="40"/>
      <c r="G246" s="40"/>
      <c r="I246" s="2"/>
      <c r="J246" s="2"/>
    </row>
    <row r="247" spans="1:10" ht="15" x14ac:dyDescent="0.35">
      <c r="A247" s="12" t="s">
        <v>1713</v>
      </c>
      <c r="B247" s="236"/>
      <c r="C247" s="10"/>
      <c r="D247" s="110" t="s">
        <v>1713</v>
      </c>
      <c r="E247" s="2"/>
      <c r="F247" s="40"/>
      <c r="G247" s="40"/>
      <c r="I247" s="2"/>
      <c r="J247" s="2"/>
    </row>
    <row r="248" spans="1:10" x14ac:dyDescent="0.2">
      <c r="A248" s="236" t="s">
        <v>1073</v>
      </c>
      <c r="B248" s="236"/>
      <c r="C248" s="2"/>
      <c r="D248" s="2">
        <f>SUM(D244:D247)</f>
        <v>12600</v>
      </c>
      <c r="E248" s="2"/>
      <c r="F248" s="40"/>
      <c r="G248" s="40"/>
      <c r="I248" s="2"/>
      <c r="J248" s="2"/>
    </row>
    <row r="249" spans="1:10" x14ac:dyDescent="0.2">
      <c r="A249" s="236"/>
      <c r="B249" s="236"/>
      <c r="C249" s="2"/>
      <c r="D249" s="2"/>
      <c r="E249" s="2"/>
      <c r="F249" s="40"/>
      <c r="G249" s="40"/>
      <c r="I249" s="2"/>
      <c r="J249" s="2"/>
    </row>
    <row r="250" spans="1:10" ht="13.5" x14ac:dyDescent="0.25">
      <c r="A250" s="239" t="s">
        <v>1112</v>
      </c>
      <c r="B250" s="236"/>
      <c r="C250" s="2"/>
      <c r="D250" s="2"/>
      <c r="E250" s="2">
        <v>150</v>
      </c>
      <c r="F250" s="40">
        <v>1200</v>
      </c>
      <c r="G250" s="40">
        <v>1200</v>
      </c>
      <c r="H250" s="2">
        <v>1200</v>
      </c>
      <c r="I250" s="2">
        <v>1200</v>
      </c>
      <c r="J250" s="2">
        <v>1200</v>
      </c>
    </row>
    <row r="251" spans="1:10" x14ac:dyDescent="0.2">
      <c r="A251" s="236" t="s">
        <v>1113</v>
      </c>
      <c r="B251" s="236"/>
      <c r="C251" s="2"/>
      <c r="D251" s="2">
        <v>1200</v>
      </c>
      <c r="E251" s="2"/>
      <c r="F251" s="40"/>
      <c r="G251" s="40"/>
      <c r="I251" s="2"/>
      <c r="J251" s="2"/>
    </row>
    <row r="252" spans="1:10" x14ac:dyDescent="0.2">
      <c r="A252" s="236"/>
      <c r="B252" s="236"/>
      <c r="C252" s="2"/>
      <c r="D252" s="2"/>
      <c r="E252" s="2"/>
      <c r="F252" s="40"/>
      <c r="G252" s="40"/>
      <c r="I252" s="2"/>
      <c r="J252" s="2"/>
    </row>
    <row r="253" spans="1:10" ht="13.5" x14ac:dyDescent="0.25">
      <c r="A253" s="239" t="s">
        <v>585</v>
      </c>
      <c r="B253" s="236"/>
      <c r="C253" s="103"/>
      <c r="D253" s="2"/>
      <c r="E253" s="2">
        <v>152328</v>
      </c>
      <c r="F253" s="40">
        <v>146000</v>
      </c>
      <c r="G253" s="40">
        <v>227420</v>
      </c>
      <c r="H253" s="2">
        <v>227420</v>
      </c>
      <c r="I253" s="2">
        <v>227420</v>
      </c>
      <c r="J253" s="2">
        <v>227420</v>
      </c>
    </row>
    <row r="254" spans="1:10" x14ac:dyDescent="0.2">
      <c r="A254" s="236" t="s">
        <v>2020</v>
      </c>
      <c r="B254" s="236"/>
      <c r="C254" s="181" t="s">
        <v>1713</v>
      </c>
      <c r="D254" s="2">
        <v>20000</v>
      </c>
      <c r="E254" s="117" t="s">
        <v>1713</v>
      </c>
      <c r="F254" s="40"/>
      <c r="G254" s="40"/>
      <c r="I254" s="2"/>
      <c r="J254" s="2"/>
    </row>
    <row r="255" spans="1:10" x14ac:dyDescent="0.2">
      <c r="A255" s="236" t="s">
        <v>1049</v>
      </c>
      <c r="B255" s="236"/>
      <c r="C255" s="103"/>
      <c r="D255" s="2">
        <v>20000</v>
      </c>
      <c r="E255" s="117" t="s">
        <v>1713</v>
      </c>
      <c r="F255" s="40"/>
      <c r="G255" s="40"/>
      <c r="I255" s="2"/>
      <c r="J255" s="2"/>
    </row>
    <row r="256" spans="1:10" x14ac:dyDescent="0.2">
      <c r="A256" s="236" t="s">
        <v>1050</v>
      </c>
      <c r="B256" s="236"/>
      <c r="C256" s="103"/>
      <c r="D256" s="2">
        <v>3000</v>
      </c>
      <c r="E256" s="2"/>
      <c r="F256" s="40"/>
      <c r="G256" s="40"/>
      <c r="I256" s="2"/>
      <c r="J256" s="2"/>
    </row>
    <row r="257" spans="1:10" x14ac:dyDescent="0.2">
      <c r="A257" s="236" t="s">
        <v>822</v>
      </c>
      <c r="B257" s="236"/>
      <c r="C257" s="103"/>
      <c r="D257" s="2">
        <v>1000</v>
      </c>
      <c r="E257" s="117" t="s">
        <v>1713</v>
      </c>
      <c r="F257" s="40"/>
      <c r="G257" s="40"/>
      <c r="I257" s="2"/>
      <c r="J257" s="2"/>
    </row>
    <row r="258" spans="1:10" x14ac:dyDescent="0.2">
      <c r="A258" s="236" t="s">
        <v>58</v>
      </c>
      <c r="B258" s="236"/>
      <c r="C258" s="103"/>
      <c r="D258" s="2">
        <v>20000</v>
      </c>
      <c r="E258" s="117" t="s">
        <v>1713</v>
      </c>
      <c r="F258" s="40"/>
      <c r="G258" s="40"/>
      <c r="I258" s="2"/>
      <c r="J258" s="2"/>
    </row>
    <row r="259" spans="1:10" x14ac:dyDescent="0.2">
      <c r="A259" s="236" t="s">
        <v>1963</v>
      </c>
      <c r="B259" s="236"/>
      <c r="C259" s="103"/>
      <c r="D259" s="2">
        <v>15000</v>
      </c>
      <c r="E259" s="117" t="s">
        <v>1713</v>
      </c>
      <c r="F259" s="40"/>
      <c r="G259" s="40"/>
      <c r="I259" s="2"/>
      <c r="J259" s="2"/>
    </row>
    <row r="260" spans="1:10" x14ac:dyDescent="0.2">
      <c r="A260" s="29" t="s">
        <v>2021</v>
      </c>
      <c r="B260" s="236"/>
      <c r="C260" s="103"/>
      <c r="D260" s="2">
        <v>15000</v>
      </c>
      <c r="E260" s="1"/>
      <c r="F260" s="40"/>
      <c r="G260" s="40"/>
      <c r="I260" s="2"/>
      <c r="J260" s="2"/>
    </row>
    <row r="261" spans="1:10" x14ac:dyDescent="0.2">
      <c r="A261" s="236" t="s">
        <v>1794</v>
      </c>
      <c r="B261" s="236"/>
      <c r="C261" s="103"/>
      <c r="D261" s="253">
        <v>10000</v>
      </c>
      <c r="E261" s="1"/>
      <c r="F261" s="40"/>
      <c r="G261" s="40"/>
      <c r="I261" s="2"/>
      <c r="J261" s="2"/>
    </row>
    <row r="262" spans="1:10" x14ac:dyDescent="0.2">
      <c r="A262" s="236" t="s">
        <v>1795</v>
      </c>
      <c r="B262" s="236"/>
      <c r="C262" s="103"/>
      <c r="D262" s="2">
        <v>10000</v>
      </c>
      <c r="E262" s="1"/>
      <c r="F262" s="40"/>
      <c r="G262" s="40"/>
      <c r="I262" s="2"/>
      <c r="J262" s="2"/>
    </row>
    <row r="263" spans="1:10" x14ac:dyDescent="0.2">
      <c r="A263" s="236" t="s">
        <v>1796</v>
      </c>
      <c r="B263" s="236"/>
      <c r="C263" s="103"/>
      <c r="D263" s="7">
        <v>2500</v>
      </c>
      <c r="E263" s="1"/>
      <c r="F263" s="40"/>
      <c r="G263" s="40"/>
      <c r="I263" s="2"/>
      <c r="J263" s="2"/>
    </row>
    <row r="264" spans="1:10" x14ac:dyDescent="0.2">
      <c r="A264" s="236" t="s">
        <v>1824</v>
      </c>
      <c r="B264" s="236"/>
      <c r="C264" s="103"/>
      <c r="D264" s="2">
        <v>5000</v>
      </c>
      <c r="E264" s="1"/>
      <c r="F264" s="40"/>
      <c r="G264" s="40"/>
      <c r="I264" s="2"/>
      <c r="J264" s="2"/>
    </row>
    <row r="265" spans="1:10" x14ac:dyDescent="0.2">
      <c r="A265" s="236" t="s">
        <v>1714</v>
      </c>
      <c r="B265" s="236"/>
      <c r="C265" s="103"/>
      <c r="D265" s="2">
        <v>0</v>
      </c>
      <c r="E265" s="1"/>
      <c r="F265" s="40"/>
      <c r="G265" s="40"/>
      <c r="I265" s="2"/>
      <c r="J265" s="2"/>
    </row>
    <row r="266" spans="1:10" x14ac:dyDescent="0.2">
      <c r="A266" s="236" t="s">
        <v>2022</v>
      </c>
      <c r="B266" s="236"/>
      <c r="C266" s="103"/>
      <c r="D266" s="2">
        <v>25000</v>
      </c>
      <c r="E266" s="1"/>
      <c r="F266" s="40"/>
      <c r="G266" s="40"/>
      <c r="I266" s="2"/>
      <c r="J266" s="2"/>
    </row>
    <row r="267" spans="1:10" ht="41.25" x14ac:dyDescent="0.2">
      <c r="A267" s="29" t="s">
        <v>2023</v>
      </c>
      <c r="B267" s="29" t="s">
        <v>2024</v>
      </c>
      <c r="C267" s="103"/>
      <c r="D267" s="2">
        <f>3500*13.12+15000</f>
        <v>60920</v>
      </c>
      <c r="E267" s="1"/>
      <c r="F267" s="40"/>
      <c r="G267" s="40"/>
      <c r="I267" s="2"/>
      <c r="J267" s="2"/>
    </row>
    <row r="268" spans="1:10" ht="25.5" x14ac:dyDescent="0.2">
      <c r="A268" s="29" t="s">
        <v>2025</v>
      </c>
      <c r="B268" s="236"/>
      <c r="C268" s="103"/>
      <c r="D268" s="2">
        <v>8000</v>
      </c>
      <c r="E268" s="1"/>
      <c r="F268" s="40"/>
      <c r="G268" s="40"/>
      <c r="I268" s="2"/>
      <c r="J268" s="2"/>
    </row>
    <row r="269" spans="1:10" ht="25.5" x14ac:dyDescent="0.2">
      <c r="A269" s="29" t="s">
        <v>2026</v>
      </c>
      <c r="B269" s="236"/>
      <c r="C269" s="103"/>
      <c r="D269" s="2">
        <v>7000</v>
      </c>
      <c r="E269" s="2"/>
      <c r="F269" s="40"/>
      <c r="G269" s="40"/>
      <c r="I269" s="2"/>
      <c r="J269" s="2"/>
    </row>
    <row r="270" spans="1:10" ht="15" x14ac:dyDescent="0.35">
      <c r="A270" s="236" t="s">
        <v>2027</v>
      </c>
      <c r="B270" s="236"/>
      <c r="C270" s="103"/>
      <c r="D270" s="10">
        <v>5000</v>
      </c>
      <c r="E270" s="2"/>
      <c r="F270" s="40"/>
      <c r="G270" s="40"/>
      <c r="I270" s="2"/>
      <c r="J270" s="2"/>
    </row>
    <row r="271" spans="1:10" x14ac:dyDescent="0.2">
      <c r="A271" s="236" t="s">
        <v>1073</v>
      </c>
      <c r="B271" s="236"/>
      <c r="C271" s="103"/>
      <c r="D271" s="2">
        <f>SUM(D254:D270)</f>
        <v>227420</v>
      </c>
      <c r="E271" s="2"/>
      <c r="F271" s="40"/>
      <c r="G271" s="40"/>
      <c r="I271" s="2"/>
      <c r="J271" s="2"/>
    </row>
    <row r="272" spans="1:10" x14ac:dyDescent="0.2">
      <c r="A272" s="236"/>
      <c r="B272" s="236"/>
      <c r="C272" s="103"/>
      <c r="D272" s="2"/>
      <c r="E272" s="2"/>
      <c r="F272" s="40"/>
      <c r="G272" s="40"/>
      <c r="I272" s="2"/>
      <c r="J272" s="2"/>
    </row>
    <row r="273" spans="1:10" ht="13.5" x14ac:dyDescent="0.25">
      <c r="A273" s="239" t="s">
        <v>835</v>
      </c>
      <c r="B273" s="236"/>
      <c r="C273" s="2"/>
      <c r="D273" s="2"/>
      <c r="E273" s="2">
        <v>31273</v>
      </c>
      <c r="F273" s="2">
        <v>30000</v>
      </c>
      <c r="G273" s="2">
        <v>30000</v>
      </c>
      <c r="H273" s="2">
        <v>30000</v>
      </c>
      <c r="I273" s="2">
        <v>30000</v>
      </c>
      <c r="J273" s="2">
        <v>30000</v>
      </c>
    </row>
    <row r="274" spans="1:10" x14ac:dyDescent="0.2">
      <c r="A274" s="236" t="s">
        <v>1652</v>
      </c>
      <c r="B274" s="236"/>
      <c r="C274" s="2"/>
      <c r="D274" s="2">
        <v>30000</v>
      </c>
      <c r="E274" s="2"/>
      <c r="F274" s="236"/>
      <c r="G274" s="236"/>
      <c r="I274" s="2"/>
      <c r="J274" s="2"/>
    </row>
    <row r="275" spans="1:10" x14ac:dyDescent="0.2">
      <c r="A275" s="236"/>
      <c r="B275" s="236"/>
      <c r="C275" s="2"/>
      <c r="D275" s="2"/>
      <c r="E275" s="2"/>
      <c r="F275" s="236"/>
      <c r="G275" s="236"/>
      <c r="I275" s="2"/>
      <c r="J275" s="2"/>
    </row>
    <row r="276" spans="1:10" ht="13.5" x14ac:dyDescent="0.25">
      <c r="A276" s="239" t="s">
        <v>836</v>
      </c>
      <c r="B276" s="236"/>
      <c r="C276" s="103"/>
      <c r="D276" s="7" t="s">
        <v>345</v>
      </c>
      <c r="E276" s="2">
        <v>29398</v>
      </c>
      <c r="F276" s="109">
        <v>26469</v>
      </c>
      <c r="G276" s="109">
        <v>30619</v>
      </c>
      <c r="H276" s="41">
        <v>30619</v>
      </c>
      <c r="I276" s="41">
        <v>30619</v>
      </c>
      <c r="J276" s="41">
        <v>30619</v>
      </c>
    </row>
    <row r="277" spans="1:10" x14ac:dyDescent="0.2">
      <c r="A277" s="236" t="s">
        <v>837</v>
      </c>
      <c r="B277" s="236"/>
      <c r="C277" s="103"/>
      <c r="D277" s="2">
        <v>650</v>
      </c>
      <c r="E277" s="2"/>
      <c r="F277" s="40"/>
      <c r="G277" s="40"/>
      <c r="I277" s="2"/>
      <c r="J277" s="2"/>
    </row>
    <row r="278" spans="1:10" x14ac:dyDescent="0.2">
      <c r="A278" s="236" t="s">
        <v>1964</v>
      </c>
      <c r="B278" s="236"/>
      <c r="C278" s="103"/>
      <c r="D278" s="2">
        <v>2000</v>
      </c>
      <c r="E278" s="2"/>
      <c r="F278" s="40"/>
      <c r="G278" s="40"/>
      <c r="I278" s="2"/>
      <c r="J278" s="2"/>
    </row>
    <row r="279" spans="1:10" x14ac:dyDescent="0.2">
      <c r="A279" s="236" t="s">
        <v>143</v>
      </c>
      <c r="B279" s="236"/>
      <c r="C279" s="103"/>
      <c r="D279" s="2">
        <v>500</v>
      </c>
      <c r="E279" s="117" t="s">
        <v>1713</v>
      </c>
      <c r="F279" s="40"/>
      <c r="G279" s="40"/>
      <c r="I279" s="2"/>
      <c r="J279" s="2"/>
    </row>
    <row r="280" spans="1:10" x14ac:dyDescent="0.2">
      <c r="A280" s="236" t="s">
        <v>1441</v>
      </c>
      <c r="B280" s="236"/>
      <c r="C280" s="103"/>
      <c r="D280" s="2">
        <v>20000</v>
      </c>
      <c r="E280" s="117" t="s">
        <v>1713</v>
      </c>
      <c r="F280" s="40"/>
      <c r="G280" s="40"/>
      <c r="I280" s="2"/>
      <c r="J280" s="2"/>
    </row>
    <row r="281" spans="1:10" x14ac:dyDescent="0.2">
      <c r="A281" s="236" t="s">
        <v>1442</v>
      </c>
      <c r="B281" s="236"/>
      <c r="C281" s="103"/>
      <c r="D281" s="2">
        <v>2584</v>
      </c>
      <c r="E281" s="2"/>
      <c r="F281" s="40"/>
      <c r="G281" s="40"/>
      <c r="I281" s="2"/>
      <c r="J281" s="2"/>
    </row>
    <row r="282" spans="1:10" x14ac:dyDescent="0.2">
      <c r="A282" s="236" t="s">
        <v>730</v>
      </c>
      <c r="B282" s="236"/>
      <c r="C282" s="103"/>
      <c r="D282" s="2">
        <v>885</v>
      </c>
      <c r="E282" s="2"/>
      <c r="F282" s="40"/>
      <c r="G282" s="40"/>
      <c r="I282" s="2"/>
      <c r="J282" s="2"/>
    </row>
    <row r="283" spans="1:10" x14ac:dyDescent="0.2">
      <c r="A283" s="236" t="s">
        <v>96</v>
      </c>
      <c r="B283" s="236"/>
      <c r="C283" s="103"/>
      <c r="D283" s="3">
        <v>500</v>
      </c>
      <c r="E283" s="2"/>
      <c r="F283" s="40"/>
      <c r="G283" s="40"/>
      <c r="I283" s="2"/>
      <c r="J283" s="2"/>
    </row>
    <row r="284" spans="1:10" ht="15" x14ac:dyDescent="0.35">
      <c r="A284" s="236" t="s">
        <v>1051</v>
      </c>
      <c r="B284" s="236"/>
      <c r="C284" s="103"/>
      <c r="D284" s="10">
        <v>3500</v>
      </c>
      <c r="E284" s="2"/>
      <c r="F284" s="40"/>
      <c r="G284" s="40"/>
      <c r="I284" s="2"/>
      <c r="J284" s="2"/>
    </row>
    <row r="285" spans="1:10" x14ac:dyDescent="0.2">
      <c r="A285" s="236" t="s">
        <v>1073</v>
      </c>
      <c r="B285" s="236"/>
      <c r="C285" s="103"/>
      <c r="D285" s="2">
        <f>SUM(D277:D284)</f>
        <v>30619</v>
      </c>
      <c r="E285" s="2"/>
      <c r="F285" s="40"/>
      <c r="G285" s="40"/>
      <c r="I285" s="2"/>
      <c r="J285" s="2"/>
    </row>
    <row r="286" spans="1:10" x14ac:dyDescent="0.2">
      <c r="A286" s="236"/>
      <c r="B286" s="236"/>
      <c r="C286" s="2"/>
      <c r="D286" s="2"/>
      <c r="E286" s="2"/>
      <c r="F286" s="40"/>
      <c r="G286" s="40"/>
      <c r="I286" s="2"/>
      <c r="J286" s="2"/>
    </row>
    <row r="287" spans="1:10" ht="13.5" x14ac:dyDescent="0.25">
      <c r="A287" s="239" t="s">
        <v>405</v>
      </c>
      <c r="B287" s="236"/>
      <c r="C287" s="2"/>
      <c r="D287" s="2"/>
      <c r="E287" s="2">
        <v>49805</v>
      </c>
      <c r="F287" s="40">
        <v>38920</v>
      </c>
      <c r="G287" s="40">
        <v>42500</v>
      </c>
      <c r="H287" s="2">
        <v>42500</v>
      </c>
      <c r="I287" s="2">
        <v>42500</v>
      </c>
      <c r="J287" s="2">
        <v>42500</v>
      </c>
    </row>
    <row r="288" spans="1:10" x14ac:dyDescent="0.2">
      <c r="A288" s="236" t="s">
        <v>1715</v>
      </c>
      <c r="B288" s="236"/>
      <c r="C288" s="41" t="s">
        <v>1713</v>
      </c>
      <c r="D288" s="2">
        <v>30000</v>
      </c>
      <c r="E288" s="1"/>
      <c r="F288" s="40"/>
      <c r="G288" s="40"/>
      <c r="I288" s="2"/>
      <c r="J288" s="2"/>
    </row>
    <row r="289" spans="1:10" ht="15" x14ac:dyDescent="0.35">
      <c r="A289" s="35" t="s">
        <v>2028</v>
      </c>
      <c r="B289" s="236"/>
      <c r="C289" s="12" t="s">
        <v>1713</v>
      </c>
      <c r="D289" s="28">
        <v>12500</v>
      </c>
      <c r="E289" s="1"/>
      <c r="F289" s="40"/>
      <c r="G289" s="40"/>
      <c r="I289" s="2"/>
      <c r="J289" s="2"/>
    </row>
    <row r="290" spans="1:10" x14ac:dyDescent="0.2">
      <c r="A290" s="35"/>
      <c r="B290" s="236"/>
      <c r="C290" s="41" t="s">
        <v>1713</v>
      </c>
      <c r="D290" s="3">
        <f>SUM(D288:D289)</f>
        <v>42500</v>
      </c>
      <c r="E290" s="2"/>
      <c r="F290" s="40"/>
      <c r="G290" s="40"/>
      <c r="I290" s="2"/>
      <c r="J290" s="2"/>
    </row>
    <row r="291" spans="1:10" x14ac:dyDescent="0.2">
      <c r="A291" s="35"/>
      <c r="B291" s="236"/>
      <c r="C291" s="41"/>
      <c r="D291" s="3"/>
      <c r="E291" s="2"/>
      <c r="F291" s="40"/>
      <c r="G291" s="40"/>
      <c r="I291" s="2"/>
      <c r="J291" s="2"/>
    </row>
    <row r="292" spans="1:10" ht="13.5" x14ac:dyDescent="0.25">
      <c r="A292" s="239" t="s">
        <v>760</v>
      </c>
      <c r="B292" s="236"/>
      <c r="C292" s="7" t="s">
        <v>345</v>
      </c>
      <c r="D292" s="7" t="s">
        <v>345</v>
      </c>
      <c r="E292" s="2">
        <v>6941</v>
      </c>
      <c r="F292" s="40">
        <v>5000</v>
      </c>
      <c r="G292" s="40">
        <v>5000</v>
      </c>
      <c r="H292" s="2">
        <v>5000</v>
      </c>
      <c r="I292" s="2">
        <v>5000</v>
      </c>
      <c r="J292" s="2">
        <v>5000</v>
      </c>
    </row>
    <row r="293" spans="1:10" x14ac:dyDescent="0.2">
      <c r="A293" s="236" t="s">
        <v>1443</v>
      </c>
      <c r="B293" s="236"/>
      <c r="C293" s="2"/>
      <c r="D293" s="2">
        <v>4000</v>
      </c>
      <c r="E293" s="2"/>
      <c r="F293" s="40"/>
      <c r="G293" s="40"/>
      <c r="I293" s="2"/>
      <c r="J293" s="2"/>
    </row>
    <row r="294" spans="1:10" ht="15" x14ac:dyDescent="0.35">
      <c r="A294" s="236" t="s">
        <v>1102</v>
      </c>
      <c r="B294" s="236"/>
      <c r="C294" s="10"/>
      <c r="D294" s="10">
        <v>1000</v>
      </c>
      <c r="E294" s="2"/>
      <c r="F294" s="40"/>
      <c r="G294" s="40"/>
      <c r="I294" s="2"/>
      <c r="J294" s="2"/>
    </row>
    <row r="295" spans="1:10" x14ac:dyDescent="0.2">
      <c r="A295" s="236" t="s">
        <v>1073</v>
      </c>
      <c r="B295" s="236"/>
      <c r="C295" s="2"/>
      <c r="D295" s="2">
        <v>5000</v>
      </c>
      <c r="E295" s="2"/>
      <c r="F295" s="40"/>
      <c r="G295" s="40"/>
      <c r="I295" s="2"/>
      <c r="J295" s="2"/>
    </row>
    <row r="296" spans="1:10" x14ac:dyDescent="0.2">
      <c r="A296" s="236"/>
      <c r="B296" s="236"/>
      <c r="C296" s="2"/>
      <c r="D296" s="2"/>
      <c r="E296" s="2"/>
      <c r="F296" s="40"/>
      <c r="G296" s="40"/>
      <c r="I296" s="2"/>
      <c r="J296" s="2"/>
    </row>
    <row r="297" spans="1:10" ht="13.5" x14ac:dyDescent="0.25">
      <c r="A297" s="239" t="s">
        <v>380</v>
      </c>
      <c r="B297" s="236"/>
      <c r="C297" s="18"/>
      <c r="D297" s="18"/>
      <c r="E297" s="2">
        <v>336223</v>
      </c>
      <c r="F297" s="2">
        <v>401175</v>
      </c>
      <c r="G297" s="2">
        <v>392575</v>
      </c>
      <c r="H297" s="2">
        <v>373241</v>
      </c>
      <c r="I297" s="2">
        <v>373241</v>
      </c>
      <c r="J297" s="2">
        <v>373241</v>
      </c>
    </row>
    <row r="298" spans="1:10" x14ac:dyDescent="0.2">
      <c r="A298" s="236" t="s">
        <v>1444</v>
      </c>
      <c r="B298" s="236"/>
      <c r="C298" s="2">
        <v>335916</v>
      </c>
      <c r="D298" s="2"/>
      <c r="E298" s="2"/>
      <c r="F298" s="40"/>
      <c r="G298" s="40"/>
      <c r="I298" s="2"/>
      <c r="J298" s="2"/>
    </row>
    <row r="299" spans="1:10" x14ac:dyDescent="0.2">
      <c r="A299" s="236" t="s">
        <v>1746</v>
      </c>
      <c r="B299" s="236"/>
      <c r="C299" s="2">
        <v>15000</v>
      </c>
      <c r="D299" s="2"/>
      <c r="E299" s="2"/>
      <c r="F299" s="40"/>
      <c r="G299" s="40"/>
      <c r="I299" s="2"/>
      <c r="J299" s="2"/>
    </row>
    <row r="300" spans="1:10" x14ac:dyDescent="0.2">
      <c r="A300" s="236" t="s">
        <v>381</v>
      </c>
      <c r="B300" s="236"/>
      <c r="C300" s="2">
        <v>15000</v>
      </c>
      <c r="D300" s="2"/>
      <c r="E300" s="2"/>
      <c r="F300" s="40"/>
      <c r="G300" s="40"/>
      <c r="I300" s="2"/>
      <c r="J300" s="2"/>
    </row>
    <row r="301" spans="1:10" x14ac:dyDescent="0.2">
      <c r="A301" s="236" t="s">
        <v>1445</v>
      </c>
      <c r="B301" s="236"/>
      <c r="C301" s="2">
        <v>2500</v>
      </c>
      <c r="D301" s="2"/>
      <c r="E301" s="2"/>
      <c r="F301" s="40"/>
      <c r="G301" s="40"/>
      <c r="I301" s="2"/>
      <c r="J301" s="2"/>
    </row>
    <row r="302" spans="1:10" x14ac:dyDescent="0.2">
      <c r="A302" s="236" t="s">
        <v>1446</v>
      </c>
      <c r="B302" s="236"/>
      <c r="C302" s="2">
        <v>175</v>
      </c>
      <c r="D302" s="2"/>
      <c r="E302" s="2"/>
      <c r="F302" s="40"/>
      <c r="G302" s="40"/>
      <c r="I302" s="2"/>
      <c r="J302" s="2"/>
    </row>
    <row r="303" spans="1:10" x14ac:dyDescent="0.2">
      <c r="A303" s="236" t="s">
        <v>144</v>
      </c>
      <c r="B303" s="236"/>
      <c r="C303" s="2">
        <v>0</v>
      </c>
      <c r="D303" s="2"/>
      <c r="E303" s="2"/>
      <c r="F303" s="40"/>
      <c r="G303" s="40"/>
      <c r="I303" s="2"/>
      <c r="J303" s="2"/>
    </row>
    <row r="304" spans="1:10" x14ac:dyDescent="0.2">
      <c r="A304" s="236" t="s">
        <v>1493</v>
      </c>
      <c r="B304" s="236"/>
      <c r="C304" s="2">
        <v>3000</v>
      </c>
      <c r="D304" s="2"/>
      <c r="E304" s="2"/>
      <c r="F304" s="40"/>
      <c r="G304" s="40"/>
      <c r="I304" s="2"/>
      <c r="J304" s="2"/>
    </row>
    <row r="305" spans="1:10" ht="15" x14ac:dyDescent="0.35">
      <c r="A305" s="236" t="s">
        <v>517</v>
      </c>
      <c r="B305" s="236"/>
      <c r="C305" s="10">
        <v>1650</v>
      </c>
      <c r="D305" s="10"/>
      <c r="E305" s="2"/>
      <c r="F305" s="40"/>
      <c r="G305" s="40"/>
      <c r="I305" s="2"/>
      <c r="J305" s="2"/>
    </row>
    <row r="306" spans="1:10" x14ac:dyDescent="0.2">
      <c r="A306" s="236" t="s">
        <v>1073</v>
      </c>
      <c r="B306" s="236"/>
      <c r="C306" s="2">
        <f>SUM(C298:C305)</f>
        <v>373241</v>
      </c>
      <c r="D306" s="2">
        <f>SUM(D298:D305)</f>
        <v>0</v>
      </c>
      <c r="E306" s="2"/>
      <c r="F306" s="40"/>
      <c r="G306" s="40"/>
      <c r="I306" s="2"/>
      <c r="J306" s="2"/>
    </row>
    <row r="307" spans="1:10" x14ac:dyDescent="0.2">
      <c r="A307" s="236"/>
      <c r="B307" s="236"/>
      <c r="C307" s="2"/>
      <c r="D307" s="2"/>
      <c r="E307" s="2"/>
      <c r="F307" s="40"/>
      <c r="G307" s="40"/>
      <c r="I307" s="2"/>
      <c r="J307" s="2"/>
    </row>
    <row r="308" spans="1:10" ht="13.5" x14ac:dyDescent="0.25">
      <c r="A308" s="239" t="s">
        <v>382</v>
      </c>
      <c r="B308" s="236"/>
      <c r="C308" s="2"/>
      <c r="D308" s="2"/>
      <c r="E308" s="2">
        <v>5914</v>
      </c>
      <c r="F308" s="2">
        <v>8000</v>
      </c>
      <c r="G308" s="2">
        <v>8000</v>
      </c>
      <c r="H308" s="2">
        <v>8000</v>
      </c>
      <c r="I308" s="2">
        <v>8000</v>
      </c>
      <c r="J308" s="2">
        <v>8000</v>
      </c>
    </row>
    <row r="309" spans="1:10" x14ac:dyDescent="0.2">
      <c r="A309" s="22" t="s">
        <v>145</v>
      </c>
      <c r="B309" s="236"/>
      <c r="C309" s="2">
        <v>1000</v>
      </c>
      <c r="D309" s="2"/>
      <c r="E309" s="2"/>
      <c r="F309" s="236"/>
      <c r="G309" s="236"/>
      <c r="I309" s="2"/>
      <c r="J309" s="2"/>
    </row>
    <row r="310" spans="1:10" x14ac:dyDescent="0.2">
      <c r="A310" s="236" t="s">
        <v>383</v>
      </c>
      <c r="B310" s="236"/>
      <c r="C310" s="2">
        <v>2000</v>
      </c>
      <c r="D310" s="2"/>
      <c r="E310" s="2"/>
      <c r="F310" s="236"/>
      <c r="G310" s="236"/>
      <c r="I310" s="2"/>
      <c r="J310" s="2"/>
    </row>
    <row r="311" spans="1:10" ht="15" x14ac:dyDescent="0.35">
      <c r="A311" s="236" t="s">
        <v>1494</v>
      </c>
      <c r="B311" s="236"/>
      <c r="C311" s="10">
        <v>5000</v>
      </c>
      <c r="D311" s="10"/>
      <c r="E311" s="2"/>
      <c r="F311" s="40"/>
      <c r="G311" s="40"/>
      <c r="I311" s="2"/>
      <c r="J311" s="2"/>
    </row>
    <row r="312" spans="1:10" x14ac:dyDescent="0.2">
      <c r="A312" s="236" t="s">
        <v>1073</v>
      </c>
      <c r="B312" s="236"/>
      <c r="C312" s="2">
        <f>SUM(C309:C311)</f>
        <v>8000</v>
      </c>
      <c r="D312" s="2">
        <f>SUM(D309:D311)</f>
        <v>0</v>
      </c>
      <c r="E312" s="2"/>
      <c r="F312" s="40"/>
      <c r="G312" s="40"/>
      <c r="I312" s="2"/>
      <c r="J312" s="2"/>
    </row>
    <row r="313" spans="1:10" x14ac:dyDescent="0.2">
      <c r="A313" s="236"/>
      <c r="B313" s="236"/>
      <c r="C313" s="2"/>
      <c r="D313" s="2"/>
      <c r="E313" s="2"/>
      <c r="F313" s="40"/>
      <c r="G313" s="40"/>
      <c r="I313" s="2"/>
      <c r="J313" s="2"/>
    </row>
    <row r="314" spans="1:10" ht="13.5" x14ac:dyDescent="0.25">
      <c r="A314" s="239" t="s">
        <v>344</v>
      </c>
      <c r="B314" s="236"/>
      <c r="C314" s="2"/>
      <c r="D314" s="2"/>
      <c r="E314" s="2">
        <v>529</v>
      </c>
      <c r="F314" s="40">
        <v>500</v>
      </c>
      <c r="G314" s="40">
        <v>500</v>
      </c>
      <c r="H314" s="2">
        <v>500</v>
      </c>
      <c r="I314" s="2">
        <v>500</v>
      </c>
      <c r="J314" s="2">
        <v>500</v>
      </c>
    </row>
    <row r="315" spans="1:10" x14ac:dyDescent="0.2">
      <c r="A315" s="236" t="s">
        <v>671</v>
      </c>
      <c r="B315" s="236"/>
      <c r="C315" s="2">
        <v>500</v>
      </c>
      <c r="D315" s="2">
        <v>0</v>
      </c>
      <c r="E315" s="2"/>
      <c r="F315" s="40"/>
      <c r="G315" s="40"/>
      <c r="I315" s="2"/>
      <c r="J315" s="2"/>
    </row>
    <row r="316" spans="1:10" x14ac:dyDescent="0.2">
      <c r="A316" s="236"/>
      <c r="B316" s="236"/>
      <c r="C316" s="2"/>
      <c r="D316" s="2"/>
      <c r="E316" s="2"/>
      <c r="F316" s="40"/>
      <c r="G316" s="40"/>
      <c r="I316" s="2"/>
      <c r="J316" s="2"/>
    </row>
    <row r="317" spans="1:10" ht="13.5" x14ac:dyDescent="0.25">
      <c r="A317" s="239" t="s">
        <v>672</v>
      </c>
      <c r="B317" s="236"/>
      <c r="C317" s="2"/>
      <c r="D317" s="2"/>
      <c r="E317" s="2">
        <v>325</v>
      </c>
      <c r="F317" s="40">
        <v>500</v>
      </c>
      <c r="G317" s="40">
        <v>500</v>
      </c>
      <c r="H317" s="2">
        <v>500</v>
      </c>
      <c r="I317" s="2">
        <v>500</v>
      </c>
      <c r="J317" s="2">
        <v>500</v>
      </c>
    </row>
    <row r="318" spans="1:10" x14ac:dyDescent="0.2">
      <c r="A318" s="236" t="s">
        <v>1825</v>
      </c>
      <c r="B318" s="236"/>
      <c r="C318" s="2">
        <v>500</v>
      </c>
      <c r="D318" s="2">
        <v>0</v>
      </c>
      <c r="E318" s="2"/>
      <c r="F318" s="40"/>
      <c r="G318" s="40"/>
      <c r="I318" s="2"/>
      <c r="J318" s="2"/>
    </row>
    <row r="319" spans="1:10" x14ac:dyDescent="0.2">
      <c r="A319" s="236"/>
      <c r="B319" s="236"/>
      <c r="C319" s="2"/>
      <c r="D319" s="2"/>
      <c r="E319" s="2"/>
      <c r="F319" s="103"/>
      <c r="G319" s="103"/>
      <c r="H319" s="128"/>
      <c r="I319" s="128"/>
      <c r="J319" s="128"/>
    </row>
    <row r="320" spans="1:10" s="198" customFormat="1" ht="13.5" x14ac:dyDescent="0.25">
      <c r="A320" s="239" t="s">
        <v>1602</v>
      </c>
      <c r="B320" s="236"/>
      <c r="C320" s="18"/>
      <c r="D320" s="18"/>
      <c r="E320" s="2">
        <v>0</v>
      </c>
      <c r="F320" s="2">
        <v>0</v>
      </c>
      <c r="G320" s="2">
        <v>0</v>
      </c>
      <c r="H320" s="2">
        <v>0</v>
      </c>
      <c r="I320" s="2">
        <v>0</v>
      </c>
      <c r="J320" s="2">
        <v>0</v>
      </c>
    </row>
    <row r="321" spans="1:10" s="198" customFormat="1" x14ac:dyDescent="0.2">
      <c r="A321" s="22" t="s">
        <v>1826</v>
      </c>
      <c r="B321" s="127"/>
      <c r="C321" s="18">
        <v>0</v>
      </c>
      <c r="D321" s="18"/>
      <c r="E321" s="2"/>
      <c r="F321" s="103"/>
      <c r="G321" s="103"/>
      <c r="H321" s="128"/>
      <c r="I321" s="128"/>
      <c r="J321" s="128"/>
    </row>
    <row r="322" spans="1:10" s="198" customFormat="1" ht="13.5" x14ac:dyDescent="0.25">
      <c r="A322" s="239"/>
      <c r="B322" s="236"/>
      <c r="C322" s="18"/>
      <c r="D322" s="18"/>
      <c r="E322" s="2"/>
      <c r="F322" s="103"/>
      <c r="G322" s="103"/>
      <c r="H322" s="128"/>
      <c r="I322" s="128"/>
      <c r="J322" s="128"/>
    </row>
    <row r="323" spans="1:10" ht="13.5" x14ac:dyDescent="0.25">
      <c r="A323" s="239" t="s">
        <v>1987</v>
      </c>
      <c r="B323" s="236"/>
      <c r="C323" s="18"/>
      <c r="D323" s="18"/>
      <c r="E323" s="2">
        <v>39282</v>
      </c>
      <c r="F323" s="40">
        <v>0</v>
      </c>
      <c r="G323" s="40">
        <v>0</v>
      </c>
      <c r="H323" s="2">
        <v>0</v>
      </c>
      <c r="I323" s="2">
        <v>0</v>
      </c>
      <c r="J323" s="2">
        <v>0</v>
      </c>
    </row>
    <row r="324" spans="1:10" ht="15" x14ac:dyDescent="0.35">
      <c r="A324" s="22"/>
      <c r="B324" s="236"/>
      <c r="C324" s="2">
        <v>0</v>
      </c>
      <c r="D324" s="10">
        <v>0</v>
      </c>
      <c r="E324" s="2"/>
      <c r="F324" s="40"/>
      <c r="G324" s="40"/>
      <c r="I324" s="2"/>
      <c r="J324" s="2"/>
    </row>
    <row r="325" spans="1:10" ht="15" x14ac:dyDescent="0.35">
      <c r="A325" s="22"/>
      <c r="B325" s="236"/>
      <c r="C325" s="28"/>
      <c r="D325" s="3">
        <f>SUM(D324:D324)</f>
        <v>0</v>
      </c>
      <c r="E325" s="2"/>
      <c r="F325" s="40"/>
      <c r="G325" s="40"/>
      <c r="I325" s="2"/>
      <c r="J325" s="2"/>
    </row>
    <row r="326" spans="1:10" x14ac:dyDescent="0.2">
      <c r="A326" s="236"/>
      <c r="B326" s="236"/>
      <c r="C326" s="2"/>
      <c r="D326" s="2"/>
      <c r="E326" s="2"/>
      <c r="F326" s="40"/>
      <c r="G326" s="40"/>
      <c r="I326" s="2"/>
      <c r="J326" s="2"/>
    </row>
    <row r="327" spans="1:10" ht="13.5" x14ac:dyDescent="0.25">
      <c r="A327" s="239" t="s">
        <v>213</v>
      </c>
      <c r="B327" s="236"/>
      <c r="C327" s="18"/>
      <c r="D327" s="18"/>
      <c r="E327" s="2">
        <v>15549</v>
      </c>
      <c r="F327" s="40">
        <v>5000</v>
      </c>
      <c r="G327" s="40">
        <v>5000</v>
      </c>
      <c r="H327" s="2">
        <v>5000</v>
      </c>
      <c r="I327" s="2">
        <v>5000</v>
      </c>
      <c r="J327" s="2">
        <v>5000</v>
      </c>
    </row>
    <row r="328" spans="1:10" ht="15" x14ac:dyDescent="0.35">
      <c r="A328" s="22" t="s">
        <v>1447</v>
      </c>
      <c r="B328" s="236"/>
      <c r="C328" s="2">
        <v>5000</v>
      </c>
      <c r="D328" s="10">
        <v>5000</v>
      </c>
      <c r="E328" s="2"/>
      <c r="F328" s="40"/>
      <c r="G328" s="40"/>
      <c r="I328" s="2"/>
      <c r="J328" s="2"/>
    </row>
    <row r="329" spans="1:10" ht="15" x14ac:dyDescent="0.35">
      <c r="A329" s="22"/>
      <c r="B329" s="236"/>
      <c r="C329" s="28"/>
      <c r="D329" s="3">
        <f>SUM(D328:D328)</f>
        <v>5000</v>
      </c>
      <c r="E329" s="2"/>
      <c r="F329" s="40"/>
      <c r="G329" s="40"/>
      <c r="I329" s="2"/>
      <c r="J329" s="2"/>
    </row>
    <row r="330" spans="1:10" ht="15" x14ac:dyDescent="0.35">
      <c r="A330" s="22"/>
      <c r="B330" s="236"/>
      <c r="C330" s="28"/>
      <c r="D330" s="28"/>
      <c r="E330" s="2"/>
      <c r="F330" s="40"/>
      <c r="G330" s="40"/>
      <c r="I330" s="2"/>
      <c r="J330" s="2"/>
    </row>
    <row r="331" spans="1:10" ht="13.5" x14ac:dyDescent="0.25">
      <c r="A331" s="239" t="s">
        <v>1603</v>
      </c>
      <c r="B331" s="236"/>
      <c r="C331" s="2"/>
      <c r="D331" s="2"/>
      <c r="E331" s="3">
        <v>0</v>
      </c>
      <c r="F331" s="40">
        <v>0</v>
      </c>
      <c r="G331" s="40">
        <v>25000</v>
      </c>
      <c r="H331" s="2">
        <v>25000</v>
      </c>
      <c r="I331" s="2">
        <v>25000</v>
      </c>
      <c r="J331" s="2">
        <v>25000</v>
      </c>
    </row>
    <row r="332" spans="1:10" x14ac:dyDescent="0.2">
      <c r="A332" s="22" t="s">
        <v>1797</v>
      </c>
      <c r="B332" s="124"/>
      <c r="C332" s="182"/>
      <c r="D332" s="2">
        <v>25000</v>
      </c>
      <c r="E332" s="3"/>
      <c r="F332" s="40"/>
      <c r="G332" s="40"/>
      <c r="I332" s="2"/>
      <c r="J332" s="2"/>
    </row>
    <row r="333" spans="1:10" ht="15" x14ac:dyDescent="0.35">
      <c r="A333" s="22"/>
      <c r="B333" s="236"/>
      <c r="C333" s="28"/>
      <c r="D333" s="28"/>
      <c r="E333" s="2"/>
      <c r="F333" s="40"/>
      <c r="G333" s="40"/>
      <c r="I333" s="2"/>
      <c r="J333" s="2"/>
    </row>
    <row r="334" spans="1:10" ht="13.5" x14ac:dyDescent="0.25">
      <c r="A334" s="239" t="s">
        <v>857</v>
      </c>
      <c r="B334" s="236"/>
      <c r="C334" s="2"/>
      <c r="D334" s="2"/>
      <c r="E334" s="3">
        <v>10156</v>
      </c>
      <c r="F334" s="40">
        <v>0</v>
      </c>
      <c r="G334" s="40">
        <v>27000</v>
      </c>
      <c r="H334" s="2">
        <v>27000</v>
      </c>
      <c r="I334" s="2">
        <v>27000</v>
      </c>
      <c r="J334" s="2">
        <v>27000</v>
      </c>
    </row>
    <row r="335" spans="1:10" x14ac:dyDescent="0.2">
      <c r="A335" s="22" t="s">
        <v>2029</v>
      </c>
      <c r="B335" s="236"/>
      <c r="C335" s="107"/>
      <c r="D335" s="52">
        <v>27000</v>
      </c>
      <c r="E335" s="3"/>
      <c r="F335" s="40"/>
      <c r="G335" s="40"/>
      <c r="I335" s="2"/>
      <c r="J335" s="236"/>
    </row>
    <row r="336" spans="1:10" x14ac:dyDescent="0.2">
      <c r="A336" s="236"/>
      <c r="B336" s="236"/>
      <c r="C336" s="31">
        <v>0</v>
      </c>
      <c r="D336" s="31">
        <v>0</v>
      </c>
      <c r="E336" s="3"/>
      <c r="F336" s="236"/>
      <c r="G336" s="236"/>
      <c r="I336" s="2"/>
      <c r="J336" s="63"/>
    </row>
    <row r="337" spans="1:10" x14ac:dyDescent="0.2">
      <c r="A337" s="236"/>
      <c r="B337" s="236"/>
      <c r="C337" s="2">
        <f>SUM(C335:C336)</f>
        <v>0</v>
      </c>
      <c r="D337" s="2">
        <f>SUM(D335:D336)</f>
        <v>27000</v>
      </c>
      <c r="E337" s="3"/>
      <c r="F337" s="236"/>
      <c r="G337" s="236"/>
      <c r="I337" s="2"/>
      <c r="J337" s="40"/>
    </row>
    <row r="338" spans="1:10" x14ac:dyDescent="0.2">
      <c r="A338" s="236"/>
      <c r="B338" s="236"/>
      <c r="C338" s="2"/>
      <c r="D338" s="2"/>
      <c r="E338" s="3"/>
      <c r="F338" s="236"/>
      <c r="G338" s="236"/>
      <c r="I338" s="2"/>
      <c r="J338" s="40"/>
    </row>
    <row r="339" spans="1:10" ht="13.5" x14ac:dyDescent="0.25">
      <c r="A339" s="239" t="s">
        <v>97</v>
      </c>
      <c r="B339" s="236"/>
      <c r="C339" s="236"/>
      <c r="D339" s="236"/>
      <c r="E339" s="2"/>
      <c r="F339" s="40"/>
      <c r="G339" s="40"/>
      <c r="I339" s="2"/>
      <c r="J339" s="40"/>
    </row>
    <row r="340" spans="1:10" x14ac:dyDescent="0.2">
      <c r="A340" s="236" t="s">
        <v>1448</v>
      </c>
      <c r="B340" s="2">
        <v>500000</v>
      </c>
      <c r="C340" s="2">
        <v>500000</v>
      </c>
      <c r="D340" s="107">
        <v>500000</v>
      </c>
      <c r="E340" s="2"/>
      <c r="F340" s="2"/>
      <c r="G340" s="2"/>
      <c r="I340" s="2"/>
      <c r="J340" s="2">
        <v>500000</v>
      </c>
    </row>
    <row r="341" spans="1:10" x14ac:dyDescent="0.2">
      <c r="A341" s="36"/>
      <c r="B341" s="236"/>
      <c r="C341" s="37"/>
      <c r="D341" s="2"/>
      <c r="E341" s="2"/>
      <c r="F341" s="2"/>
      <c r="G341" s="2"/>
      <c r="I341" s="2"/>
      <c r="J341" s="2"/>
    </row>
    <row r="342" spans="1:10" x14ac:dyDescent="0.2">
      <c r="A342" s="236" t="s">
        <v>1151</v>
      </c>
      <c r="B342" s="236"/>
      <c r="C342" s="236"/>
      <c r="D342" s="2"/>
      <c r="E342" s="2">
        <f t="shared" ref="E342:J342" si="5">SUM(E6:E340)</f>
        <v>3638560</v>
      </c>
      <c r="F342" s="2">
        <f t="shared" si="5"/>
        <v>4064567</v>
      </c>
      <c r="G342" s="2">
        <f t="shared" si="5"/>
        <v>4198912</v>
      </c>
      <c r="H342" s="2">
        <f t="shared" si="5"/>
        <v>4179578</v>
      </c>
      <c r="I342" s="2">
        <f t="shared" si="5"/>
        <v>4173506</v>
      </c>
      <c r="J342" s="2">
        <f t="shared" si="5"/>
        <v>4698229</v>
      </c>
    </row>
    <row r="343" spans="1:10" x14ac:dyDescent="0.2">
      <c r="A343" s="236"/>
      <c r="B343" s="236"/>
      <c r="C343" s="236"/>
      <c r="D343" s="236"/>
      <c r="E343" s="2" t="s">
        <v>345</v>
      </c>
      <c r="F343" s="2" t="s">
        <v>345</v>
      </c>
      <c r="G343" s="2" t="s">
        <v>345</v>
      </c>
      <c r="H343" s="2" t="s">
        <v>345</v>
      </c>
      <c r="I343" s="2" t="s">
        <v>345</v>
      </c>
      <c r="J343" s="2" t="s">
        <v>345</v>
      </c>
    </row>
    <row r="344" spans="1:10" x14ac:dyDescent="0.2">
      <c r="A344" s="236" t="s">
        <v>519</v>
      </c>
      <c r="B344" s="236"/>
      <c r="C344" s="236"/>
      <c r="D344" s="236"/>
      <c r="E344" s="2">
        <f t="shared" ref="E344:J344" si="6">SUM(E5:E118)</f>
        <v>1940601</v>
      </c>
      <c r="F344" s="2">
        <f t="shared" si="6"/>
        <v>2316265</v>
      </c>
      <c r="G344" s="2">
        <f t="shared" si="6"/>
        <v>2254633</v>
      </c>
      <c r="H344" s="2">
        <f t="shared" si="6"/>
        <v>2254633</v>
      </c>
      <c r="I344" s="2">
        <f t="shared" si="6"/>
        <v>2248561</v>
      </c>
      <c r="J344" s="2">
        <f t="shared" si="6"/>
        <v>2272594</v>
      </c>
    </row>
    <row r="345" spans="1:10" x14ac:dyDescent="0.2">
      <c r="A345" s="236" t="s">
        <v>809</v>
      </c>
      <c r="B345" s="236"/>
      <c r="C345" s="236"/>
      <c r="D345" s="236"/>
      <c r="E345" s="2">
        <f>SUM(E119:E313)</f>
        <v>1632118</v>
      </c>
      <c r="F345" s="2">
        <f>SUM(F119:F314)</f>
        <v>1742802</v>
      </c>
      <c r="G345" s="2">
        <f>SUM(G119:G314)</f>
        <v>1886779</v>
      </c>
      <c r="H345" s="2">
        <f>SUM(H119:H314)</f>
        <v>1867445</v>
      </c>
      <c r="I345" s="2">
        <f>SUM(I119:I317)</f>
        <v>1867945</v>
      </c>
      <c r="J345" s="2">
        <f>SUM(J119:J317)</f>
        <v>1868635</v>
      </c>
    </row>
    <row r="346" spans="1:10" ht="15" x14ac:dyDescent="0.35">
      <c r="A346" s="236" t="s">
        <v>810</v>
      </c>
      <c r="B346" s="236"/>
      <c r="C346" s="236"/>
      <c r="D346" s="236"/>
      <c r="E346" s="10">
        <f t="shared" ref="E346:H346" si="7">SUM(E316:E340)</f>
        <v>65312</v>
      </c>
      <c r="F346" s="10">
        <f t="shared" si="7"/>
        <v>5500</v>
      </c>
      <c r="G346" s="10">
        <f t="shared" si="7"/>
        <v>57500</v>
      </c>
      <c r="H346" s="10">
        <f t="shared" si="7"/>
        <v>57500</v>
      </c>
      <c r="I346" s="10">
        <f>SUM(I320:I340)</f>
        <v>57000</v>
      </c>
      <c r="J346" s="10">
        <f>SUM(J320:J340)</f>
        <v>557000</v>
      </c>
    </row>
    <row r="347" spans="1:10" x14ac:dyDescent="0.2">
      <c r="A347" s="236" t="s">
        <v>1073</v>
      </c>
      <c r="B347" s="236"/>
      <c r="C347" s="236"/>
      <c r="D347" s="236"/>
      <c r="E347" s="2">
        <f t="shared" ref="E347:F347" si="8">SUM(E344:E346)</f>
        <v>3638031</v>
      </c>
      <c r="F347" s="2">
        <f t="shared" si="8"/>
        <v>4064567</v>
      </c>
      <c r="G347" s="2">
        <f t="shared" ref="G347:H347" si="9">SUM(G344:G346)</f>
        <v>4198912</v>
      </c>
      <c r="H347" s="2">
        <f t="shared" si="9"/>
        <v>4179578</v>
      </c>
      <c r="I347" s="2">
        <f t="shared" ref="I347" si="10">SUM(I344:I346)</f>
        <v>4173506</v>
      </c>
      <c r="J347" s="2">
        <f>SUM(J344:J346)</f>
        <v>4698229</v>
      </c>
    </row>
    <row r="348" spans="1:10" x14ac:dyDescent="0.2">
      <c r="A348" s="236"/>
      <c r="B348" s="236"/>
      <c r="C348" s="236"/>
      <c r="D348" s="236"/>
      <c r="E348" s="236"/>
      <c r="F348" s="236"/>
      <c r="G348" s="236"/>
      <c r="I348" s="2"/>
      <c r="J348" s="2"/>
    </row>
    <row r="349" spans="1:10" x14ac:dyDescent="0.2">
      <c r="A349" s="236"/>
      <c r="B349" s="236"/>
      <c r="C349" s="236"/>
      <c r="D349" s="236"/>
      <c r="E349" s="236"/>
      <c r="F349" s="236"/>
      <c r="G349" s="236"/>
      <c r="I349" s="2">
        <f>I347-H347</f>
        <v>-6072</v>
      </c>
      <c r="J349" s="2">
        <f>+I347-H347</f>
        <v>-6072</v>
      </c>
    </row>
    <row r="350" spans="1:10" x14ac:dyDescent="0.2">
      <c r="A350" s="236"/>
      <c r="B350" s="236"/>
      <c r="C350" s="236"/>
      <c r="D350" s="236"/>
      <c r="E350" s="236"/>
      <c r="F350" s="236"/>
      <c r="G350" s="236"/>
      <c r="I350" s="2"/>
      <c r="J350" s="2">
        <v>4301</v>
      </c>
    </row>
    <row r="351" spans="1:10" x14ac:dyDescent="0.2">
      <c r="A351" s="236"/>
      <c r="B351" s="236"/>
      <c r="C351" s="236"/>
      <c r="D351" s="236"/>
      <c r="E351" s="236"/>
      <c r="F351" s="236"/>
      <c r="G351" s="236"/>
      <c r="I351" s="2"/>
      <c r="J351" s="2">
        <f>+J350-J349</f>
        <v>10373</v>
      </c>
    </row>
    <row r="352" spans="1:10" x14ac:dyDescent="0.2">
      <c r="A352" s="236"/>
      <c r="B352" s="236"/>
      <c r="C352" s="236"/>
      <c r="D352" s="236"/>
      <c r="E352" s="236"/>
      <c r="F352" s="236"/>
      <c r="G352" s="236"/>
      <c r="I352" s="2"/>
      <c r="J352" s="2"/>
    </row>
    <row r="353" spans="1:10" x14ac:dyDescent="0.2">
      <c r="A353" s="236"/>
      <c r="B353" s="236"/>
      <c r="C353" s="236"/>
      <c r="D353" s="236"/>
      <c r="E353" s="236"/>
      <c r="F353" s="236"/>
      <c r="G353" s="236"/>
      <c r="I353" s="2"/>
      <c r="J353" s="2"/>
    </row>
    <row r="354" spans="1:10" x14ac:dyDescent="0.2">
      <c r="A354" s="236"/>
      <c r="B354" s="236"/>
      <c r="C354" s="236"/>
      <c r="D354" s="236"/>
      <c r="E354" s="236"/>
      <c r="F354" s="236"/>
      <c r="G354" s="236"/>
      <c r="I354" s="2"/>
      <c r="J354" s="2"/>
    </row>
    <row r="355" spans="1:10" x14ac:dyDescent="0.2">
      <c r="A355" s="236"/>
      <c r="B355" s="236"/>
      <c r="C355" s="236"/>
      <c r="D355" s="236"/>
      <c r="E355" s="236"/>
      <c r="F355" s="236"/>
      <c r="G355" s="236"/>
      <c r="I355" s="2"/>
      <c r="J355" s="2"/>
    </row>
    <row r="356" spans="1:10" x14ac:dyDescent="0.2">
      <c r="A356" s="236"/>
      <c r="B356" s="236"/>
      <c r="C356" s="236"/>
      <c r="D356" s="236"/>
      <c r="E356" s="236"/>
      <c r="F356" s="236"/>
      <c r="G356" s="236"/>
      <c r="I356" s="2"/>
      <c r="J356" s="2"/>
    </row>
    <row r="357" spans="1:10" x14ac:dyDescent="0.2">
      <c r="A357" s="236"/>
      <c r="B357" s="236"/>
      <c r="C357" s="236"/>
      <c r="D357" s="236"/>
      <c r="E357" s="236"/>
      <c r="F357" s="236"/>
      <c r="G357" s="236"/>
      <c r="I357" s="2"/>
      <c r="J357" s="2"/>
    </row>
    <row r="358" spans="1:10" x14ac:dyDescent="0.2">
      <c r="A358" s="236"/>
      <c r="B358" s="236"/>
      <c r="C358" s="236"/>
      <c r="D358" s="236"/>
      <c r="E358" s="236"/>
      <c r="F358" s="236"/>
      <c r="G358" s="236"/>
      <c r="I358" s="2"/>
      <c r="J358" s="2"/>
    </row>
    <row r="359" spans="1:10" x14ac:dyDescent="0.2">
      <c r="A359" s="236"/>
      <c r="B359" s="236"/>
      <c r="C359" s="236"/>
      <c r="D359" s="236"/>
      <c r="E359" s="236"/>
      <c r="F359" s="236"/>
      <c r="G359" s="236"/>
      <c r="I359" s="2"/>
      <c r="J359" s="236"/>
    </row>
    <row r="360" spans="1:10" x14ac:dyDescent="0.2">
      <c r="A360" s="236"/>
      <c r="B360" s="236"/>
      <c r="C360" s="236"/>
      <c r="D360" s="236"/>
      <c r="E360" s="236"/>
      <c r="F360" s="236"/>
      <c r="G360" s="236"/>
      <c r="I360" s="2"/>
      <c r="J360" s="236"/>
    </row>
    <row r="361" spans="1:10" x14ac:dyDescent="0.2">
      <c r="A361" s="236"/>
      <c r="B361" s="236"/>
      <c r="C361" s="236"/>
      <c r="D361" s="236"/>
      <c r="E361" s="236"/>
      <c r="F361" s="236"/>
      <c r="G361" s="236"/>
      <c r="I361" s="2"/>
      <c r="J361" s="236"/>
    </row>
    <row r="362" spans="1:10" x14ac:dyDescent="0.2">
      <c r="A362" s="236"/>
      <c r="B362" s="236"/>
      <c r="C362" s="236"/>
      <c r="D362" s="236"/>
      <c r="E362" s="236"/>
      <c r="F362" s="236"/>
      <c r="G362" s="236"/>
      <c r="I362" s="2"/>
      <c r="J362" s="236"/>
    </row>
    <row r="363" spans="1:10" x14ac:dyDescent="0.2">
      <c r="A363" s="236"/>
      <c r="B363" s="236"/>
      <c r="C363" s="236"/>
      <c r="D363" s="236"/>
      <c r="E363" s="236"/>
      <c r="F363" s="236"/>
      <c r="G363" s="236"/>
      <c r="I363" s="2"/>
      <c r="J363" s="236"/>
    </row>
    <row r="364" spans="1:10" x14ac:dyDescent="0.2">
      <c r="A364" s="236"/>
      <c r="B364" s="236"/>
      <c r="C364" s="236"/>
      <c r="D364" s="236"/>
      <c r="E364" s="236"/>
      <c r="F364" s="236"/>
      <c r="G364" s="236"/>
      <c r="I364" s="2"/>
      <c r="J364" s="236"/>
    </row>
    <row r="365" spans="1:10" x14ac:dyDescent="0.2">
      <c r="A365" s="236"/>
      <c r="B365" s="236"/>
      <c r="C365" s="236"/>
      <c r="D365" s="236"/>
      <c r="E365" s="236"/>
      <c r="F365" s="236"/>
      <c r="G365" s="236"/>
      <c r="I365" s="2"/>
      <c r="J365" s="236"/>
    </row>
    <row r="366" spans="1:10" x14ac:dyDescent="0.2">
      <c r="A366" s="236"/>
      <c r="B366" s="236"/>
      <c r="C366" s="236"/>
      <c r="D366" s="236"/>
      <c r="E366" s="236"/>
      <c r="F366" s="236"/>
      <c r="G366" s="236"/>
      <c r="I366" s="2"/>
      <c r="J366" s="236"/>
    </row>
    <row r="367" spans="1:10" x14ac:dyDescent="0.2">
      <c r="A367" s="236"/>
      <c r="B367" s="236"/>
      <c r="C367" s="236"/>
      <c r="D367" s="236"/>
      <c r="E367" s="236"/>
      <c r="F367" s="236"/>
      <c r="G367" s="236"/>
      <c r="I367" s="2"/>
      <c r="J367" s="236"/>
    </row>
    <row r="368" spans="1:10" x14ac:dyDescent="0.2">
      <c r="A368" s="236"/>
      <c r="B368" s="236"/>
      <c r="C368" s="236"/>
      <c r="D368" s="236"/>
      <c r="E368" s="236"/>
      <c r="F368" s="236"/>
      <c r="G368" s="236"/>
      <c r="I368" s="2"/>
      <c r="J368" s="236"/>
    </row>
    <row r="369" spans="1:10" x14ac:dyDescent="0.2">
      <c r="A369" s="236"/>
      <c r="B369" s="236"/>
      <c r="C369" s="236"/>
      <c r="D369" s="236"/>
      <c r="E369" s="236"/>
      <c r="F369" s="236"/>
      <c r="G369" s="236"/>
      <c r="I369" s="2"/>
      <c r="J369" s="236"/>
    </row>
    <row r="370" spans="1:10" x14ac:dyDescent="0.2">
      <c r="A370" s="236"/>
      <c r="B370" s="236"/>
      <c r="C370" s="236"/>
      <c r="D370" s="236"/>
      <c r="E370" s="236"/>
      <c r="F370" s="236"/>
      <c r="G370" s="236"/>
      <c r="I370" s="2"/>
      <c r="J370" s="236"/>
    </row>
    <row r="371" spans="1:10" x14ac:dyDescent="0.2">
      <c r="A371" s="236"/>
      <c r="B371" s="236"/>
      <c r="C371" s="236"/>
      <c r="D371" s="236"/>
      <c r="E371" s="236"/>
      <c r="F371" s="236"/>
      <c r="G371" s="236"/>
      <c r="I371" s="2"/>
      <c r="J371" s="236"/>
    </row>
    <row r="372" spans="1:10" x14ac:dyDescent="0.2">
      <c r="A372" s="236"/>
      <c r="B372" s="236"/>
      <c r="C372" s="236"/>
      <c r="D372" s="236"/>
      <c r="E372" s="236"/>
      <c r="F372" s="236"/>
      <c r="G372" s="236"/>
      <c r="I372" s="2"/>
      <c r="J372" s="236"/>
    </row>
    <row r="373" spans="1:10" x14ac:dyDescent="0.2">
      <c r="A373" s="236"/>
      <c r="B373" s="236"/>
      <c r="C373" s="236"/>
      <c r="D373" s="236"/>
      <c r="E373" s="236"/>
      <c r="F373" s="236"/>
      <c r="G373" s="236"/>
      <c r="I373" s="2"/>
      <c r="J373" s="236"/>
    </row>
    <row r="374" spans="1:10" x14ac:dyDescent="0.2">
      <c r="A374" s="236"/>
      <c r="B374" s="236"/>
      <c r="C374" s="236"/>
      <c r="D374" s="236"/>
      <c r="E374" s="236"/>
      <c r="F374" s="236"/>
      <c r="G374" s="236"/>
      <c r="I374" s="2"/>
      <c r="J374" s="236"/>
    </row>
    <row r="375" spans="1:10" x14ac:dyDescent="0.2">
      <c r="A375" s="236"/>
      <c r="B375" s="236"/>
      <c r="C375" s="236"/>
      <c r="D375" s="236"/>
      <c r="E375" s="236"/>
      <c r="F375" s="236"/>
      <c r="G375" s="236"/>
      <c r="I375" s="2"/>
      <c r="J375" s="236"/>
    </row>
    <row r="376" spans="1:10" x14ac:dyDescent="0.2">
      <c r="A376" s="236"/>
      <c r="B376" s="236"/>
      <c r="C376" s="236"/>
      <c r="D376" s="236"/>
      <c r="E376" s="236"/>
      <c r="F376" s="236"/>
      <c r="G376" s="236"/>
      <c r="I376" s="2"/>
      <c r="J376" s="236"/>
    </row>
    <row r="377" spans="1:10" x14ac:dyDescent="0.2">
      <c r="A377" s="236"/>
      <c r="B377" s="236"/>
      <c r="C377" s="236"/>
      <c r="D377" s="236"/>
      <c r="E377" s="236"/>
      <c r="F377" s="236"/>
      <c r="G377" s="236"/>
      <c r="I377" s="2"/>
      <c r="J377" s="236"/>
    </row>
    <row r="378" spans="1:10" x14ac:dyDescent="0.2">
      <c r="A378" s="236"/>
      <c r="B378" s="236"/>
      <c r="C378" s="236"/>
      <c r="D378" s="236"/>
      <c r="E378" s="236"/>
      <c r="F378" s="236"/>
      <c r="G378" s="236"/>
      <c r="I378" s="2"/>
      <c r="J378" s="236"/>
    </row>
    <row r="379" spans="1:10" x14ac:dyDescent="0.2">
      <c r="A379" s="236"/>
      <c r="B379" s="236"/>
      <c r="C379" s="236"/>
      <c r="D379" s="236"/>
      <c r="E379" s="236"/>
      <c r="F379" s="236"/>
      <c r="G379" s="236"/>
      <c r="I379" s="2"/>
      <c r="J379" s="236"/>
    </row>
    <row r="380" spans="1:10" x14ac:dyDescent="0.2">
      <c r="A380" s="236"/>
      <c r="B380" s="236"/>
      <c r="C380" s="236"/>
      <c r="D380" s="236"/>
      <c r="E380" s="236"/>
      <c r="F380" s="236"/>
      <c r="G380" s="236"/>
      <c r="I380" s="2"/>
      <c r="J380" s="236"/>
    </row>
    <row r="381" spans="1:10" x14ac:dyDescent="0.2">
      <c r="A381" s="236"/>
      <c r="B381" s="236"/>
      <c r="C381" s="236"/>
      <c r="D381" s="236"/>
      <c r="E381" s="236"/>
      <c r="F381" s="236"/>
      <c r="G381" s="236"/>
      <c r="I381" s="2"/>
      <c r="J381" s="236"/>
    </row>
    <row r="382" spans="1:10" x14ac:dyDescent="0.2">
      <c r="A382" s="236"/>
      <c r="B382" s="236"/>
      <c r="C382" s="236"/>
      <c r="D382" s="236"/>
      <c r="E382" s="236"/>
      <c r="F382" s="236"/>
      <c r="G382" s="236"/>
      <c r="I382" s="2"/>
      <c r="J382" s="236"/>
    </row>
    <row r="383" spans="1:10" x14ac:dyDescent="0.2">
      <c r="A383" s="236"/>
      <c r="B383" s="236"/>
      <c r="C383" s="236"/>
      <c r="D383" s="236"/>
      <c r="E383" s="236"/>
      <c r="F383" s="236"/>
      <c r="G383" s="236"/>
      <c r="I383" s="2"/>
      <c r="J383" s="236"/>
    </row>
    <row r="384" spans="1:10" x14ac:dyDescent="0.2">
      <c r="A384" s="236"/>
      <c r="B384" s="236"/>
      <c r="C384" s="236"/>
      <c r="D384" s="236"/>
      <c r="E384" s="236"/>
      <c r="F384" s="236"/>
      <c r="G384" s="236"/>
      <c r="I384" s="2"/>
      <c r="J384" s="236"/>
    </row>
    <row r="385" spans="1:10" x14ac:dyDescent="0.2">
      <c r="A385" s="236"/>
      <c r="B385" s="236"/>
      <c r="C385" s="236"/>
      <c r="D385" s="236"/>
      <c r="E385" s="236"/>
      <c r="F385" s="236"/>
      <c r="G385" s="236"/>
      <c r="I385" s="2"/>
      <c r="J385" s="236"/>
    </row>
    <row r="386" spans="1:10" x14ac:dyDescent="0.2">
      <c r="A386" s="236"/>
      <c r="B386" s="236"/>
      <c r="C386" s="236"/>
      <c r="D386" s="236"/>
      <c r="E386" s="236"/>
      <c r="F386" s="236"/>
      <c r="G386" s="236"/>
      <c r="I386" s="2"/>
      <c r="J386" s="236"/>
    </row>
    <row r="387" spans="1:10" x14ac:dyDescent="0.2">
      <c r="A387" s="236"/>
      <c r="B387" s="236"/>
      <c r="C387" s="236"/>
      <c r="D387" s="236"/>
      <c r="E387" s="236"/>
      <c r="F387" s="236"/>
      <c r="G387" s="236"/>
      <c r="I387" s="2"/>
      <c r="J387" s="236"/>
    </row>
    <row r="388" spans="1:10" x14ac:dyDescent="0.2">
      <c r="A388" s="236"/>
      <c r="B388" s="236"/>
      <c r="C388" s="236"/>
      <c r="D388" s="236"/>
      <c r="E388" s="236"/>
      <c r="F388" s="236"/>
      <c r="G388" s="236"/>
      <c r="I388" s="2"/>
      <c r="J388" s="236"/>
    </row>
    <row r="389" spans="1:10" x14ac:dyDescent="0.2">
      <c r="A389" s="236"/>
      <c r="B389" s="236"/>
      <c r="C389" s="236"/>
      <c r="D389" s="236"/>
      <c r="E389" s="236"/>
      <c r="F389" s="236"/>
      <c r="G389" s="236"/>
      <c r="I389" s="2"/>
      <c r="J389" s="236"/>
    </row>
    <row r="390" spans="1:10" x14ac:dyDescent="0.2">
      <c r="A390" s="236"/>
      <c r="B390" s="236"/>
      <c r="C390" s="236"/>
      <c r="D390" s="236"/>
      <c r="E390" s="236"/>
      <c r="F390" s="236"/>
      <c r="G390" s="236"/>
      <c r="I390" s="2"/>
      <c r="J390" s="236"/>
    </row>
    <row r="391" spans="1:10" x14ac:dyDescent="0.2">
      <c r="A391" s="236"/>
      <c r="B391" s="236"/>
      <c r="C391" s="236"/>
      <c r="D391" s="236"/>
      <c r="E391" s="236"/>
      <c r="F391" s="236"/>
      <c r="G391" s="236"/>
      <c r="I391" s="2"/>
      <c r="J391" s="236"/>
    </row>
    <row r="392" spans="1:10" x14ac:dyDescent="0.2">
      <c r="A392" s="236"/>
      <c r="B392" s="236"/>
      <c r="C392" s="236"/>
      <c r="D392" s="236"/>
      <c r="E392" s="236"/>
      <c r="F392" s="236"/>
      <c r="G392" s="236"/>
      <c r="I392" s="2"/>
      <c r="J392" s="236"/>
    </row>
    <row r="393" spans="1:10" x14ac:dyDescent="0.2">
      <c r="A393" s="236"/>
      <c r="B393" s="236"/>
      <c r="C393" s="236"/>
      <c r="D393" s="236"/>
      <c r="E393" s="236"/>
      <c r="F393" s="236"/>
      <c r="G393" s="236"/>
      <c r="I393" s="2"/>
      <c r="J393" s="236"/>
    </row>
    <row r="394" spans="1:10" x14ac:dyDescent="0.2">
      <c r="A394" s="236"/>
      <c r="B394" s="236"/>
      <c r="C394" s="236"/>
      <c r="D394" s="236"/>
      <c r="E394" s="236"/>
      <c r="F394" s="236"/>
      <c r="G394" s="236"/>
      <c r="I394" s="2"/>
      <c r="J394" s="236"/>
    </row>
    <row r="395" spans="1:10" x14ac:dyDescent="0.2">
      <c r="A395" s="236"/>
      <c r="B395" s="236"/>
      <c r="C395" s="236"/>
      <c r="D395" s="236"/>
      <c r="E395" s="236"/>
      <c r="F395" s="236"/>
      <c r="G395" s="236"/>
      <c r="I395" s="2"/>
      <c r="J395" s="236"/>
    </row>
    <row r="396" spans="1:10" x14ac:dyDescent="0.2">
      <c r="A396" s="236"/>
      <c r="B396" s="236"/>
      <c r="C396" s="236"/>
      <c r="D396" s="236"/>
      <c r="E396" s="236"/>
      <c r="F396" s="236"/>
      <c r="G396" s="236"/>
      <c r="I396" s="2"/>
      <c r="J396" s="236"/>
    </row>
    <row r="397" spans="1:10" x14ac:dyDescent="0.2">
      <c r="A397" s="236"/>
      <c r="B397" s="236"/>
      <c r="C397" s="236"/>
      <c r="D397" s="236"/>
      <c r="E397" s="236"/>
      <c r="F397" s="236"/>
      <c r="G397" s="236"/>
      <c r="I397" s="2"/>
      <c r="J397" s="236"/>
    </row>
    <row r="398" spans="1:10" x14ac:dyDescent="0.2">
      <c r="A398" s="236"/>
      <c r="B398" s="236"/>
      <c r="C398" s="236"/>
      <c r="D398" s="236"/>
      <c r="E398" s="236"/>
      <c r="F398" s="236"/>
      <c r="G398" s="236"/>
      <c r="I398" s="2"/>
      <c r="J398" s="236"/>
    </row>
    <row r="399" spans="1:10" x14ac:dyDescent="0.2">
      <c r="A399" s="236"/>
      <c r="B399" s="236"/>
      <c r="C399" s="236"/>
      <c r="D399" s="236"/>
      <c r="E399" s="236"/>
      <c r="F399" s="236"/>
      <c r="G399" s="236"/>
      <c r="I399" s="2"/>
      <c r="J399" s="236"/>
    </row>
    <row r="400" spans="1:10" x14ac:dyDescent="0.2">
      <c r="A400" s="236"/>
      <c r="B400" s="236"/>
      <c r="C400" s="236"/>
      <c r="D400" s="236"/>
      <c r="E400" s="236"/>
      <c r="F400" s="236"/>
      <c r="G400" s="236"/>
      <c r="I400" s="2"/>
      <c r="J400" s="236"/>
    </row>
    <row r="401" spans="1:10" x14ac:dyDescent="0.2">
      <c r="A401" s="236"/>
      <c r="B401" s="236"/>
      <c r="C401" s="236"/>
      <c r="D401" s="236"/>
      <c r="E401" s="236"/>
      <c r="F401" s="236"/>
      <c r="G401" s="236"/>
      <c r="I401" s="2"/>
      <c r="J401" s="236"/>
    </row>
    <row r="402" spans="1:10" x14ac:dyDescent="0.2">
      <c r="A402" s="236"/>
      <c r="B402" s="236"/>
      <c r="C402" s="236"/>
      <c r="D402" s="236"/>
      <c r="E402" s="236"/>
      <c r="F402" s="236"/>
      <c r="G402" s="236"/>
      <c r="I402" s="2"/>
      <c r="J402" s="236"/>
    </row>
    <row r="403" spans="1:10" x14ac:dyDescent="0.2">
      <c r="I403" s="2"/>
    </row>
    <row r="404" spans="1:10" x14ac:dyDescent="0.2">
      <c r="I404" s="2"/>
    </row>
    <row r="405" spans="1:10" x14ac:dyDescent="0.2">
      <c r="I405" s="2"/>
    </row>
    <row r="406" spans="1:10" x14ac:dyDescent="0.2">
      <c r="I406" s="2"/>
    </row>
    <row r="407" spans="1:10" x14ac:dyDescent="0.2">
      <c r="I407" s="2"/>
    </row>
    <row r="408" spans="1:10" x14ac:dyDescent="0.2">
      <c r="I408" s="2"/>
    </row>
    <row r="409" spans="1:10" x14ac:dyDescent="0.2">
      <c r="I409" s="2"/>
    </row>
    <row r="410" spans="1:10" x14ac:dyDescent="0.2">
      <c r="I410" s="2"/>
    </row>
    <row r="411" spans="1:10" x14ac:dyDescent="0.2">
      <c r="I411" s="2"/>
    </row>
    <row r="412" spans="1:10" x14ac:dyDescent="0.2">
      <c r="I412" s="2"/>
    </row>
    <row r="413" spans="1:10" x14ac:dyDescent="0.2">
      <c r="I413" s="2"/>
    </row>
    <row r="414" spans="1:10" x14ac:dyDescent="0.2">
      <c r="I414" s="2"/>
    </row>
    <row r="415" spans="1:10" x14ac:dyDescent="0.2">
      <c r="I415" s="2"/>
    </row>
    <row r="416" spans="1:10" x14ac:dyDescent="0.2">
      <c r="I416" s="2"/>
    </row>
    <row r="417" spans="9:9" x14ac:dyDescent="0.2">
      <c r="I417" s="2"/>
    </row>
    <row r="418" spans="9:9" x14ac:dyDescent="0.2">
      <c r="I418" s="2"/>
    </row>
    <row r="419" spans="9:9" x14ac:dyDescent="0.2">
      <c r="I419" s="2"/>
    </row>
    <row r="420" spans="9:9" x14ac:dyDescent="0.2">
      <c r="I420" s="2"/>
    </row>
    <row r="421" spans="9:9" x14ac:dyDescent="0.2">
      <c r="I421" s="2"/>
    </row>
    <row r="422" spans="9:9" x14ac:dyDescent="0.2">
      <c r="I422" s="2"/>
    </row>
    <row r="423" spans="9:9" x14ac:dyDescent="0.2">
      <c r="I423" s="2"/>
    </row>
    <row r="424" spans="9:9" x14ac:dyDescent="0.2">
      <c r="I424" s="2"/>
    </row>
    <row r="425" spans="9:9" x14ac:dyDescent="0.2">
      <c r="I425" s="2"/>
    </row>
    <row r="426" spans="9:9" x14ac:dyDescent="0.2">
      <c r="I426" s="2"/>
    </row>
    <row r="427" spans="9:9" x14ac:dyDescent="0.2">
      <c r="I427" s="2"/>
    </row>
    <row r="428" spans="9:9" x14ac:dyDescent="0.2">
      <c r="I428" s="2"/>
    </row>
    <row r="429" spans="9:9" x14ac:dyDescent="0.2">
      <c r="I429" s="2"/>
    </row>
    <row r="430" spans="9:9" x14ac:dyDescent="0.2">
      <c r="I430" s="2"/>
    </row>
    <row r="431" spans="9:9" x14ac:dyDescent="0.2">
      <c r="I431" s="2"/>
    </row>
    <row r="432" spans="9:9" x14ac:dyDescent="0.2">
      <c r="I432" s="2"/>
    </row>
    <row r="433" spans="9:9" x14ac:dyDescent="0.2">
      <c r="I433" s="2"/>
    </row>
    <row r="434" spans="9:9" x14ac:dyDescent="0.2">
      <c r="I434" s="2"/>
    </row>
    <row r="435" spans="9:9" x14ac:dyDescent="0.2">
      <c r="I435" s="2"/>
    </row>
    <row r="436" spans="9:9" x14ac:dyDescent="0.2">
      <c r="I436" s="2"/>
    </row>
    <row r="437" spans="9:9" x14ac:dyDescent="0.2">
      <c r="I437" s="2"/>
    </row>
    <row r="438" spans="9:9" x14ac:dyDescent="0.2">
      <c r="I438" s="2"/>
    </row>
    <row r="439" spans="9:9" x14ac:dyDescent="0.2">
      <c r="I439" s="2"/>
    </row>
    <row r="440" spans="9:9" x14ac:dyDescent="0.2">
      <c r="I440" s="2"/>
    </row>
    <row r="441" spans="9:9" x14ac:dyDescent="0.2">
      <c r="I441" s="2"/>
    </row>
    <row r="442" spans="9:9" x14ac:dyDescent="0.2">
      <c r="I442" s="2"/>
    </row>
    <row r="443" spans="9:9" x14ac:dyDescent="0.2">
      <c r="I443" s="2"/>
    </row>
    <row r="444" spans="9:9" x14ac:dyDescent="0.2">
      <c r="I444" s="2"/>
    </row>
    <row r="445" spans="9:9" x14ac:dyDescent="0.2">
      <c r="I445" s="2"/>
    </row>
    <row r="446" spans="9:9" x14ac:dyDescent="0.2">
      <c r="I446" s="2"/>
    </row>
    <row r="447" spans="9:9" x14ac:dyDescent="0.2">
      <c r="I447" s="2"/>
    </row>
    <row r="448" spans="9:9" x14ac:dyDescent="0.2">
      <c r="I448" s="2"/>
    </row>
    <row r="449" spans="9:9" x14ac:dyDescent="0.2">
      <c r="I449" s="2"/>
    </row>
    <row r="450" spans="9:9" x14ac:dyDescent="0.2">
      <c r="I450" s="2"/>
    </row>
    <row r="451" spans="9:9" x14ac:dyDescent="0.2">
      <c r="I451" s="2"/>
    </row>
  </sheetData>
  <mergeCells count="1">
    <mergeCell ref="A1:J1"/>
  </mergeCells>
  <phoneticPr fontId="0" type="noConversion"/>
  <printOptions gridLines="1"/>
  <pageMargins left="0.75" right="0" top="0.51" bottom="0.22" header="0.5" footer="0"/>
  <pageSetup scale="86" fitToHeight="17" orientation="landscape"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L247"/>
  <sheetViews>
    <sheetView view="pageBreakPreview" zoomScaleNormal="100" zoomScaleSheetLayoutView="100" workbookViewId="0">
      <pane ySplit="5" topLeftCell="A85" activePane="bottomLeft" state="frozen"/>
      <selection activeCell="D43" sqref="D43"/>
      <selection pane="bottomLeft" activeCell="A107" sqref="A107"/>
    </sheetView>
  </sheetViews>
  <sheetFormatPr defaultColWidth="8.85546875" defaultRowHeight="12.75" x14ac:dyDescent="0.2"/>
  <cols>
    <col min="1" max="1" width="41.5703125" style="183" bestFit="1" customWidth="1"/>
    <col min="2" max="2" width="9.85546875" style="183" customWidth="1"/>
    <col min="3" max="3" width="10.28515625" style="183" customWidth="1"/>
    <col min="4" max="4" width="10.5703125" style="183" customWidth="1"/>
    <col min="5" max="6" width="10.85546875" style="183" customWidth="1"/>
    <col min="7" max="7" width="10.85546875" style="2" customWidth="1"/>
    <col min="8" max="8" width="14" style="183" bestFit="1" customWidth="1"/>
    <col min="9" max="10" width="10.85546875" style="183" customWidth="1"/>
    <col min="11" max="16384" width="8.85546875" style="183"/>
  </cols>
  <sheetData>
    <row r="1" spans="1:12" x14ac:dyDescent="0.2">
      <c r="A1" s="254" t="e">
        <f>#REF!</f>
        <v>#REF!</v>
      </c>
      <c r="B1" s="255"/>
      <c r="C1" s="255"/>
      <c r="D1" s="255"/>
      <c r="E1" s="255"/>
      <c r="F1" s="255"/>
      <c r="G1" s="255"/>
      <c r="H1" s="255"/>
      <c r="I1" s="255"/>
      <c r="J1" s="255"/>
    </row>
    <row r="2" spans="1:12" ht="18.75" x14ac:dyDescent="0.3">
      <c r="A2" s="91" t="s">
        <v>1588</v>
      </c>
      <c r="B2" s="91"/>
      <c r="C2" s="91"/>
      <c r="D2" s="91"/>
      <c r="E2" s="91"/>
      <c r="F2" s="91"/>
      <c r="G2" s="91"/>
      <c r="H2" s="91"/>
      <c r="I2" s="91"/>
      <c r="J2" s="91"/>
    </row>
    <row r="3" spans="1:12" x14ac:dyDescent="0.2">
      <c r="B3" s="2"/>
      <c r="C3" s="2"/>
      <c r="D3" s="2"/>
      <c r="E3" s="2"/>
      <c r="F3" s="2"/>
    </row>
    <row r="4" spans="1:12" x14ac:dyDescent="0.2">
      <c r="B4" s="2"/>
      <c r="C4" s="2"/>
      <c r="D4" s="2"/>
      <c r="E4" s="15" t="s">
        <v>204</v>
      </c>
      <c r="F4" s="15" t="s">
        <v>205</v>
      </c>
      <c r="G4" s="15" t="s">
        <v>61</v>
      </c>
      <c r="H4" s="15" t="s">
        <v>358</v>
      </c>
      <c r="I4" s="15" t="s">
        <v>270</v>
      </c>
      <c r="J4" s="15" t="s">
        <v>301</v>
      </c>
    </row>
    <row r="5" spans="1:12" ht="15" x14ac:dyDescent="0.35">
      <c r="B5" s="2"/>
      <c r="C5" s="2"/>
      <c r="D5" s="2"/>
      <c r="E5" s="196" t="s">
        <v>1757</v>
      </c>
      <c r="F5" s="196" t="s">
        <v>1838</v>
      </c>
      <c r="G5" s="196" t="s">
        <v>1977</v>
      </c>
      <c r="H5" s="196" t="s">
        <v>1977</v>
      </c>
      <c r="I5" s="196" t="s">
        <v>1977</v>
      </c>
      <c r="J5" s="196" t="s">
        <v>1977</v>
      </c>
    </row>
    <row r="6" spans="1:12" ht="13.5" x14ac:dyDescent="0.25">
      <c r="A6" s="187" t="s">
        <v>642</v>
      </c>
      <c r="B6" s="2"/>
      <c r="C6" s="2"/>
      <c r="D6" s="2"/>
      <c r="E6" s="2">
        <v>70869</v>
      </c>
      <c r="F6" s="2">
        <v>73269</v>
      </c>
      <c r="G6" s="2">
        <v>72263</v>
      </c>
      <c r="H6" s="2">
        <v>72263</v>
      </c>
      <c r="I6" s="2">
        <v>73979</v>
      </c>
      <c r="J6" s="2">
        <v>73979</v>
      </c>
    </row>
    <row r="7" spans="1:12" x14ac:dyDescent="0.2">
      <c r="A7" s="183" t="s">
        <v>640</v>
      </c>
      <c r="B7" s="2">
        <v>52</v>
      </c>
      <c r="C7" s="2">
        <v>1399</v>
      </c>
      <c r="D7" s="2">
        <f>ROUND(B7*C7,0)</f>
        <v>72748</v>
      </c>
      <c r="E7" s="2"/>
      <c r="F7" s="2"/>
      <c r="H7" s="2"/>
      <c r="I7" s="2"/>
      <c r="J7" s="2"/>
    </row>
    <row r="8" spans="1:12" x14ac:dyDescent="0.2">
      <c r="A8" s="183" t="s">
        <v>824</v>
      </c>
      <c r="B8" s="2"/>
      <c r="C8" s="2"/>
      <c r="D8" s="17">
        <v>1231</v>
      </c>
      <c r="E8" s="2"/>
      <c r="F8" s="2"/>
      <c r="H8" s="2"/>
      <c r="I8" s="2"/>
      <c r="J8" s="2"/>
    </row>
    <row r="9" spans="1:12" x14ac:dyDescent="0.2">
      <c r="A9" s="183" t="s">
        <v>1073</v>
      </c>
      <c r="B9" s="2"/>
      <c r="C9" s="2"/>
      <c r="D9" s="2">
        <f>SUM(D7:D8)</f>
        <v>73979</v>
      </c>
      <c r="E9" s="2"/>
      <c r="F9" s="2"/>
      <c r="H9" s="2"/>
      <c r="I9" s="2"/>
      <c r="J9" s="2"/>
    </row>
    <row r="10" spans="1:12" x14ac:dyDescent="0.2">
      <c r="B10" s="2"/>
      <c r="C10" s="2"/>
      <c r="D10" s="2"/>
      <c r="E10" s="2"/>
      <c r="F10" s="2"/>
      <c r="H10" s="2"/>
      <c r="I10" s="2"/>
      <c r="J10" s="2"/>
    </row>
    <row r="11" spans="1:12" ht="13.5" x14ac:dyDescent="0.25">
      <c r="A11" s="187" t="s">
        <v>691</v>
      </c>
      <c r="E11" s="2">
        <v>44632</v>
      </c>
      <c r="F11" s="2">
        <v>50827</v>
      </c>
      <c r="G11" s="2">
        <v>49972</v>
      </c>
      <c r="H11" s="2">
        <v>49972</v>
      </c>
      <c r="I11" s="2">
        <v>90168</v>
      </c>
      <c r="J11" s="2">
        <v>90168</v>
      </c>
      <c r="K11" s="2">
        <v>87932</v>
      </c>
      <c r="L11" s="2">
        <f>+G11-K11</f>
        <v>-37960</v>
      </c>
    </row>
    <row r="12" spans="1:12" x14ac:dyDescent="0.2">
      <c r="A12" s="183" t="s">
        <v>641</v>
      </c>
      <c r="B12" s="2">
        <v>52</v>
      </c>
      <c r="C12" s="2">
        <v>985</v>
      </c>
      <c r="D12" s="2">
        <f>ROUND(B12*C12,0)</f>
        <v>51220</v>
      </c>
      <c r="F12" s="2"/>
      <c r="H12" s="2"/>
      <c r="I12" s="2"/>
      <c r="J12" s="2"/>
      <c r="K12" s="2"/>
      <c r="L12" s="2">
        <f t="shared" ref="L12:L52" si="0">+G12-K12</f>
        <v>0</v>
      </c>
    </row>
    <row r="13" spans="1:12" s="206" customFormat="1" ht="15" x14ac:dyDescent="0.35">
      <c r="A13" s="206" t="s">
        <v>2015</v>
      </c>
      <c r="B13" s="2">
        <v>52</v>
      </c>
      <c r="C13" s="2">
        <v>749</v>
      </c>
      <c r="D13" s="10">
        <f>ROUND(B13*C13,0)</f>
        <v>38948</v>
      </c>
      <c r="F13" s="2"/>
      <c r="G13" s="2"/>
      <c r="H13" s="2"/>
      <c r="I13" s="2"/>
      <c r="J13" s="2"/>
      <c r="K13" s="2"/>
      <c r="L13" s="2">
        <f t="shared" si="0"/>
        <v>0</v>
      </c>
    </row>
    <row r="14" spans="1:12" x14ac:dyDescent="0.2">
      <c r="A14" s="183" t="s">
        <v>1073</v>
      </c>
      <c r="B14" s="2"/>
      <c r="C14" s="2"/>
      <c r="D14" s="2">
        <f>SUM(D12:D13)</f>
        <v>90168</v>
      </c>
      <c r="F14" s="2"/>
      <c r="H14" s="2"/>
      <c r="I14" s="2"/>
      <c r="J14" s="2"/>
      <c r="K14" s="2"/>
      <c r="L14" s="2">
        <f t="shared" si="0"/>
        <v>0</v>
      </c>
    </row>
    <row r="15" spans="1:12" x14ac:dyDescent="0.2">
      <c r="D15" s="2"/>
      <c r="E15" s="2"/>
      <c r="F15" s="2"/>
      <c r="H15" s="2"/>
      <c r="I15" s="2"/>
      <c r="J15" s="2"/>
      <c r="K15" s="2"/>
      <c r="L15" s="2">
        <f t="shared" si="0"/>
        <v>0</v>
      </c>
    </row>
    <row r="16" spans="1:12" ht="13.5" x14ac:dyDescent="0.25">
      <c r="A16" s="187" t="s">
        <v>643</v>
      </c>
      <c r="D16" s="2"/>
      <c r="E16" s="2">
        <v>23122</v>
      </c>
      <c r="F16" s="2">
        <v>28673</v>
      </c>
      <c r="G16" s="2">
        <v>29737</v>
      </c>
      <c r="H16" s="2">
        <v>29737</v>
      </c>
      <c r="I16" s="2">
        <v>3150</v>
      </c>
      <c r="J16" s="2">
        <v>3150</v>
      </c>
      <c r="K16" s="2">
        <v>3150</v>
      </c>
      <c r="L16" s="2">
        <f t="shared" si="0"/>
        <v>26587</v>
      </c>
    </row>
    <row r="17" spans="1:12" x14ac:dyDescent="0.2">
      <c r="A17" s="183" t="s">
        <v>159</v>
      </c>
      <c r="B17" s="2">
        <v>0</v>
      </c>
      <c r="C17" s="11">
        <v>18.260000000000002</v>
      </c>
      <c r="D17" s="2">
        <f>ROUND(B17*C17,0)</f>
        <v>0</v>
      </c>
      <c r="E17" s="2"/>
      <c r="F17" s="2"/>
      <c r="H17" s="2"/>
      <c r="I17" s="2"/>
      <c r="J17" s="2"/>
      <c r="K17" s="2"/>
      <c r="L17" s="2">
        <f t="shared" si="0"/>
        <v>0</v>
      </c>
    </row>
    <row r="18" spans="1:12" ht="15" x14ac:dyDescent="0.35">
      <c r="A18" s="183" t="s">
        <v>158</v>
      </c>
      <c r="B18" s="2">
        <v>170</v>
      </c>
      <c r="C18" s="11">
        <v>18.53</v>
      </c>
      <c r="D18" s="10">
        <f>B18*C18</f>
        <v>3150.1000000000004</v>
      </c>
      <c r="E18" s="2"/>
      <c r="F18" s="2"/>
      <c r="H18" s="2"/>
      <c r="I18" s="2"/>
      <c r="J18" s="2"/>
      <c r="K18" s="2"/>
      <c r="L18" s="2">
        <f t="shared" si="0"/>
        <v>0</v>
      </c>
    </row>
    <row r="19" spans="1:12" x14ac:dyDescent="0.2">
      <c r="A19" s="183" t="s">
        <v>1073</v>
      </c>
      <c r="B19" s="2"/>
      <c r="C19" s="11"/>
      <c r="D19" s="2">
        <f>SUM(D17:D18)</f>
        <v>3150.1000000000004</v>
      </c>
      <c r="E19" s="2"/>
      <c r="F19" s="2"/>
      <c r="H19" s="2"/>
      <c r="I19" s="2"/>
      <c r="J19" s="2"/>
      <c r="K19" s="2"/>
      <c r="L19" s="2">
        <f t="shared" si="0"/>
        <v>0</v>
      </c>
    </row>
    <row r="20" spans="1:12" x14ac:dyDescent="0.2">
      <c r="B20" s="2"/>
      <c r="C20" s="11"/>
      <c r="D20" s="2"/>
      <c r="E20" s="2"/>
      <c r="F20" s="2"/>
      <c r="H20" s="2"/>
      <c r="I20" s="2"/>
      <c r="J20" s="2"/>
      <c r="K20" s="2"/>
      <c r="L20" s="2">
        <f t="shared" si="0"/>
        <v>0</v>
      </c>
    </row>
    <row r="21" spans="1:12" ht="13.5" x14ac:dyDescent="0.25">
      <c r="A21" s="187" t="s">
        <v>1761</v>
      </c>
      <c r="B21" s="2"/>
      <c r="C21" s="11"/>
      <c r="D21" s="2">
        <v>0</v>
      </c>
      <c r="E21" s="2">
        <v>756</v>
      </c>
      <c r="F21" s="2">
        <v>0</v>
      </c>
      <c r="G21" s="2">
        <v>0</v>
      </c>
      <c r="H21" s="2">
        <v>0</v>
      </c>
      <c r="I21" s="2">
        <v>0</v>
      </c>
      <c r="J21" s="2">
        <v>0</v>
      </c>
      <c r="K21" s="2">
        <v>0</v>
      </c>
      <c r="L21" s="2">
        <f t="shared" si="0"/>
        <v>0</v>
      </c>
    </row>
    <row r="22" spans="1:12" x14ac:dyDescent="0.2">
      <c r="B22" s="2"/>
      <c r="C22" s="11"/>
      <c r="D22" s="2"/>
      <c r="E22" s="2"/>
      <c r="F22" s="2"/>
      <c r="H22" s="2"/>
      <c r="I22" s="2"/>
      <c r="J22" s="2"/>
      <c r="K22" s="2"/>
      <c r="L22" s="2">
        <f t="shared" si="0"/>
        <v>0</v>
      </c>
    </row>
    <row r="23" spans="1:12" ht="13.5" x14ac:dyDescent="0.25">
      <c r="A23" s="187" t="s">
        <v>644</v>
      </c>
      <c r="D23" s="2"/>
      <c r="E23" s="2">
        <v>10654</v>
      </c>
      <c r="F23" s="2">
        <v>11686</v>
      </c>
      <c r="G23" s="2">
        <v>11626</v>
      </c>
      <c r="H23" s="2">
        <v>11626</v>
      </c>
      <c r="I23" s="2">
        <v>12798</v>
      </c>
      <c r="J23" s="2">
        <v>12798</v>
      </c>
      <c r="K23" s="2">
        <v>12496</v>
      </c>
      <c r="L23" s="2">
        <f t="shared" si="0"/>
        <v>-870</v>
      </c>
    </row>
    <row r="24" spans="1:12" hidden="1" x14ac:dyDescent="0.2">
      <c r="A24" s="12" t="s">
        <v>1271</v>
      </c>
      <c r="B24" s="2">
        <f>+D9</f>
        <v>73979</v>
      </c>
      <c r="C24" s="13">
        <v>7.6499999999999999E-2</v>
      </c>
      <c r="D24" s="2">
        <f>ROUND(B24*C24,0)</f>
        <v>5659</v>
      </c>
      <c r="E24" s="2"/>
      <c r="F24" s="2"/>
      <c r="H24" s="2"/>
      <c r="I24" s="2"/>
      <c r="J24" s="2"/>
      <c r="K24" s="2"/>
      <c r="L24" s="2">
        <f t="shared" si="0"/>
        <v>0</v>
      </c>
    </row>
    <row r="25" spans="1:12" hidden="1" x14ac:dyDescent="0.2">
      <c r="A25" s="12" t="s">
        <v>688</v>
      </c>
      <c r="B25" s="2">
        <f>+D14</f>
        <v>90168</v>
      </c>
      <c r="C25" s="13">
        <v>7.6499999999999999E-2</v>
      </c>
      <c r="D25" s="2">
        <f>ROUND(B25*C25,0)</f>
        <v>6898</v>
      </c>
      <c r="E25" s="2"/>
      <c r="F25" s="2"/>
      <c r="H25" s="2"/>
      <c r="I25" s="2"/>
      <c r="J25" s="2"/>
      <c r="K25" s="2"/>
      <c r="L25" s="2">
        <f t="shared" si="0"/>
        <v>0</v>
      </c>
    </row>
    <row r="26" spans="1:12" ht="15" hidden="1" x14ac:dyDescent="0.35">
      <c r="A26" s="12" t="s">
        <v>155</v>
      </c>
      <c r="B26" s="2">
        <f>+D19</f>
        <v>3150.1000000000004</v>
      </c>
      <c r="C26" s="13">
        <v>7.6499999999999999E-2</v>
      </c>
      <c r="D26" s="10">
        <f>ROUND(B26*C26,0)</f>
        <v>241</v>
      </c>
      <c r="E26" s="2"/>
      <c r="F26" s="2"/>
      <c r="H26" s="2"/>
      <c r="I26" s="2"/>
      <c r="J26" s="2"/>
      <c r="K26" s="2"/>
      <c r="L26" s="2">
        <f t="shared" si="0"/>
        <v>0</v>
      </c>
    </row>
    <row r="27" spans="1:12" hidden="1" x14ac:dyDescent="0.2">
      <c r="A27" s="183" t="s">
        <v>365</v>
      </c>
      <c r="B27" s="2" t="s">
        <v>345</v>
      </c>
      <c r="D27" s="2">
        <f>SUM(D24:D26)</f>
        <v>12798</v>
      </c>
      <c r="E27" s="2"/>
      <c r="F27" s="2"/>
      <c r="H27" s="2"/>
      <c r="I27" s="2"/>
      <c r="J27" s="2"/>
      <c r="K27" s="2"/>
      <c r="L27" s="2">
        <f t="shared" si="0"/>
        <v>0</v>
      </c>
    </row>
    <row r="28" spans="1:12" x14ac:dyDescent="0.2">
      <c r="D28" s="2"/>
      <c r="E28" s="2"/>
      <c r="F28" s="2"/>
      <c r="H28" s="2"/>
      <c r="I28" s="2"/>
      <c r="J28" s="2"/>
      <c r="K28" s="2"/>
      <c r="L28" s="2">
        <f t="shared" si="0"/>
        <v>0</v>
      </c>
    </row>
    <row r="29" spans="1:12" ht="13.5" x14ac:dyDescent="0.25">
      <c r="A29" s="14" t="s">
        <v>1297</v>
      </c>
      <c r="D29" s="2"/>
      <c r="E29" s="2">
        <v>12912</v>
      </c>
      <c r="F29" s="2">
        <v>17448</v>
      </c>
      <c r="G29" s="2">
        <v>17186</v>
      </c>
      <c r="H29" s="2">
        <v>17186</v>
      </c>
      <c r="I29" s="2">
        <v>23079</v>
      </c>
      <c r="J29" s="2">
        <v>23079</v>
      </c>
      <c r="K29" s="2">
        <v>22523</v>
      </c>
      <c r="L29" s="2">
        <f t="shared" si="0"/>
        <v>-5337</v>
      </c>
    </row>
    <row r="30" spans="1:12" hidden="1" x14ac:dyDescent="0.2">
      <c r="A30" s="183" t="s">
        <v>365</v>
      </c>
      <c r="B30" s="2">
        <f>+D9+D14</f>
        <v>164147</v>
      </c>
      <c r="C30" s="190">
        <v>0.1406</v>
      </c>
      <c r="D30" s="2">
        <f>ROUND(B30*C30,0)</f>
        <v>23079</v>
      </c>
      <c r="E30" s="2"/>
      <c r="F30" s="2"/>
      <c r="H30" s="2"/>
      <c r="I30" s="2"/>
      <c r="J30" s="2"/>
      <c r="K30" s="2"/>
      <c r="L30" s="2">
        <f t="shared" si="0"/>
        <v>0</v>
      </c>
    </row>
    <row r="31" spans="1:12" x14ac:dyDescent="0.2">
      <c r="D31" s="2"/>
      <c r="E31" s="2"/>
      <c r="F31" s="2"/>
      <c r="H31" s="2"/>
      <c r="I31" s="2"/>
      <c r="J31" s="2"/>
      <c r="K31" s="2"/>
      <c r="L31" s="2">
        <f t="shared" si="0"/>
        <v>0</v>
      </c>
    </row>
    <row r="32" spans="1:12" ht="13.5" x14ac:dyDescent="0.25">
      <c r="A32" s="187" t="s">
        <v>1298</v>
      </c>
      <c r="D32" s="2"/>
      <c r="E32" s="2">
        <v>38924</v>
      </c>
      <c r="F32" s="2">
        <v>39500</v>
      </c>
      <c r="G32" s="2">
        <v>39000</v>
      </c>
      <c r="H32" s="2">
        <v>39000</v>
      </c>
      <c r="I32" s="2">
        <v>57000</v>
      </c>
      <c r="J32" s="2">
        <v>57000</v>
      </c>
      <c r="K32" s="2">
        <v>58500</v>
      </c>
      <c r="L32" s="2">
        <f t="shared" si="0"/>
        <v>-19500</v>
      </c>
    </row>
    <row r="33" spans="1:12" hidden="1" x14ac:dyDescent="0.2">
      <c r="A33" s="183" t="s">
        <v>365</v>
      </c>
      <c r="B33" s="2">
        <v>3</v>
      </c>
      <c r="C33" s="2">
        <v>19000</v>
      </c>
      <c r="D33" s="2">
        <f>ROUND(B33*C33,0)</f>
        <v>57000</v>
      </c>
      <c r="E33" s="2"/>
      <c r="F33" s="2"/>
      <c r="H33" s="2"/>
      <c r="I33" s="2"/>
      <c r="J33" s="2"/>
      <c r="K33" s="2"/>
      <c r="L33" s="2">
        <f t="shared" si="0"/>
        <v>0</v>
      </c>
    </row>
    <row r="34" spans="1:12" x14ac:dyDescent="0.2">
      <c r="C34" s="206"/>
      <c r="D34" s="2"/>
      <c r="E34" s="2"/>
      <c r="F34" s="2"/>
      <c r="H34" s="2"/>
      <c r="I34" s="2"/>
      <c r="J34" s="2"/>
      <c r="K34" s="2"/>
      <c r="L34" s="2">
        <f t="shared" si="0"/>
        <v>0</v>
      </c>
    </row>
    <row r="35" spans="1:12" ht="13.5" x14ac:dyDescent="0.25">
      <c r="A35" s="187" t="s">
        <v>1299</v>
      </c>
      <c r="C35" s="206"/>
      <c r="D35" s="2"/>
      <c r="E35" s="2">
        <v>2485</v>
      </c>
      <c r="F35" s="2">
        <v>2520</v>
      </c>
      <c r="G35" s="2">
        <v>2475</v>
      </c>
      <c r="H35" s="2">
        <v>2475</v>
      </c>
      <c r="I35" s="2">
        <v>3713</v>
      </c>
      <c r="J35" s="2">
        <v>3713</v>
      </c>
      <c r="K35" s="2">
        <v>3713</v>
      </c>
      <c r="L35" s="2">
        <f t="shared" si="0"/>
        <v>-1238</v>
      </c>
    </row>
    <row r="36" spans="1:12" hidden="1" x14ac:dyDescent="0.2">
      <c r="A36" s="183" t="s">
        <v>365</v>
      </c>
      <c r="B36" s="2">
        <v>3</v>
      </c>
      <c r="C36" s="2">
        <v>1375</v>
      </c>
      <c r="D36" s="2">
        <f>ROUND(B36*C36,0)</f>
        <v>4125</v>
      </c>
      <c r="E36" s="2"/>
      <c r="F36" s="2"/>
      <c r="H36" s="2"/>
      <c r="I36" s="2"/>
      <c r="J36" s="2"/>
      <c r="K36" s="2"/>
      <c r="L36" s="2">
        <f t="shared" si="0"/>
        <v>0</v>
      </c>
    </row>
    <row r="37" spans="1:12" ht="15" hidden="1" x14ac:dyDescent="0.35">
      <c r="A37" s="183" t="s">
        <v>198</v>
      </c>
      <c r="B37" s="2"/>
      <c r="C37" s="2"/>
      <c r="D37" s="10">
        <f>+C36*0.1*-B36</f>
        <v>-412.5</v>
      </c>
      <c r="E37" s="2"/>
      <c r="F37" s="2"/>
      <c r="H37" s="2"/>
      <c r="I37" s="2"/>
      <c r="J37" s="2"/>
      <c r="K37" s="2"/>
      <c r="L37" s="2">
        <f t="shared" si="0"/>
        <v>0</v>
      </c>
    </row>
    <row r="38" spans="1:12" hidden="1" x14ac:dyDescent="0.2">
      <c r="A38" s="183" t="s">
        <v>683</v>
      </c>
      <c r="B38" s="2"/>
      <c r="C38" s="2"/>
      <c r="D38" s="2">
        <f>SUM(D36:D37)</f>
        <v>3712.5</v>
      </c>
      <c r="E38" s="2"/>
      <c r="F38" s="2"/>
      <c r="H38" s="2"/>
      <c r="I38" s="2"/>
      <c r="J38" s="2"/>
      <c r="K38" s="2"/>
      <c r="L38" s="2">
        <f t="shared" si="0"/>
        <v>0</v>
      </c>
    </row>
    <row r="39" spans="1:12" x14ac:dyDescent="0.2">
      <c r="C39" s="206"/>
      <c r="D39" s="2"/>
      <c r="E39" s="2"/>
      <c r="F39" s="2"/>
      <c r="H39" s="2"/>
      <c r="I39" s="2"/>
      <c r="J39" s="2"/>
      <c r="K39" s="2"/>
      <c r="L39" s="2">
        <f t="shared" si="0"/>
        <v>0</v>
      </c>
    </row>
    <row r="40" spans="1:12" ht="13.5" x14ac:dyDescent="0.25">
      <c r="A40" s="187" t="s">
        <v>1300</v>
      </c>
      <c r="C40" s="206"/>
      <c r="D40" s="2"/>
      <c r="E40" s="2">
        <v>248</v>
      </c>
      <c r="F40" s="2">
        <v>270</v>
      </c>
      <c r="G40" s="2">
        <v>270</v>
      </c>
      <c r="H40" s="2">
        <v>270</v>
      </c>
      <c r="I40" s="2">
        <v>405</v>
      </c>
      <c r="J40" s="2">
        <v>405</v>
      </c>
      <c r="K40" s="2">
        <v>405</v>
      </c>
      <c r="L40" s="2">
        <f t="shared" si="0"/>
        <v>-135</v>
      </c>
    </row>
    <row r="41" spans="1:12" hidden="1" x14ac:dyDescent="0.2">
      <c r="A41" s="183" t="s">
        <v>365</v>
      </c>
      <c r="B41" s="2">
        <v>3</v>
      </c>
      <c r="C41" s="2">
        <v>135</v>
      </c>
      <c r="D41" s="2">
        <f>ROUND(B41*C41,0)</f>
        <v>405</v>
      </c>
      <c r="E41" s="2"/>
      <c r="F41" s="2"/>
      <c r="H41" s="2"/>
      <c r="I41" s="2"/>
      <c r="J41" s="2"/>
      <c r="K41" s="2"/>
      <c r="L41" s="2">
        <f t="shared" si="0"/>
        <v>0</v>
      </c>
    </row>
    <row r="42" spans="1:12" x14ac:dyDescent="0.2">
      <c r="C42" s="206"/>
      <c r="D42" s="2"/>
      <c r="E42" s="2"/>
      <c r="F42" s="2"/>
      <c r="H42" s="2"/>
      <c r="I42" s="2"/>
      <c r="J42" s="2"/>
      <c r="K42" s="2"/>
      <c r="L42" s="2">
        <f t="shared" si="0"/>
        <v>0</v>
      </c>
    </row>
    <row r="43" spans="1:12" ht="13.5" x14ac:dyDescent="0.25">
      <c r="A43" s="187" t="s">
        <v>1227</v>
      </c>
      <c r="C43" s="206"/>
      <c r="D43" s="2"/>
      <c r="E43" s="2">
        <v>1329</v>
      </c>
      <c r="F43" s="2">
        <v>1100</v>
      </c>
      <c r="G43" s="2">
        <v>1050</v>
      </c>
      <c r="H43" s="2">
        <v>1050</v>
      </c>
      <c r="I43" s="2">
        <v>1575</v>
      </c>
      <c r="J43" s="2">
        <v>1575</v>
      </c>
      <c r="K43" s="2">
        <v>1575</v>
      </c>
      <c r="L43" s="2">
        <f t="shared" si="0"/>
        <v>-525</v>
      </c>
    </row>
    <row r="44" spans="1:12" hidden="1" x14ac:dyDescent="0.2">
      <c r="A44" s="183" t="s">
        <v>365</v>
      </c>
      <c r="B44" s="2">
        <v>3</v>
      </c>
      <c r="C44" s="2">
        <v>525</v>
      </c>
      <c r="D44" s="2">
        <f>ROUND(B44*C44,0)</f>
        <v>1575</v>
      </c>
      <c r="E44" s="2"/>
      <c r="F44" s="2"/>
      <c r="H44" s="2"/>
      <c r="I44" s="2"/>
      <c r="J44" s="2"/>
      <c r="K44" s="2"/>
      <c r="L44" s="2">
        <f t="shared" si="0"/>
        <v>0</v>
      </c>
    </row>
    <row r="45" spans="1:12" x14ac:dyDescent="0.2">
      <c r="C45" s="206"/>
      <c r="D45" s="2"/>
      <c r="E45" s="2"/>
      <c r="F45" s="2"/>
      <c r="H45" s="2"/>
      <c r="I45" s="2"/>
      <c r="J45" s="2"/>
      <c r="K45" s="2"/>
      <c r="L45" s="2">
        <f t="shared" si="0"/>
        <v>0</v>
      </c>
    </row>
    <row r="46" spans="1:12" ht="13.5" x14ac:dyDescent="0.25">
      <c r="A46" s="187" t="s">
        <v>130</v>
      </c>
      <c r="C46" s="206"/>
      <c r="D46" s="2"/>
      <c r="E46" s="2">
        <v>950</v>
      </c>
      <c r="F46" s="2">
        <v>1282</v>
      </c>
      <c r="G46" s="2">
        <v>1230</v>
      </c>
      <c r="H46" s="2">
        <v>1230</v>
      </c>
      <c r="I46" s="2">
        <v>1354</v>
      </c>
      <c r="J46" s="2">
        <v>1354</v>
      </c>
      <c r="K46" s="2">
        <v>1322</v>
      </c>
      <c r="L46" s="2">
        <f t="shared" si="0"/>
        <v>-92</v>
      </c>
    </row>
    <row r="47" spans="1:12" hidden="1" x14ac:dyDescent="0.2">
      <c r="A47" s="12" t="s">
        <v>1271</v>
      </c>
      <c r="B47" s="2">
        <f>+D9</f>
        <v>73979</v>
      </c>
      <c r="C47" s="13">
        <v>8.0999999999999996E-3</v>
      </c>
      <c r="D47" s="2">
        <f>ROUND(B47*C47,0)-1</f>
        <v>598</v>
      </c>
      <c r="E47" s="2"/>
      <c r="F47" s="2"/>
      <c r="H47" s="2"/>
      <c r="I47" s="2"/>
      <c r="J47" s="2"/>
      <c r="K47" s="2"/>
      <c r="L47" s="2">
        <f t="shared" si="0"/>
        <v>0</v>
      </c>
    </row>
    <row r="48" spans="1:12" hidden="1" x14ac:dyDescent="0.2">
      <c r="A48" s="12" t="s">
        <v>688</v>
      </c>
      <c r="B48" s="2">
        <f>+D14</f>
        <v>90168</v>
      </c>
      <c r="C48" s="13">
        <v>8.0999999999999996E-3</v>
      </c>
      <c r="D48" s="2">
        <f>ROUND(B48*C48,0)</f>
        <v>730</v>
      </c>
      <c r="E48" s="2"/>
      <c r="F48" s="2"/>
      <c r="H48" s="2"/>
      <c r="I48" s="2"/>
      <c r="J48" s="2"/>
      <c r="K48" s="2"/>
      <c r="L48" s="2">
        <f t="shared" si="0"/>
        <v>0</v>
      </c>
    </row>
    <row r="49" spans="1:12" ht="15" hidden="1" x14ac:dyDescent="0.35">
      <c r="A49" s="12" t="s">
        <v>155</v>
      </c>
      <c r="B49" s="2">
        <f>+B26</f>
        <v>3150.1000000000004</v>
      </c>
      <c r="C49" s="13">
        <v>8.0999999999999996E-3</v>
      </c>
      <c r="D49" s="10">
        <f>ROUND(B49*C49,0)</f>
        <v>26</v>
      </c>
      <c r="E49" s="2"/>
      <c r="F49" s="2"/>
      <c r="H49" s="2"/>
      <c r="I49" s="2"/>
      <c r="J49" s="2"/>
      <c r="K49" s="2"/>
      <c r="L49" s="2">
        <f t="shared" si="0"/>
        <v>0</v>
      </c>
    </row>
    <row r="50" spans="1:12" hidden="1" x14ac:dyDescent="0.2">
      <c r="A50" s="183" t="s">
        <v>1073</v>
      </c>
      <c r="C50" s="206"/>
      <c r="D50" s="2">
        <f>SUM(D47:D49)</f>
        <v>1354</v>
      </c>
      <c r="E50" s="2"/>
      <c r="F50" s="2"/>
      <c r="H50" s="2"/>
      <c r="I50" s="2"/>
      <c r="J50" s="2"/>
      <c r="K50" s="2"/>
      <c r="L50" s="2">
        <f t="shared" si="0"/>
        <v>0</v>
      </c>
    </row>
    <row r="51" spans="1:12" x14ac:dyDescent="0.2">
      <c r="D51" s="2"/>
      <c r="E51" s="2"/>
      <c r="F51" s="2"/>
      <c r="H51" s="2"/>
      <c r="I51" s="2"/>
      <c r="J51" s="2"/>
      <c r="K51" s="2"/>
      <c r="L51" s="2">
        <f t="shared" si="0"/>
        <v>0</v>
      </c>
    </row>
    <row r="52" spans="1:12" ht="13.5" x14ac:dyDescent="0.25">
      <c r="A52" s="187" t="s">
        <v>131</v>
      </c>
      <c r="D52" s="2"/>
      <c r="E52" s="2">
        <v>72</v>
      </c>
      <c r="F52" s="2">
        <v>62</v>
      </c>
      <c r="G52" s="2">
        <v>64</v>
      </c>
      <c r="H52" s="2">
        <v>64</v>
      </c>
      <c r="I52" s="2">
        <v>64</v>
      </c>
      <c r="J52" s="2">
        <v>64</v>
      </c>
      <c r="K52" s="2">
        <v>64</v>
      </c>
      <c r="L52" s="2">
        <f t="shared" si="0"/>
        <v>0</v>
      </c>
    </row>
    <row r="53" spans="1:12" hidden="1" x14ac:dyDescent="0.2">
      <c r="A53" s="12" t="s">
        <v>1271</v>
      </c>
      <c r="B53" s="2">
        <v>1</v>
      </c>
      <c r="C53" s="2">
        <v>20</v>
      </c>
      <c r="D53" s="2">
        <f>ROUND(B53*C53,0)</f>
        <v>20</v>
      </c>
      <c r="E53" s="2"/>
      <c r="F53" s="2"/>
      <c r="H53" s="2"/>
      <c r="I53" s="2"/>
      <c r="J53" s="2"/>
    </row>
    <row r="54" spans="1:12" hidden="1" x14ac:dyDescent="0.2">
      <c r="A54" s="12" t="s">
        <v>688</v>
      </c>
      <c r="B54" s="2">
        <v>2</v>
      </c>
      <c r="C54" s="2">
        <v>20</v>
      </c>
      <c r="D54" s="2">
        <f>ROUND(B54*C54,0)</f>
        <v>40</v>
      </c>
      <c r="E54" s="2"/>
      <c r="F54" s="2"/>
      <c r="H54" s="2"/>
      <c r="I54" s="2"/>
      <c r="J54" s="2"/>
    </row>
    <row r="55" spans="1:12" hidden="1" x14ac:dyDescent="0.2">
      <c r="A55" s="183" t="s">
        <v>1266</v>
      </c>
      <c r="B55" s="2">
        <f>+D18</f>
        <v>3150.1000000000004</v>
      </c>
      <c r="C55" s="13">
        <v>1.4E-3</v>
      </c>
      <c r="D55" s="2">
        <f>ROUND(B55*C55,0)</f>
        <v>4</v>
      </c>
      <c r="E55" s="2"/>
      <c r="F55" s="2"/>
      <c r="H55" s="2"/>
      <c r="I55" s="2"/>
      <c r="J55" s="2"/>
    </row>
    <row r="56" spans="1:12" hidden="1" x14ac:dyDescent="0.2">
      <c r="A56" s="12" t="s">
        <v>155</v>
      </c>
      <c r="B56" s="2">
        <v>0</v>
      </c>
      <c r="C56" s="2">
        <v>20</v>
      </c>
      <c r="D56" s="17">
        <f>ROUND(B56*C56,0)</f>
        <v>0</v>
      </c>
      <c r="E56" s="2"/>
      <c r="F56" s="2"/>
      <c r="H56" s="2"/>
      <c r="I56" s="2"/>
      <c r="J56" s="2"/>
    </row>
    <row r="57" spans="1:12" hidden="1" x14ac:dyDescent="0.2">
      <c r="A57" s="183" t="s">
        <v>1073</v>
      </c>
      <c r="D57" s="2">
        <f>SUM(D53:D56)</f>
        <v>64</v>
      </c>
      <c r="E57" s="2"/>
      <c r="F57" s="2"/>
      <c r="H57" s="2"/>
      <c r="I57" s="2"/>
      <c r="J57" s="2"/>
    </row>
    <row r="58" spans="1:12" x14ac:dyDescent="0.2">
      <c r="D58" s="2"/>
      <c r="E58" s="2"/>
      <c r="F58" s="2"/>
      <c r="H58" s="2"/>
      <c r="I58" s="2"/>
      <c r="J58" s="2"/>
    </row>
    <row r="59" spans="1:12" ht="13.5" x14ac:dyDescent="0.25">
      <c r="A59" s="43" t="s">
        <v>1596</v>
      </c>
      <c r="D59" s="2">
        <v>0</v>
      </c>
      <c r="E59" s="2">
        <v>0</v>
      </c>
      <c r="F59" s="2">
        <v>0</v>
      </c>
      <c r="G59" s="2">
        <v>0</v>
      </c>
      <c r="H59" s="2">
        <v>0</v>
      </c>
      <c r="I59" s="2">
        <v>0</v>
      </c>
      <c r="J59" s="2">
        <v>0</v>
      </c>
    </row>
    <row r="60" spans="1:12" s="227" customFormat="1" ht="13.5" x14ac:dyDescent="0.25">
      <c r="A60" s="43"/>
      <c r="D60" s="2"/>
      <c r="E60" s="2"/>
      <c r="F60" s="2"/>
      <c r="G60" s="2"/>
      <c r="H60" s="2"/>
      <c r="I60" s="2"/>
      <c r="J60" s="2"/>
    </row>
    <row r="61" spans="1:12" s="227" customFormat="1" ht="13.5" x14ac:dyDescent="0.25">
      <c r="A61" s="43" t="s">
        <v>2074</v>
      </c>
      <c r="D61" s="2"/>
      <c r="E61" s="2"/>
      <c r="F61" s="2"/>
      <c r="G61" s="2">
        <v>39070</v>
      </c>
      <c r="H61" s="2">
        <v>39070</v>
      </c>
      <c r="I61" s="2">
        <v>0</v>
      </c>
      <c r="J61" s="2">
        <v>0</v>
      </c>
    </row>
    <row r="62" spans="1:12" s="227" customFormat="1" ht="13.5" x14ac:dyDescent="0.25">
      <c r="A62" s="43"/>
      <c r="D62" s="2"/>
      <c r="E62" s="2"/>
      <c r="F62" s="2"/>
      <c r="G62" s="2"/>
      <c r="H62" s="2"/>
      <c r="I62" s="2"/>
      <c r="J62" s="2"/>
    </row>
    <row r="63" spans="1:12" x14ac:dyDescent="0.2">
      <c r="A63" s="185" t="s">
        <v>132</v>
      </c>
      <c r="B63" s="48"/>
      <c r="C63" s="48"/>
      <c r="D63" s="3"/>
      <c r="E63" s="3">
        <v>126</v>
      </c>
      <c r="F63" s="3">
        <v>2500</v>
      </c>
      <c r="G63" s="3">
        <v>2500</v>
      </c>
      <c r="H63" s="3">
        <v>2500</v>
      </c>
      <c r="I63" s="3">
        <v>2500</v>
      </c>
      <c r="J63" s="3">
        <v>2500</v>
      </c>
    </row>
    <row r="64" spans="1:12" x14ac:dyDescent="0.2">
      <c r="A64" s="48"/>
      <c r="B64" s="48"/>
      <c r="C64" s="3"/>
      <c r="D64" s="3"/>
      <c r="E64" s="3"/>
      <c r="F64" s="3"/>
      <c r="G64" s="3"/>
      <c r="H64" s="3"/>
      <c r="I64" s="3"/>
      <c r="J64" s="3"/>
    </row>
    <row r="65" spans="1:10" x14ac:dyDescent="0.2">
      <c r="A65" s="185" t="s">
        <v>1061</v>
      </c>
      <c r="B65" s="48"/>
      <c r="C65" s="3"/>
      <c r="D65" s="3">
        <v>0</v>
      </c>
      <c r="E65" s="3">
        <v>1</v>
      </c>
      <c r="F65" s="3">
        <v>0</v>
      </c>
      <c r="G65" s="3">
        <v>0</v>
      </c>
      <c r="H65" s="3">
        <v>0</v>
      </c>
      <c r="I65" s="3">
        <v>0</v>
      </c>
      <c r="J65" s="3">
        <v>0</v>
      </c>
    </row>
    <row r="66" spans="1:10" x14ac:dyDescent="0.2">
      <c r="A66" s="48"/>
      <c r="B66" s="48"/>
      <c r="C66" s="3"/>
      <c r="D66" s="3"/>
      <c r="E66" s="3"/>
      <c r="F66" s="3"/>
      <c r="G66" s="3"/>
      <c r="H66" s="3"/>
      <c r="I66" s="3"/>
      <c r="J66" s="3"/>
    </row>
    <row r="67" spans="1:10" x14ac:dyDescent="0.2">
      <c r="A67" s="185" t="s">
        <v>1062</v>
      </c>
      <c r="B67" s="3"/>
      <c r="C67" s="59" t="s">
        <v>345</v>
      </c>
      <c r="D67" s="59"/>
      <c r="E67" s="3">
        <v>6206</v>
      </c>
      <c r="F67" s="3">
        <v>6340</v>
      </c>
      <c r="G67" s="3">
        <v>6340</v>
      </c>
      <c r="H67" s="3">
        <v>6340</v>
      </c>
      <c r="I67" s="3">
        <v>6340</v>
      </c>
      <c r="J67" s="3">
        <v>6340</v>
      </c>
    </row>
    <row r="68" spans="1:10" x14ac:dyDescent="0.2">
      <c r="A68" s="183" t="s">
        <v>811</v>
      </c>
      <c r="B68" s="2"/>
      <c r="D68" s="2">
        <v>800</v>
      </c>
      <c r="E68" s="3"/>
      <c r="F68" s="3"/>
      <c r="G68" s="3"/>
      <c r="H68" s="3"/>
      <c r="I68" s="3"/>
      <c r="J68" s="3"/>
    </row>
    <row r="69" spans="1:10" x14ac:dyDescent="0.2">
      <c r="A69" s="183" t="s">
        <v>1839</v>
      </c>
      <c r="B69" s="2"/>
      <c r="D69" s="2">
        <v>500</v>
      </c>
      <c r="E69" s="3"/>
      <c r="F69" s="3"/>
      <c r="G69" s="3"/>
      <c r="H69" s="3"/>
      <c r="I69" s="3"/>
      <c r="J69" s="3"/>
    </row>
    <row r="70" spans="1:10" x14ac:dyDescent="0.2">
      <c r="A70" s="183" t="s">
        <v>1693</v>
      </c>
      <c r="B70" s="2"/>
      <c r="D70" s="2">
        <v>3000</v>
      </c>
      <c r="E70" s="3"/>
      <c r="F70" s="3"/>
      <c r="G70" s="3"/>
      <c r="H70" s="3"/>
      <c r="I70" s="3"/>
      <c r="J70" s="3"/>
    </row>
    <row r="71" spans="1:10" ht="15" x14ac:dyDescent="0.35">
      <c r="A71" s="183" t="s">
        <v>185</v>
      </c>
      <c r="B71" s="2"/>
      <c r="D71" s="10">
        <f>(85*12)+(85*12)</f>
        <v>2040</v>
      </c>
      <c r="E71" s="3"/>
      <c r="F71" s="3"/>
      <c r="G71" s="3"/>
      <c r="H71" s="3"/>
      <c r="I71" s="3"/>
      <c r="J71" s="3"/>
    </row>
    <row r="72" spans="1:10" x14ac:dyDescent="0.2">
      <c r="A72" s="183" t="s">
        <v>1073</v>
      </c>
      <c r="B72" s="2"/>
      <c r="D72" s="2">
        <f>SUM(D68:D71)</f>
        <v>6340</v>
      </c>
      <c r="E72" s="3"/>
      <c r="F72" s="3"/>
      <c r="G72" s="3"/>
      <c r="H72" s="3"/>
      <c r="I72" s="3"/>
      <c r="J72" s="3"/>
    </row>
    <row r="73" spans="1:10" x14ac:dyDescent="0.2">
      <c r="A73" s="48"/>
      <c r="B73" s="48"/>
      <c r="C73" s="3"/>
      <c r="D73" s="3"/>
      <c r="E73" s="3"/>
      <c r="F73" s="3"/>
      <c r="G73" s="3"/>
      <c r="H73" s="3"/>
      <c r="I73" s="3"/>
      <c r="J73" s="3"/>
    </row>
    <row r="74" spans="1:10" x14ac:dyDescent="0.2">
      <c r="A74" s="185" t="s">
        <v>1063</v>
      </c>
      <c r="B74" s="48"/>
      <c r="C74" s="3"/>
      <c r="D74" s="3"/>
      <c r="E74" s="3">
        <v>1099</v>
      </c>
      <c r="F74" s="3">
        <v>3500</v>
      </c>
      <c r="G74" s="3">
        <v>3500</v>
      </c>
      <c r="H74" s="3">
        <v>3500</v>
      </c>
      <c r="I74" s="3">
        <v>3500</v>
      </c>
      <c r="J74" s="3">
        <v>3500</v>
      </c>
    </row>
    <row r="75" spans="1:10" x14ac:dyDescent="0.2">
      <c r="A75" s="48"/>
      <c r="B75" s="48"/>
      <c r="C75" s="3"/>
      <c r="D75" s="3"/>
      <c r="E75" s="3"/>
      <c r="F75" s="3"/>
      <c r="G75" s="3"/>
      <c r="H75" s="3"/>
      <c r="I75" s="3"/>
      <c r="J75" s="3"/>
    </row>
    <row r="76" spans="1:10" x14ac:dyDescent="0.2">
      <c r="A76" s="185" t="s">
        <v>1157</v>
      </c>
      <c r="B76" s="48"/>
      <c r="C76" s="3"/>
      <c r="D76" s="3">
        <v>0</v>
      </c>
      <c r="E76" s="3">
        <v>0</v>
      </c>
      <c r="F76" s="3">
        <v>0</v>
      </c>
      <c r="G76" s="3">
        <v>10000</v>
      </c>
      <c r="H76" s="3">
        <v>10000</v>
      </c>
      <c r="I76" s="3">
        <v>10000</v>
      </c>
      <c r="J76" s="3">
        <v>10000</v>
      </c>
    </row>
    <row r="77" spans="1:10" s="206" customFormat="1" x14ac:dyDescent="0.2">
      <c r="A77" s="122" t="s">
        <v>2016</v>
      </c>
      <c r="B77" s="48"/>
      <c r="C77" s="3">
        <v>10000</v>
      </c>
      <c r="D77" s="3"/>
      <c r="E77" s="3"/>
      <c r="F77" s="3"/>
      <c r="G77" s="3"/>
      <c r="H77" s="3"/>
      <c r="I77" s="3"/>
      <c r="J77" s="3"/>
    </row>
    <row r="78" spans="1:10" x14ac:dyDescent="0.2">
      <c r="A78" s="48"/>
      <c r="B78" s="48"/>
      <c r="C78" s="3"/>
      <c r="D78" s="3"/>
      <c r="E78" s="3"/>
      <c r="F78" s="3"/>
      <c r="G78" s="3"/>
      <c r="H78" s="3"/>
      <c r="I78" s="3"/>
      <c r="J78" s="3"/>
    </row>
    <row r="79" spans="1:10" x14ac:dyDescent="0.2">
      <c r="A79" s="65" t="s">
        <v>1064</v>
      </c>
      <c r="B79" s="48"/>
      <c r="C79" s="3"/>
      <c r="D79" s="3"/>
      <c r="E79" s="3">
        <v>1634</v>
      </c>
      <c r="F79" s="3">
        <v>1688</v>
      </c>
      <c r="G79" s="3">
        <v>1987</v>
      </c>
      <c r="H79" s="3">
        <v>1987</v>
      </c>
      <c r="I79" s="3">
        <v>1987</v>
      </c>
      <c r="J79" s="3">
        <v>1987</v>
      </c>
    </row>
    <row r="80" spans="1:10" x14ac:dyDescent="0.2">
      <c r="A80" s="48" t="s">
        <v>1694</v>
      </c>
      <c r="B80" s="48"/>
      <c r="C80" s="3"/>
      <c r="D80" s="217">
        <v>1987</v>
      </c>
      <c r="E80" s="3"/>
      <c r="F80" s="3"/>
      <c r="G80" s="3"/>
      <c r="H80" s="3"/>
      <c r="I80" s="3"/>
      <c r="J80" s="3"/>
    </row>
    <row r="81" spans="1:10" x14ac:dyDescent="0.2">
      <c r="A81" s="48"/>
      <c r="B81" s="48"/>
      <c r="C81" s="3"/>
      <c r="D81" s="3"/>
      <c r="E81" s="3"/>
      <c r="F81" s="3"/>
      <c r="G81" s="3"/>
      <c r="H81" s="3"/>
      <c r="I81" s="3"/>
      <c r="J81" s="3"/>
    </row>
    <row r="82" spans="1:10" x14ac:dyDescent="0.2">
      <c r="A82" s="185" t="s">
        <v>1065</v>
      </c>
      <c r="B82" s="48"/>
      <c r="C82" s="59" t="s">
        <v>345</v>
      </c>
      <c r="D82" s="59"/>
      <c r="E82" s="3">
        <v>0</v>
      </c>
      <c r="F82" s="3">
        <v>1500</v>
      </c>
      <c r="G82" s="3">
        <v>1500</v>
      </c>
      <c r="H82" s="3">
        <v>1500</v>
      </c>
      <c r="I82" s="3">
        <v>1500</v>
      </c>
      <c r="J82" s="3">
        <v>1500</v>
      </c>
    </row>
    <row r="83" spans="1:10" x14ac:dyDescent="0.2">
      <c r="A83" s="48"/>
      <c r="B83" s="48"/>
      <c r="C83" s="3"/>
      <c r="D83" s="3"/>
      <c r="E83" s="3"/>
      <c r="F83" s="3"/>
      <c r="G83" s="3"/>
      <c r="H83" s="3"/>
      <c r="I83" s="3"/>
      <c r="J83" s="3"/>
    </row>
    <row r="84" spans="1:10" x14ac:dyDescent="0.2">
      <c r="A84" s="185" t="s">
        <v>1066</v>
      </c>
      <c r="B84" s="48"/>
      <c r="C84" s="3"/>
      <c r="D84" s="3"/>
      <c r="E84" s="3">
        <v>2688</v>
      </c>
      <c r="F84" s="3">
        <v>2000</v>
      </c>
      <c r="G84" s="3">
        <v>2000</v>
      </c>
      <c r="H84" s="3">
        <v>2000</v>
      </c>
      <c r="I84" s="3">
        <v>2000</v>
      </c>
      <c r="J84" s="3">
        <v>2000</v>
      </c>
    </row>
    <row r="85" spans="1:10" x14ac:dyDescent="0.2">
      <c r="A85" s="48"/>
      <c r="B85" s="48"/>
      <c r="C85" s="3"/>
      <c r="D85" s="3"/>
      <c r="E85" s="3"/>
      <c r="F85" s="3"/>
      <c r="G85" s="3"/>
      <c r="H85" s="3"/>
      <c r="I85" s="3"/>
      <c r="J85" s="3"/>
    </row>
    <row r="86" spans="1:10" x14ac:dyDescent="0.2">
      <c r="A86" s="185" t="s">
        <v>604</v>
      </c>
      <c r="B86" s="48"/>
      <c r="C86" s="3"/>
      <c r="D86" s="3"/>
      <c r="E86" s="3">
        <v>520</v>
      </c>
      <c r="F86" s="3">
        <v>5000</v>
      </c>
      <c r="G86" s="3">
        <v>5000</v>
      </c>
      <c r="H86" s="3">
        <v>5000</v>
      </c>
      <c r="I86" s="3">
        <v>5000</v>
      </c>
      <c r="J86" s="3">
        <v>5000</v>
      </c>
    </row>
    <row r="87" spans="1:10" x14ac:dyDescent="0.2">
      <c r="A87" s="48"/>
      <c r="B87" s="48"/>
      <c r="C87" s="3"/>
      <c r="D87" s="3"/>
      <c r="E87" s="3"/>
      <c r="F87" s="3"/>
      <c r="G87" s="3"/>
      <c r="H87" s="3"/>
      <c r="I87" s="3"/>
      <c r="J87" s="3"/>
    </row>
    <row r="88" spans="1:10" x14ac:dyDescent="0.2">
      <c r="A88" s="185" t="s">
        <v>1067</v>
      </c>
      <c r="B88" s="48"/>
      <c r="C88" s="3"/>
      <c r="D88" s="3"/>
      <c r="E88" s="3">
        <v>0</v>
      </c>
      <c r="F88" s="3">
        <v>3000</v>
      </c>
      <c r="G88" s="3">
        <v>3000</v>
      </c>
      <c r="H88" s="3">
        <v>3000</v>
      </c>
      <c r="I88" s="3">
        <v>3000</v>
      </c>
      <c r="J88" s="3">
        <v>3000</v>
      </c>
    </row>
    <row r="89" spans="1:10" x14ac:dyDescent="0.2">
      <c r="A89" s="48"/>
      <c r="B89" s="48"/>
      <c r="C89" s="3"/>
      <c r="D89" s="3"/>
      <c r="E89" s="3"/>
      <c r="F89" s="3"/>
      <c r="G89" s="3"/>
      <c r="H89" s="3"/>
      <c r="I89" s="3"/>
      <c r="J89" s="3"/>
    </row>
    <row r="90" spans="1:10" x14ac:dyDescent="0.2">
      <c r="A90" s="185" t="s">
        <v>133</v>
      </c>
      <c r="B90" s="48"/>
      <c r="C90" s="3"/>
      <c r="D90" s="3"/>
      <c r="E90" s="3">
        <v>22561</v>
      </c>
      <c r="F90" s="2">
        <v>22945</v>
      </c>
      <c r="G90" s="2">
        <v>23806</v>
      </c>
      <c r="H90" s="2">
        <v>23806</v>
      </c>
      <c r="I90" s="2">
        <v>23806</v>
      </c>
      <c r="J90" s="2">
        <v>23806</v>
      </c>
    </row>
    <row r="91" spans="1:10" x14ac:dyDescent="0.2">
      <c r="A91" s="35" t="s">
        <v>1156</v>
      </c>
      <c r="B91" s="48"/>
      <c r="C91" s="3"/>
      <c r="D91" s="3">
        <v>21806</v>
      </c>
      <c r="E91" s="3"/>
      <c r="F91" s="3"/>
      <c r="G91" s="3"/>
      <c r="H91" s="3"/>
      <c r="I91" s="3"/>
      <c r="J91" s="3"/>
    </row>
    <row r="92" spans="1:10" ht="15" x14ac:dyDescent="0.35">
      <c r="A92" s="35" t="s">
        <v>1159</v>
      </c>
      <c r="B92" s="48"/>
      <c r="C92" s="3"/>
      <c r="D92" s="28">
        <v>2000</v>
      </c>
      <c r="E92" s="3"/>
      <c r="F92" s="3"/>
      <c r="G92" s="3"/>
      <c r="H92" s="3"/>
      <c r="I92" s="3"/>
      <c r="J92" s="3"/>
    </row>
    <row r="93" spans="1:10" x14ac:dyDescent="0.2">
      <c r="A93" s="35"/>
      <c r="B93" s="48"/>
      <c r="C93" s="3"/>
      <c r="D93" s="3">
        <f>SUM(D91:D92)</f>
        <v>23806</v>
      </c>
      <c r="E93" s="3"/>
      <c r="F93" s="3"/>
      <c r="G93" s="3"/>
      <c r="H93" s="3"/>
      <c r="I93" s="3"/>
      <c r="J93" s="3"/>
    </row>
    <row r="94" spans="1:10" x14ac:dyDescent="0.2">
      <c r="A94" s="48"/>
      <c r="B94" s="48"/>
      <c r="C94" s="3"/>
      <c r="D94" s="3"/>
      <c r="E94" s="3"/>
      <c r="F94" s="3"/>
      <c r="G94" s="3"/>
      <c r="H94" s="3"/>
      <c r="I94" s="3"/>
      <c r="J94" s="3"/>
    </row>
    <row r="95" spans="1:10" x14ac:dyDescent="0.2">
      <c r="A95" s="185" t="s">
        <v>134</v>
      </c>
      <c r="B95" s="48"/>
      <c r="C95" s="3"/>
      <c r="D95" s="3"/>
      <c r="E95" s="3">
        <v>0</v>
      </c>
      <c r="F95" s="3">
        <v>250</v>
      </c>
      <c r="G95" s="3">
        <v>250</v>
      </c>
      <c r="H95" s="3">
        <v>250</v>
      </c>
      <c r="I95" s="3">
        <v>250</v>
      </c>
      <c r="J95" s="3">
        <v>250</v>
      </c>
    </row>
    <row r="96" spans="1:10" x14ac:dyDescent="0.2">
      <c r="A96" s="48"/>
      <c r="B96" s="48"/>
      <c r="C96" s="3"/>
      <c r="D96" s="3"/>
      <c r="E96" s="3"/>
      <c r="F96" s="3"/>
      <c r="G96" s="3"/>
      <c r="H96" s="3"/>
      <c r="I96" s="3"/>
      <c r="J96" s="3"/>
    </row>
    <row r="97" spans="1:10" x14ac:dyDescent="0.2">
      <c r="A97" s="185" t="s">
        <v>1158</v>
      </c>
      <c r="B97" s="48"/>
      <c r="C97" s="3"/>
      <c r="D97" s="3"/>
      <c r="E97" s="3">
        <v>0</v>
      </c>
      <c r="F97" s="3">
        <v>100</v>
      </c>
      <c r="G97" s="3">
        <v>100</v>
      </c>
      <c r="H97" s="3">
        <v>100</v>
      </c>
      <c r="I97" s="3">
        <v>100</v>
      </c>
      <c r="J97" s="3">
        <v>100</v>
      </c>
    </row>
    <row r="98" spans="1:10" x14ac:dyDescent="0.2">
      <c r="A98" s="48"/>
      <c r="B98" s="48"/>
      <c r="C98" s="3"/>
      <c r="D98" s="3"/>
      <c r="E98" s="3"/>
      <c r="F98" s="3"/>
      <c r="G98" s="3"/>
      <c r="H98" s="3"/>
      <c r="I98" s="3"/>
      <c r="J98" s="3"/>
    </row>
    <row r="99" spans="1:10" x14ac:dyDescent="0.2">
      <c r="A99" s="185" t="s">
        <v>1604</v>
      </c>
      <c r="B99" s="48"/>
      <c r="C99" s="3"/>
      <c r="D99" s="3"/>
      <c r="E99" s="3">
        <v>10151</v>
      </c>
      <c r="F99" s="3">
        <v>0</v>
      </c>
      <c r="G99" s="3">
        <v>0</v>
      </c>
      <c r="H99" s="3">
        <v>0</v>
      </c>
      <c r="I99" s="3">
        <v>0</v>
      </c>
      <c r="J99" s="3">
        <v>0</v>
      </c>
    </row>
    <row r="100" spans="1:10" x14ac:dyDescent="0.2">
      <c r="A100" s="48"/>
      <c r="B100" s="48"/>
      <c r="C100" s="3"/>
      <c r="D100" s="3"/>
      <c r="E100" s="3"/>
      <c r="F100" s="3"/>
      <c r="G100" s="3"/>
      <c r="H100" s="3"/>
      <c r="I100" s="3"/>
      <c r="J100" s="3"/>
    </row>
    <row r="101" spans="1:10" ht="15" x14ac:dyDescent="0.35">
      <c r="A101" s="185" t="s">
        <v>135</v>
      </c>
      <c r="B101" s="199" t="s">
        <v>1757</v>
      </c>
      <c r="C101" s="199" t="s">
        <v>1838</v>
      </c>
      <c r="D101" s="184" t="s">
        <v>1977</v>
      </c>
      <c r="E101" s="28">
        <v>76999</v>
      </c>
      <c r="F101" s="28">
        <v>55000</v>
      </c>
      <c r="G101" s="28">
        <v>55000</v>
      </c>
      <c r="H101" s="28">
        <v>55000</v>
      </c>
      <c r="I101" s="28">
        <v>55000</v>
      </c>
      <c r="J101" s="28">
        <v>55000</v>
      </c>
    </row>
    <row r="102" spans="1:10" x14ac:dyDescent="0.2">
      <c r="A102" s="66" t="s">
        <v>968</v>
      </c>
      <c r="B102" s="75">
        <v>10000</v>
      </c>
      <c r="C102" s="75">
        <v>10000</v>
      </c>
      <c r="D102" s="75">
        <v>10000</v>
      </c>
      <c r="F102" s="2"/>
      <c r="H102" s="2"/>
      <c r="I102" s="2"/>
      <c r="J102" s="2"/>
    </row>
    <row r="103" spans="1:10" x14ac:dyDescent="0.2">
      <c r="A103" s="66" t="s">
        <v>1739</v>
      </c>
      <c r="B103" s="75">
        <v>5000</v>
      </c>
      <c r="C103" s="75">
        <v>5000</v>
      </c>
      <c r="D103" s="75">
        <v>5000</v>
      </c>
      <c r="G103" s="183"/>
      <c r="I103" s="231"/>
      <c r="J103" s="233"/>
    </row>
    <row r="104" spans="1:10" x14ac:dyDescent="0.2">
      <c r="A104" s="183" t="s">
        <v>1806</v>
      </c>
      <c r="B104" s="75">
        <v>20000</v>
      </c>
      <c r="C104" s="75"/>
      <c r="D104" s="75">
        <v>20000</v>
      </c>
      <c r="G104" s="183"/>
      <c r="I104" s="231"/>
      <c r="J104" s="233"/>
    </row>
    <row r="105" spans="1:10" x14ac:dyDescent="0.2">
      <c r="A105" s="66" t="s">
        <v>1740</v>
      </c>
      <c r="B105" s="75"/>
      <c r="C105" s="75"/>
      <c r="D105" s="75"/>
      <c r="G105" s="183"/>
      <c r="I105" s="231"/>
      <c r="J105" s="233"/>
    </row>
    <row r="106" spans="1:10" x14ac:dyDescent="0.2">
      <c r="A106" s="66" t="s">
        <v>1792</v>
      </c>
      <c r="B106" s="75">
        <v>20000</v>
      </c>
      <c r="C106" s="75"/>
      <c r="D106" s="75"/>
      <c r="G106" s="183"/>
      <c r="I106" s="231"/>
      <c r="J106" s="233"/>
    </row>
    <row r="107" spans="1:10" x14ac:dyDescent="0.2">
      <c r="A107" s="66" t="s">
        <v>1680</v>
      </c>
      <c r="B107" s="75"/>
      <c r="C107" s="75">
        <v>25000</v>
      </c>
      <c r="D107" s="75"/>
      <c r="G107" s="183"/>
      <c r="I107" s="231"/>
      <c r="J107" s="233"/>
    </row>
    <row r="108" spans="1:10" x14ac:dyDescent="0.2">
      <c r="A108" s="66" t="s">
        <v>2017</v>
      </c>
      <c r="B108" s="75"/>
      <c r="C108" s="75"/>
      <c r="D108" s="75">
        <v>20000</v>
      </c>
      <c r="G108" s="183"/>
      <c r="I108" s="231"/>
      <c r="J108" s="233"/>
    </row>
    <row r="109" spans="1:10" x14ac:dyDescent="0.2">
      <c r="A109" s="66" t="s">
        <v>1878</v>
      </c>
      <c r="B109" s="76">
        <v>0</v>
      </c>
      <c r="C109" s="76">
        <v>15000</v>
      </c>
      <c r="D109" s="76">
        <v>0</v>
      </c>
      <c r="F109" s="2"/>
      <c r="H109" s="2"/>
      <c r="I109" s="2"/>
      <c r="J109" s="2"/>
    </row>
    <row r="110" spans="1:10" x14ac:dyDescent="0.2">
      <c r="B110" s="40">
        <f>SUM(B102:B109)</f>
        <v>55000</v>
      </c>
      <c r="C110" s="40">
        <f>SUM(C102:C109)</f>
        <v>55000</v>
      </c>
      <c r="D110" s="40">
        <f>SUM(D102:D109)</f>
        <v>55000</v>
      </c>
      <c r="F110" s="2"/>
      <c r="H110" s="2"/>
      <c r="I110" s="2"/>
      <c r="J110" s="2"/>
    </row>
    <row r="111" spans="1:10" x14ac:dyDescent="0.2">
      <c r="F111" s="2"/>
      <c r="H111" s="2"/>
      <c r="I111" s="2"/>
      <c r="J111" s="2"/>
    </row>
    <row r="112" spans="1:10" x14ac:dyDescent="0.2">
      <c r="A112" s="19" t="s">
        <v>1151</v>
      </c>
      <c r="D112" s="2"/>
      <c r="E112" s="2">
        <f t="shared" ref="E112:J112" si="1">SUM(E6:E101)</f>
        <v>328938</v>
      </c>
      <c r="F112" s="2">
        <f t="shared" si="1"/>
        <v>330460</v>
      </c>
      <c r="G112" s="2">
        <f t="shared" si="1"/>
        <v>378926</v>
      </c>
      <c r="H112" s="2">
        <f t="shared" si="1"/>
        <v>378926</v>
      </c>
      <c r="I112" s="2">
        <f t="shared" si="1"/>
        <v>382268</v>
      </c>
      <c r="J112" s="2">
        <f t="shared" si="1"/>
        <v>382268</v>
      </c>
    </row>
    <row r="113" spans="1:10" x14ac:dyDescent="0.2">
      <c r="G113" s="183"/>
      <c r="I113" s="231"/>
    </row>
    <row r="114" spans="1:10" x14ac:dyDescent="0.2">
      <c r="A114" s="183" t="s">
        <v>519</v>
      </c>
      <c r="E114" s="2">
        <f>SUM(E6:E59)</f>
        <v>206953</v>
      </c>
      <c r="F114" s="2">
        <f>SUM(F6:F59)</f>
        <v>226637</v>
      </c>
      <c r="G114" s="2">
        <f>SUM(G6:G61)</f>
        <v>263943</v>
      </c>
      <c r="H114" s="2">
        <f>SUM(H6:H61)</f>
        <v>263943</v>
      </c>
      <c r="I114" s="2">
        <f>SUM(I6:I59)</f>
        <v>267285</v>
      </c>
      <c r="J114" s="2">
        <f>SUM(J6:J59)</f>
        <v>267285</v>
      </c>
    </row>
    <row r="115" spans="1:10" x14ac:dyDescent="0.2">
      <c r="A115" s="183" t="s">
        <v>809</v>
      </c>
      <c r="E115" s="2">
        <f t="shared" ref="E115:J115" si="2">SUM(E63:E97)</f>
        <v>34835</v>
      </c>
      <c r="F115" s="2">
        <f t="shared" si="2"/>
        <v>48823</v>
      </c>
      <c r="G115" s="2">
        <f t="shared" si="2"/>
        <v>59983</v>
      </c>
      <c r="H115" s="2">
        <f t="shared" si="2"/>
        <v>59983</v>
      </c>
      <c r="I115" s="2">
        <f t="shared" ref="I115" si="3">SUM(I63:I97)</f>
        <v>59983</v>
      </c>
      <c r="J115" s="2">
        <f t="shared" si="2"/>
        <v>59983</v>
      </c>
    </row>
    <row r="116" spans="1:10" ht="15" x14ac:dyDescent="0.35">
      <c r="A116" s="183" t="s">
        <v>810</v>
      </c>
      <c r="E116" s="10">
        <f t="shared" ref="E116:J116" si="4">SUM(E99:E110)</f>
        <v>87150</v>
      </c>
      <c r="F116" s="10">
        <f t="shared" si="4"/>
        <v>55000</v>
      </c>
      <c r="G116" s="10">
        <f t="shared" si="4"/>
        <v>55000</v>
      </c>
      <c r="H116" s="10">
        <f t="shared" si="4"/>
        <v>55000</v>
      </c>
      <c r="I116" s="10">
        <f t="shared" ref="I116" si="5">SUM(I99:I110)</f>
        <v>55000</v>
      </c>
      <c r="J116" s="10">
        <f t="shared" si="4"/>
        <v>55000</v>
      </c>
    </row>
    <row r="117" spans="1:10" x14ac:dyDescent="0.2">
      <c r="A117" s="183" t="s">
        <v>1073</v>
      </c>
      <c r="E117" s="2">
        <f t="shared" ref="E117:J117" si="6">SUM(E114:E116)</f>
        <v>328938</v>
      </c>
      <c r="F117" s="2">
        <f t="shared" si="6"/>
        <v>330460</v>
      </c>
      <c r="G117" s="2">
        <f t="shared" si="6"/>
        <v>378926</v>
      </c>
      <c r="H117" s="2">
        <f t="shared" si="6"/>
        <v>378926</v>
      </c>
      <c r="I117" s="2">
        <f t="shared" ref="I117" si="7">SUM(I114:I116)</f>
        <v>382268</v>
      </c>
      <c r="J117" s="2">
        <f t="shared" si="6"/>
        <v>382268</v>
      </c>
    </row>
    <row r="118" spans="1:10" x14ac:dyDescent="0.2">
      <c r="A118" s="48"/>
      <c r="E118" s="2"/>
      <c r="F118" s="2"/>
      <c r="H118" s="2"/>
      <c r="I118" s="2"/>
      <c r="J118" s="2"/>
    </row>
    <row r="119" spans="1:10" x14ac:dyDescent="0.2">
      <c r="A119" s="48"/>
      <c r="F119" s="2"/>
      <c r="H119" s="2"/>
      <c r="I119" s="2"/>
      <c r="J119" s="2"/>
    </row>
    <row r="120" spans="1:10" x14ac:dyDescent="0.2">
      <c r="A120" s="48"/>
      <c r="F120" s="2"/>
      <c r="H120" s="2"/>
      <c r="I120" s="2">
        <f>+I117-H117</f>
        <v>3342</v>
      </c>
      <c r="J120" s="2">
        <f>+J117-I117</f>
        <v>0</v>
      </c>
    </row>
    <row r="121" spans="1:10" x14ac:dyDescent="0.2">
      <c r="A121" s="48"/>
      <c r="F121" s="2"/>
      <c r="H121" s="2"/>
      <c r="I121" s="2"/>
      <c r="J121" s="2">
        <f>+J120-4667</f>
        <v>-4667</v>
      </c>
    </row>
    <row r="122" spans="1:10" ht="15.75" x14ac:dyDescent="0.2">
      <c r="A122" s="130"/>
      <c r="F122" s="2"/>
      <c r="H122" s="2"/>
      <c r="I122" s="2"/>
      <c r="J122" s="2"/>
    </row>
    <row r="123" spans="1:10" ht="15.75" x14ac:dyDescent="0.2">
      <c r="A123" s="130"/>
      <c r="F123" s="2"/>
      <c r="H123" s="2"/>
      <c r="I123" s="2"/>
      <c r="J123" s="2"/>
    </row>
    <row r="124" spans="1:10" ht="15.75" x14ac:dyDescent="0.2">
      <c r="A124" s="130"/>
      <c r="F124" s="2"/>
      <c r="H124" s="2"/>
      <c r="I124" s="2"/>
      <c r="J124" s="2"/>
    </row>
    <row r="125" spans="1:10" ht="15.75" x14ac:dyDescent="0.2">
      <c r="A125" s="130"/>
      <c r="F125" s="2"/>
      <c r="H125" s="2"/>
      <c r="I125" s="2"/>
      <c r="J125" s="2"/>
    </row>
    <row r="126" spans="1:10" ht="15.75" x14ac:dyDescent="0.2">
      <c r="A126" s="130"/>
      <c r="F126" s="2"/>
      <c r="H126" s="2"/>
      <c r="I126" s="2"/>
      <c r="J126" s="2"/>
    </row>
    <row r="127" spans="1:10" ht="15.75" x14ac:dyDescent="0.2">
      <c r="A127" s="130"/>
      <c r="F127" s="2"/>
      <c r="H127" s="2"/>
      <c r="I127" s="2"/>
      <c r="J127" s="2"/>
    </row>
    <row r="128" spans="1:10" x14ac:dyDescent="0.2">
      <c r="F128" s="2"/>
      <c r="H128" s="2"/>
      <c r="I128" s="2"/>
      <c r="J128" s="2"/>
    </row>
    <row r="129" spans="6:10" x14ac:dyDescent="0.2">
      <c r="F129" s="2"/>
      <c r="H129" s="2"/>
      <c r="I129" s="2"/>
      <c r="J129" s="2"/>
    </row>
    <row r="130" spans="6:10" x14ac:dyDescent="0.2">
      <c r="F130" s="2"/>
      <c r="H130" s="2"/>
      <c r="I130" s="2"/>
      <c r="J130" s="2"/>
    </row>
    <row r="131" spans="6:10" x14ac:dyDescent="0.2">
      <c r="F131" s="2"/>
      <c r="H131" s="2"/>
      <c r="I131" s="2"/>
      <c r="J131" s="2"/>
    </row>
    <row r="132" spans="6:10" x14ac:dyDescent="0.2">
      <c r="F132" s="2"/>
      <c r="H132" s="2"/>
      <c r="I132" s="2"/>
      <c r="J132" s="2"/>
    </row>
    <row r="133" spans="6:10" x14ac:dyDescent="0.2">
      <c r="F133" s="2"/>
      <c r="H133" s="2"/>
      <c r="I133" s="2"/>
      <c r="J133" s="2"/>
    </row>
    <row r="134" spans="6:10" x14ac:dyDescent="0.2">
      <c r="F134" s="2"/>
      <c r="H134" s="2"/>
      <c r="I134" s="2"/>
      <c r="J134" s="2"/>
    </row>
    <row r="135" spans="6:10" x14ac:dyDescent="0.2">
      <c r="F135" s="2"/>
      <c r="H135" s="2"/>
      <c r="I135" s="2"/>
      <c r="J135" s="2"/>
    </row>
    <row r="136" spans="6:10" x14ac:dyDescent="0.2">
      <c r="F136" s="2"/>
      <c r="H136" s="2"/>
      <c r="I136" s="2"/>
      <c r="J136" s="2"/>
    </row>
    <row r="137" spans="6:10" x14ac:dyDescent="0.2">
      <c r="F137" s="2"/>
      <c r="H137" s="2"/>
      <c r="I137" s="2"/>
      <c r="J137" s="2"/>
    </row>
    <row r="138" spans="6:10" x14ac:dyDescent="0.2">
      <c r="F138" s="2"/>
      <c r="H138" s="2"/>
      <c r="I138" s="2"/>
      <c r="J138" s="2"/>
    </row>
    <row r="139" spans="6:10" x14ac:dyDescent="0.2">
      <c r="F139" s="2"/>
      <c r="H139" s="2"/>
      <c r="I139" s="2"/>
      <c r="J139" s="2"/>
    </row>
    <row r="140" spans="6:10" x14ac:dyDescent="0.2">
      <c r="F140" s="2"/>
      <c r="H140" s="2"/>
      <c r="I140" s="2"/>
      <c r="J140" s="2"/>
    </row>
    <row r="141" spans="6:10" x14ac:dyDescent="0.2">
      <c r="F141" s="2"/>
      <c r="H141" s="2"/>
      <c r="I141" s="2"/>
      <c r="J141" s="2"/>
    </row>
    <row r="142" spans="6:10" x14ac:dyDescent="0.2">
      <c r="F142" s="2"/>
      <c r="H142" s="2"/>
      <c r="I142" s="2"/>
      <c r="J142" s="2"/>
    </row>
    <row r="143" spans="6:10" x14ac:dyDescent="0.2">
      <c r="F143" s="2"/>
      <c r="H143" s="2"/>
      <c r="I143" s="2"/>
      <c r="J143" s="2"/>
    </row>
    <row r="144" spans="6:10" x14ac:dyDescent="0.2">
      <c r="F144" s="2"/>
      <c r="H144" s="2"/>
      <c r="I144" s="2"/>
      <c r="J144" s="2"/>
    </row>
    <row r="145" spans="6:10" x14ac:dyDescent="0.2">
      <c r="F145" s="2"/>
      <c r="H145" s="2"/>
      <c r="I145" s="2"/>
      <c r="J145" s="2"/>
    </row>
    <row r="146" spans="6:10" x14ac:dyDescent="0.2">
      <c r="F146" s="2"/>
      <c r="H146" s="2"/>
      <c r="I146" s="2"/>
      <c r="J146" s="2"/>
    </row>
    <row r="147" spans="6:10" x14ac:dyDescent="0.2">
      <c r="F147" s="2"/>
      <c r="H147" s="2"/>
      <c r="I147" s="2"/>
      <c r="J147" s="2"/>
    </row>
    <row r="148" spans="6:10" x14ac:dyDescent="0.2">
      <c r="F148" s="2"/>
      <c r="H148" s="2"/>
      <c r="I148" s="2"/>
      <c r="J148" s="2"/>
    </row>
    <row r="149" spans="6:10" x14ac:dyDescent="0.2">
      <c r="F149" s="2"/>
      <c r="H149" s="2"/>
      <c r="I149" s="2"/>
      <c r="J149" s="2"/>
    </row>
    <row r="150" spans="6:10" x14ac:dyDescent="0.2">
      <c r="F150" s="2"/>
      <c r="H150" s="2"/>
      <c r="I150" s="2"/>
      <c r="J150" s="2"/>
    </row>
    <row r="151" spans="6:10" x14ac:dyDescent="0.2">
      <c r="H151" s="2"/>
      <c r="I151" s="2"/>
    </row>
    <row r="152" spans="6:10" x14ac:dyDescent="0.2">
      <c r="H152" s="2"/>
      <c r="I152" s="2"/>
    </row>
    <row r="153" spans="6:10" x14ac:dyDescent="0.2">
      <c r="H153" s="2"/>
      <c r="I153" s="2"/>
    </row>
    <row r="154" spans="6:10" x14ac:dyDescent="0.2">
      <c r="H154" s="2"/>
      <c r="I154" s="2"/>
    </row>
    <row r="155" spans="6:10" x14ac:dyDescent="0.2">
      <c r="H155" s="2"/>
      <c r="I155" s="2"/>
    </row>
    <row r="156" spans="6:10" x14ac:dyDescent="0.2">
      <c r="H156" s="2"/>
      <c r="I156" s="2"/>
    </row>
    <row r="157" spans="6:10" x14ac:dyDescent="0.2">
      <c r="H157" s="2"/>
      <c r="I157" s="2"/>
    </row>
    <row r="158" spans="6:10" x14ac:dyDescent="0.2">
      <c r="H158" s="2"/>
      <c r="I158" s="2"/>
    </row>
    <row r="159" spans="6:10" x14ac:dyDescent="0.2">
      <c r="H159" s="2"/>
      <c r="I159" s="2"/>
    </row>
    <row r="160" spans="6:10" x14ac:dyDescent="0.2">
      <c r="H160" s="2"/>
      <c r="I160" s="2"/>
    </row>
    <row r="161" spans="8:9" x14ac:dyDescent="0.2">
      <c r="H161" s="2"/>
      <c r="I161" s="2"/>
    </row>
    <row r="162" spans="8:9" x14ac:dyDescent="0.2">
      <c r="H162" s="2"/>
      <c r="I162" s="2"/>
    </row>
    <row r="163" spans="8:9" x14ac:dyDescent="0.2">
      <c r="H163" s="2"/>
      <c r="I163" s="2"/>
    </row>
    <row r="164" spans="8:9" x14ac:dyDescent="0.2">
      <c r="I164" s="231"/>
    </row>
    <row r="165" spans="8:9" x14ac:dyDescent="0.2">
      <c r="I165" s="231"/>
    </row>
    <row r="166" spans="8:9" x14ac:dyDescent="0.2">
      <c r="I166" s="231"/>
    </row>
    <row r="167" spans="8:9" x14ac:dyDescent="0.2">
      <c r="I167" s="231"/>
    </row>
    <row r="168" spans="8:9" x14ac:dyDescent="0.2">
      <c r="I168" s="231"/>
    </row>
    <row r="169" spans="8:9" x14ac:dyDescent="0.2">
      <c r="I169" s="231"/>
    </row>
    <row r="170" spans="8:9" x14ac:dyDescent="0.2">
      <c r="I170" s="231"/>
    </row>
    <row r="171" spans="8:9" x14ac:dyDescent="0.2">
      <c r="I171" s="231"/>
    </row>
    <row r="172" spans="8:9" x14ac:dyDescent="0.2">
      <c r="I172" s="231"/>
    </row>
    <row r="173" spans="8:9" x14ac:dyDescent="0.2">
      <c r="I173" s="231"/>
    </row>
    <row r="174" spans="8:9" x14ac:dyDescent="0.2">
      <c r="I174" s="231"/>
    </row>
    <row r="175" spans="8:9" x14ac:dyDescent="0.2">
      <c r="I175" s="231"/>
    </row>
    <row r="176" spans="8:9" x14ac:dyDescent="0.2">
      <c r="I176" s="231"/>
    </row>
    <row r="177" spans="9:9" x14ac:dyDescent="0.2">
      <c r="I177" s="231"/>
    </row>
    <row r="178" spans="9:9" x14ac:dyDescent="0.2">
      <c r="I178" s="231"/>
    </row>
    <row r="179" spans="9:9" x14ac:dyDescent="0.2">
      <c r="I179" s="231"/>
    </row>
    <row r="180" spans="9:9" x14ac:dyDescent="0.2">
      <c r="I180" s="231"/>
    </row>
    <row r="181" spans="9:9" x14ac:dyDescent="0.2">
      <c r="I181" s="231"/>
    </row>
    <row r="182" spans="9:9" x14ac:dyDescent="0.2">
      <c r="I182" s="231"/>
    </row>
    <row r="183" spans="9:9" x14ac:dyDescent="0.2">
      <c r="I183" s="231"/>
    </row>
    <row r="184" spans="9:9" x14ac:dyDescent="0.2">
      <c r="I184" s="231"/>
    </row>
    <row r="185" spans="9:9" x14ac:dyDescent="0.2">
      <c r="I185" s="231"/>
    </row>
    <row r="186" spans="9:9" x14ac:dyDescent="0.2">
      <c r="I186" s="231"/>
    </row>
    <row r="187" spans="9:9" x14ac:dyDescent="0.2">
      <c r="I187" s="231"/>
    </row>
    <row r="188" spans="9:9" x14ac:dyDescent="0.2">
      <c r="I188" s="231"/>
    </row>
    <row r="189" spans="9:9" x14ac:dyDescent="0.2">
      <c r="I189" s="231"/>
    </row>
    <row r="190" spans="9:9" x14ac:dyDescent="0.2">
      <c r="I190" s="231"/>
    </row>
    <row r="191" spans="9:9" x14ac:dyDescent="0.2">
      <c r="I191" s="231"/>
    </row>
    <row r="192" spans="9:9" x14ac:dyDescent="0.2">
      <c r="I192" s="231"/>
    </row>
    <row r="193" spans="9:9" x14ac:dyDescent="0.2">
      <c r="I193" s="231"/>
    </row>
    <row r="194" spans="9:9" x14ac:dyDescent="0.2">
      <c r="I194" s="231"/>
    </row>
    <row r="195" spans="9:9" x14ac:dyDescent="0.2">
      <c r="I195" s="231"/>
    </row>
    <row r="196" spans="9:9" x14ac:dyDescent="0.2">
      <c r="I196" s="231"/>
    </row>
    <row r="197" spans="9:9" x14ac:dyDescent="0.2">
      <c r="I197" s="231"/>
    </row>
    <row r="198" spans="9:9" x14ac:dyDescent="0.2">
      <c r="I198" s="231"/>
    </row>
    <row r="199" spans="9:9" x14ac:dyDescent="0.2">
      <c r="I199" s="231"/>
    </row>
    <row r="200" spans="9:9" x14ac:dyDescent="0.2">
      <c r="I200" s="231"/>
    </row>
    <row r="201" spans="9:9" x14ac:dyDescent="0.2">
      <c r="I201" s="231"/>
    </row>
    <row r="202" spans="9:9" x14ac:dyDescent="0.2">
      <c r="I202" s="231"/>
    </row>
    <row r="203" spans="9:9" x14ac:dyDescent="0.2">
      <c r="I203" s="231"/>
    </row>
    <row r="204" spans="9:9" x14ac:dyDescent="0.2">
      <c r="I204" s="231"/>
    </row>
    <row r="205" spans="9:9" x14ac:dyDescent="0.2">
      <c r="I205" s="231"/>
    </row>
    <row r="206" spans="9:9" x14ac:dyDescent="0.2">
      <c r="I206" s="231"/>
    </row>
    <row r="207" spans="9:9" x14ac:dyDescent="0.2">
      <c r="I207" s="231"/>
    </row>
    <row r="208" spans="9:9" x14ac:dyDescent="0.2">
      <c r="I208" s="231"/>
    </row>
    <row r="209" spans="9:9" x14ac:dyDescent="0.2">
      <c r="I209" s="231"/>
    </row>
    <row r="210" spans="9:9" x14ac:dyDescent="0.2">
      <c r="I210" s="231"/>
    </row>
    <row r="211" spans="9:9" x14ac:dyDescent="0.2">
      <c r="I211" s="231"/>
    </row>
    <row r="212" spans="9:9" x14ac:dyDescent="0.2">
      <c r="I212" s="231"/>
    </row>
    <row r="213" spans="9:9" x14ac:dyDescent="0.2">
      <c r="I213" s="231"/>
    </row>
    <row r="214" spans="9:9" x14ac:dyDescent="0.2">
      <c r="I214" s="231"/>
    </row>
    <row r="215" spans="9:9" x14ac:dyDescent="0.2">
      <c r="I215" s="231"/>
    </row>
    <row r="216" spans="9:9" x14ac:dyDescent="0.2">
      <c r="I216" s="231"/>
    </row>
    <row r="217" spans="9:9" x14ac:dyDescent="0.2">
      <c r="I217" s="231"/>
    </row>
    <row r="218" spans="9:9" x14ac:dyDescent="0.2">
      <c r="I218" s="231"/>
    </row>
    <row r="219" spans="9:9" x14ac:dyDescent="0.2">
      <c r="I219" s="231"/>
    </row>
    <row r="220" spans="9:9" x14ac:dyDescent="0.2">
      <c r="I220" s="231"/>
    </row>
    <row r="221" spans="9:9" x14ac:dyDescent="0.2">
      <c r="I221" s="231"/>
    </row>
    <row r="222" spans="9:9" x14ac:dyDescent="0.2">
      <c r="I222" s="231"/>
    </row>
    <row r="223" spans="9:9" x14ac:dyDescent="0.2">
      <c r="I223" s="231"/>
    </row>
    <row r="224" spans="9:9" x14ac:dyDescent="0.2">
      <c r="I224" s="231"/>
    </row>
    <row r="225" spans="9:9" x14ac:dyDescent="0.2">
      <c r="I225" s="231"/>
    </row>
    <row r="226" spans="9:9" x14ac:dyDescent="0.2">
      <c r="I226" s="231"/>
    </row>
    <row r="227" spans="9:9" x14ac:dyDescent="0.2">
      <c r="I227" s="231"/>
    </row>
    <row r="228" spans="9:9" x14ac:dyDescent="0.2">
      <c r="I228" s="231"/>
    </row>
    <row r="229" spans="9:9" x14ac:dyDescent="0.2">
      <c r="I229" s="231"/>
    </row>
    <row r="230" spans="9:9" x14ac:dyDescent="0.2">
      <c r="I230" s="231"/>
    </row>
    <row r="231" spans="9:9" x14ac:dyDescent="0.2">
      <c r="I231" s="231"/>
    </row>
    <row r="232" spans="9:9" x14ac:dyDescent="0.2">
      <c r="I232" s="231"/>
    </row>
    <row r="233" spans="9:9" x14ac:dyDescent="0.2">
      <c r="I233" s="231"/>
    </row>
    <row r="234" spans="9:9" x14ac:dyDescent="0.2">
      <c r="I234" s="231"/>
    </row>
    <row r="235" spans="9:9" x14ac:dyDescent="0.2">
      <c r="I235" s="231"/>
    </row>
    <row r="236" spans="9:9" x14ac:dyDescent="0.2">
      <c r="I236" s="231"/>
    </row>
    <row r="237" spans="9:9" x14ac:dyDescent="0.2">
      <c r="I237" s="231"/>
    </row>
    <row r="238" spans="9:9" x14ac:dyDescent="0.2">
      <c r="I238" s="231"/>
    </row>
    <row r="239" spans="9:9" x14ac:dyDescent="0.2">
      <c r="I239" s="231"/>
    </row>
    <row r="240" spans="9:9" x14ac:dyDescent="0.2">
      <c r="I240" s="231"/>
    </row>
    <row r="241" spans="9:9" x14ac:dyDescent="0.2">
      <c r="I241" s="231"/>
    </row>
    <row r="242" spans="9:9" x14ac:dyDescent="0.2">
      <c r="I242" s="231"/>
    </row>
    <row r="243" spans="9:9" x14ac:dyDescent="0.2">
      <c r="I243" s="231"/>
    </row>
    <row r="244" spans="9:9" x14ac:dyDescent="0.2">
      <c r="I244" s="231"/>
    </row>
    <row r="245" spans="9:9" x14ac:dyDescent="0.2">
      <c r="I245" s="231"/>
    </row>
    <row r="246" spans="9:9" x14ac:dyDescent="0.2">
      <c r="I246" s="231"/>
    </row>
    <row r="247" spans="9:9" x14ac:dyDescent="0.2">
      <c r="I247" s="231"/>
    </row>
  </sheetData>
  <mergeCells count="1">
    <mergeCell ref="A1:J1"/>
  </mergeCells>
  <phoneticPr fontId="0" type="noConversion"/>
  <printOptions gridLines="1"/>
  <pageMargins left="0.75" right="0.16" top="0.51" bottom="0.22" header="0.5" footer="0"/>
  <pageSetup scale="86" fitToHeight="16" orientation="landscape" r:id="rId1"/>
  <headerFooter alignWithMargins="0"/>
  <rowBreaks count="2" manualBreakCount="2">
    <brk id="66" max="9" man="1"/>
    <brk id="100" max="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30"/>
  <sheetViews>
    <sheetView view="pageBreakPreview" zoomScaleNormal="100" zoomScaleSheetLayoutView="100" workbookViewId="0">
      <pane ySplit="5" topLeftCell="A101" activePane="bottomLeft" state="frozen"/>
      <selection activeCell="D43" sqref="D43"/>
      <selection pane="bottomLeft" activeCell="A59" sqref="A59"/>
    </sheetView>
  </sheetViews>
  <sheetFormatPr defaultColWidth="8.85546875" defaultRowHeight="12.75" x14ac:dyDescent="0.2"/>
  <cols>
    <col min="1" max="1" width="57.140625" style="183" bestFit="1" customWidth="1"/>
    <col min="2" max="3" width="8.85546875" style="183" customWidth="1"/>
    <col min="4" max="4" width="11.140625" style="183" bestFit="1" customWidth="1"/>
    <col min="5" max="5" width="11.42578125" style="183" bestFit="1" customWidth="1"/>
    <col min="6" max="6" width="9.140625" style="183" bestFit="1" customWidth="1"/>
    <col min="7" max="7" width="11" style="183" bestFit="1" customWidth="1"/>
    <col min="8" max="8" width="12.7109375" style="183" customWidth="1"/>
    <col min="9" max="9" width="9.42578125" style="183" bestFit="1" customWidth="1"/>
    <col min="10" max="10" width="9.140625" style="183" bestFit="1" customWidth="1"/>
    <col min="11" max="16384" width="8.85546875" style="183"/>
  </cols>
  <sheetData>
    <row r="1" spans="1:10" x14ac:dyDescent="0.2">
      <c r="A1" s="254" t="e">
        <f>#REF!</f>
        <v>#REF!</v>
      </c>
      <c r="B1" s="254"/>
      <c r="C1" s="254"/>
      <c r="D1" s="254"/>
      <c r="E1" s="254"/>
      <c r="F1" s="254"/>
      <c r="G1" s="254"/>
      <c r="H1" s="254"/>
      <c r="I1" s="254"/>
      <c r="J1" s="254"/>
    </row>
    <row r="2" spans="1:10" ht="18.75" x14ac:dyDescent="0.3">
      <c r="A2" s="91" t="s">
        <v>1571</v>
      </c>
      <c r="B2" s="91"/>
      <c r="C2" s="91"/>
      <c r="D2" s="91"/>
      <c r="E2" s="91"/>
      <c r="F2" s="91"/>
    </row>
    <row r="3" spans="1:10" x14ac:dyDescent="0.2">
      <c r="B3" s="2"/>
      <c r="C3" s="2"/>
      <c r="D3" s="2"/>
      <c r="E3" s="2"/>
      <c r="F3" s="2"/>
    </row>
    <row r="4" spans="1:10" x14ac:dyDescent="0.2">
      <c r="B4" s="2"/>
      <c r="C4" s="2"/>
      <c r="D4" s="2"/>
      <c r="E4" s="15" t="s">
        <v>204</v>
      </c>
      <c r="F4" s="15" t="s">
        <v>205</v>
      </c>
      <c r="G4" s="15" t="s">
        <v>61</v>
      </c>
      <c r="H4" s="15" t="s">
        <v>358</v>
      </c>
      <c r="I4" s="15" t="s">
        <v>270</v>
      </c>
      <c r="J4" s="15" t="s">
        <v>301</v>
      </c>
    </row>
    <row r="5" spans="1:10" ht="15" x14ac:dyDescent="0.35">
      <c r="B5" s="2"/>
      <c r="C5" s="2"/>
      <c r="D5" s="2"/>
      <c r="E5" s="196" t="s">
        <v>1757</v>
      </c>
      <c r="F5" s="196" t="s">
        <v>1838</v>
      </c>
      <c r="G5" s="196" t="s">
        <v>1977</v>
      </c>
      <c r="H5" s="196" t="s">
        <v>1977</v>
      </c>
      <c r="I5" s="196" t="s">
        <v>1977</v>
      </c>
      <c r="J5" s="196" t="s">
        <v>1977</v>
      </c>
    </row>
    <row r="6" spans="1:10" ht="13.5" x14ac:dyDescent="0.25">
      <c r="A6" s="187" t="s">
        <v>1326</v>
      </c>
      <c r="B6" s="2"/>
      <c r="C6" s="2"/>
      <c r="D6" s="2"/>
      <c r="E6" s="2">
        <v>56319</v>
      </c>
      <c r="F6" s="2">
        <v>60102</v>
      </c>
      <c r="G6" s="2">
        <v>59124</v>
      </c>
      <c r="H6" s="2">
        <v>59124</v>
      </c>
      <c r="I6" s="2">
        <v>60632</v>
      </c>
      <c r="J6" s="2">
        <v>60632</v>
      </c>
    </row>
    <row r="7" spans="1:10" x14ac:dyDescent="0.2">
      <c r="A7" s="183" t="s">
        <v>1258</v>
      </c>
      <c r="B7" s="2">
        <v>52</v>
      </c>
      <c r="C7" s="2">
        <v>1166</v>
      </c>
      <c r="D7" s="2">
        <f>ROUND(B7*C7,0)</f>
        <v>60632</v>
      </c>
      <c r="E7" s="2"/>
      <c r="F7" s="2"/>
      <c r="G7" s="2"/>
      <c r="H7" s="2"/>
      <c r="I7" s="2"/>
      <c r="J7" s="2"/>
    </row>
    <row r="8" spans="1:10" ht="15" x14ac:dyDescent="0.35">
      <c r="A8" s="2" t="s">
        <v>824</v>
      </c>
      <c r="B8" s="2"/>
      <c r="C8" s="2"/>
      <c r="D8" s="10">
        <v>0</v>
      </c>
      <c r="E8" s="2"/>
      <c r="F8" s="2"/>
      <c r="G8" s="2"/>
      <c r="H8" s="2"/>
      <c r="I8" s="2"/>
      <c r="J8" s="2"/>
    </row>
    <row r="9" spans="1:10" x14ac:dyDescent="0.2">
      <c r="B9" s="2"/>
      <c r="C9" s="2"/>
      <c r="D9" s="2">
        <f>SUM(D7:D8)</f>
        <v>60632</v>
      </c>
      <c r="E9" s="2"/>
      <c r="F9" s="2"/>
      <c r="G9" s="2"/>
      <c r="H9" s="2"/>
      <c r="I9" s="2"/>
      <c r="J9" s="2"/>
    </row>
    <row r="10" spans="1:10" x14ac:dyDescent="0.2">
      <c r="B10" s="2"/>
      <c r="C10" s="2"/>
      <c r="D10" s="2"/>
      <c r="E10" s="2"/>
      <c r="F10" s="2"/>
      <c r="G10" s="2"/>
      <c r="H10" s="2"/>
      <c r="I10" s="2"/>
      <c r="J10" s="2"/>
    </row>
    <row r="11" spans="1:10" ht="13.5" x14ac:dyDescent="0.25">
      <c r="A11" s="187" t="s">
        <v>269</v>
      </c>
      <c r="B11" s="2"/>
      <c r="C11" s="2"/>
      <c r="D11" s="2"/>
      <c r="E11" s="2">
        <v>91718</v>
      </c>
      <c r="F11" s="2">
        <v>109922</v>
      </c>
      <c r="G11" s="2">
        <v>111280</v>
      </c>
      <c r="H11" s="2">
        <v>111280</v>
      </c>
      <c r="I11" s="2">
        <v>114088</v>
      </c>
      <c r="J11" s="2">
        <v>114088</v>
      </c>
    </row>
    <row r="12" spans="1:10" x14ac:dyDescent="0.2">
      <c r="A12" s="183" t="s">
        <v>281</v>
      </c>
      <c r="B12" s="2">
        <v>52</v>
      </c>
      <c r="C12" s="2">
        <v>1298</v>
      </c>
      <c r="D12" s="2">
        <f>ROUND(B12*C12,0)</f>
        <v>67496</v>
      </c>
      <c r="E12" s="2"/>
      <c r="F12" s="2"/>
      <c r="G12" s="2"/>
      <c r="H12" s="2"/>
      <c r="I12" s="2"/>
      <c r="J12" s="2"/>
    </row>
    <row r="13" spans="1:10" ht="15" x14ac:dyDescent="0.35">
      <c r="A13" s="183" t="s">
        <v>1327</v>
      </c>
      <c r="B13" s="2">
        <v>52</v>
      </c>
      <c r="C13" s="2">
        <v>896</v>
      </c>
      <c r="D13" s="10">
        <f>ROUND(B13*C13,0)</f>
        <v>46592</v>
      </c>
      <c r="E13" s="2"/>
      <c r="F13" s="10"/>
      <c r="G13" s="10"/>
      <c r="H13" s="10"/>
      <c r="I13" s="10"/>
      <c r="J13" s="10"/>
    </row>
    <row r="14" spans="1:10" x14ac:dyDescent="0.2">
      <c r="A14" s="183" t="s">
        <v>1073</v>
      </c>
      <c r="B14" s="2"/>
      <c r="C14" s="2"/>
      <c r="D14" s="2">
        <f>SUM(D12:D13)</f>
        <v>114088</v>
      </c>
      <c r="E14" s="2"/>
      <c r="F14" s="2"/>
      <c r="G14" s="2"/>
      <c r="H14" s="2"/>
      <c r="I14" s="2"/>
      <c r="J14" s="2"/>
    </row>
    <row r="15" spans="1:10" x14ac:dyDescent="0.2">
      <c r="B15" s="2"/>
      <c r="C15" s="2"/>
      <c r="D15" s="2"/>
      <c r="E15" s="2"/>
      <c r="F15" s="2"/>
      <c r="G15" s="2"/>
      <c r="H15" s="2"/>
      <c r="I15" s="2"/>
      <c r="J15" s="2"/>
    </row>
    <row r="16" spans="1:10" ht="13.5" x14ac:dyDescent="0.25">
      <c r="A16" s="187" t="s">
        <v>1828</v>
      </c>
      <c r="B16" s="2"/>
      <c r="C16" s="11"/>
      <c r="D16" s="2"/>
      <c r="E16" s="2">
        <v>810</v>
      </c>
      <c r="F16" s="2">
        <v>1003</v>
      </c>
      <c r="G16" s="2">
        <v>1024</v>
      </c>
      <c r="H16" s="2">
        <v>1024</v>
      </c>
      <c r="I16" s="2">
        <v>1050</v>
      </c>
      <c r="J16" s="2">
        <v>1050</v>
      </c>
    </row>
    <row r="17" spans="1:10" x14ac:dyDescent="0.2">
      <c r="A17" s="183" t="s">
        <v>1758</v>
      </c>
      <c r="B17" s="2">
        <v>25</v>
      </c>
      <c r="C17" s="11">
        <f>AVERAGE(C7,C12,C13)/40*1.5</f>
        <v>42</v>
      </c>
      <c r="D17" s="2">
        <f>+C17*B17</f>
        <v>1050</v>
      </c>
      <c r="E17" s="203"/>
      <c r="F17" s="203"/>
      <c r="G17" s="203"/>
      <c r="H17" s="227"/>
      <c r="I17" s="231"/>
      <c r="J17" s="233"/>
    </row>
    <row r="18" spans="1:10" x14ac:dyDescent="0.2">
      <c r="B18" s="2"/>
      <c r="C18" s="2"/>
      <c r="D18" s="2"/>
      <c r="E18" s="2"/>
      <c r="F18" s="2"/>
      <c r="G18" s="2"/>
      <c r="H18" s="2"/>
      <c r="I18" s="2"/>
      <c r="J18" s="2"/>
    </row>
    <row r="19" spans="1:10" x14ac:dyDescent="0.2">
      <c r="B19" s="2"/>
      <c r="C19" s="2"/>
      <c r="D19" s="2"/>
      <c r="E19" s="2"/>
      <c r="F19" s="2"/>
      <c r="G19" s="2"/>
      <c r="H19" s="2"/>
      <c r="I19" s="2"/>
      <c r="J19" s="2"/>
    </row>
    <row r="20" spans="1:10" ht="13.5" x14ac:dyDescent="0.25">
      <c r="A20" s="187" t="s">
        <v>111</v>
      </c>
      <c r="C20" s="203"/>
      <c r="D20" s="2"/>
      <c r="E20" s="2">
        <v>10930</v>
      </c>
      <c r="F20" s="2">
        <v>13084</v>
      </c>
      <c r="G20" s="2">
        <v>13114</v>
      </c>
      <c r="H20" s="2">
        <v>13114</v>
      </c>
      <c r="I20" s="2">
        <v>13446</v>
      </c>
      <c r="J20" s="2">
        <v>13446</v>
      </c>
    </row>
    <row r="21" spans="1:10" hidden="1" x14ac:dyDescent="0.2">
      <c r="A21" s="12" t="s">
        <v>1271</v>
      </c>
      <c r="B21" s="2">
        <f>+D9</f>
        <v>60632</v>
      </c>
      <c r="C21" s="13">
        <v>7.6499999999999999E-2</v>
      </c>
      <c r="D21" s="2">
        <f>ROUND(B21*C21,0)</f>
        <v>4638</v>
      </c>
      <c r="E21" s="2"/>
      <c r="F21" s="203"/>
      <c r="G21" s="203"/>
      <c r="H21" s="227"/>
      <c r="I21" s="231"/>
      <c r="J21" s="233"/>
    </row>
    <row r="22" spans="1:10" hidden="1" x14ac:dyDescent="0.2">
      <c r="A22" s="12" t="s">
        <v>688</v>
      </c>
      <c r="B22" s="2">
        <f>+D14</f>
        <v>114088</v>
      </c>
      <c r="C22" s="13">
        <v>7.6499999999999999E-2</v>
      </c>
      <c r="D22" s="2">
        <f>ROUND(B22*C22,0)</f>
        <v>8728</v>
      </c>
      <c r="E22" s="2"/>
      <c r="F22" s="203"/>
      <c r="G22" s="203"/>
      <c r="H22" s="227"/>
      <c r="I22" s="231"/>
      <c r="J22" s="233"/>
    </row>
    <row r="23" spans="1:10" ht="15" hidden="1" x14ac:dyDescent="0.35">
      <c r="A23" s="12" t="s">
        <v>156</v>
      </c>
      <c r="B23" s="2">
        <f>+D17</f>
        <v>1050</v>
      </c>
      <c r="C23" s="13">
        <v>7.6499999999999999E-2</v>
      </c>
      <c r="D23" s="10">
        <f>ROUND(B23*C23,0)</f>
        <v>80</v>
      </c>
      <c r="E23" s="10"/>
      <c r="F23" s="10"/>
      <c r="G23" s="10"/>
      <c r="H23" s="10"/>
      <c r="I23" s="10"/>
      <c r="J23" s="10"/>
    </row>
    <row r="24" spans="1:10" hidden="1" x14ac:dyDescent="0.2">
      <c r="A24" s="183" t="s">
        <v>1073</v>
      </c>
      <c r="B24" s="2"/>
      <c r="C24" s="203"/>
      <c r="D24" s="2">
        <f>SUM(D21:D23)</f>
        <v>13446</v>
      </c>
      <c r="E24" s="2"/>
      <c r="F24" s="2"/>
      <c r="G24" s="2"/>
      <c r="H24" s="2"/>
      <c r="I24" s="2"/>
      <c r="J24" s="2"/>
    </row>
    <row r="25" spans="1:10" x14ac:dyDescent="0.2">
      <c r="B25" s="2"/>
      <c r="C25" s="203"/>
      <c r="D25" s="2"/>
      <c r="E25" s="2"/>
      <c r="F25" s="2"/>
      <c r="G25" s="2"/>
      <c r="H25" s="2"/>
      <c r="I25" s="2"/>
      <c r="J25" s="2"/>
    </row>
    <row r="26" spans="1:10" ht="13.5" x14ac:dyDescent="0.25">
      <c r="A26" s="14" t="s">
        <v>1221</v>
      </c>
      <c r="B26" s="2"/>
      <c r="C26" s="203"/>
      <c r="D26" s="2"/>
      <c r="E26" s="2">
        <v>16717</v>
      </c>
      <c r="F26" s="2">
        <v>24046</v>
      </c>
      <c r="G26" s="2">
        <v>24103</v>
      </c>
      <c r="H26" s="2">
        <v>24103</v>
      </c>
      <c r="I26" s="2">
        <v>24714</v>
      </c>
      <c r="J26" s="2">
        <v>24714</v>
      </c>
    </row>
    <row r="27" spans="1:10" hidden="1" x14ac:dyDescent="0.2">
      <c r="A27" s="12" t="s">
        <v>1271</v>
      </c>
      <c r="B27" s="2">
        <f>+B21</f>
        <v>60632</v>
      </c>
      <c r="C27" s="189">
        <v>0.1406</v>
      </c>
      <c r="D27" s="2">
        <f>ROUND(B27*C27,0)</f>
        <v>8525</v>
      </c>
      <c r="E27" s="2"/>
      <c r="F27" s="2"/>
      <c r="G27" s="2"/>
      <c r="H27" s="2"/>
      <c r="I27" s="2"/>
      <c r="J27" s="2"/>
    </row>
    <row r="28" spans="1:10" ht="15" hidden="1" x14ac:dyDescent="0.35">
      <c r="A28" s="12" t="s">
        <v>688</v>
      </c>
      <c r="B28" s="2">
        <f>+D14</f>
        <v>114088</v>
      </c>
      <c r="C28" s="189">
        <v>0.1406</v>
      </c>
      <c r="D28" s="2">
        <f>ROUND(B28*C28,0)</f>
        <v>16041</v>
      </c>
      <c r="E28" s="10"/>
      <c r="F28" s="10"/>
      <c r="G28" s="10"/>
      <c r="H28" s="10"/>
      <c r="I28" s="10"/>
      <c r="J28" s="10"/>
    </row>
    <row r="29" spans="1:10" ht="15" hidden="1" x14ac:dyDescent="0.35">
      <c r="A29" s="12" t="s">
        <v>156</v>
      </c>
      <c r="B29" s="2">
        <f>+B23</f>
        <v>1050</v>
      </c>
      <c r="C29" s="189">
        <v>0.1406</v>
      </c>
      <c r="D29" s="10">
        <f>ROUND(B29*C29,0)</f>
        <v>148</v>
      </c>
      <c r="E29" s="10"/>
      <c r="F29" s="10"/>
      <c r="G29" s="10"/>
      <c r="H29" s="10"/>
      <c r="I29" s="10"/>
      <c r="J29" s="10"/>
    </row>
    <row r="30" spans="1:10" hidden="1" x14ac:dyDescent="0.2">
      <c r="A30" s="183" t="s">
        <v>1073</v>
      </c>
      <c r="C30" s="203"/>
      <c r="D30" s="2">
        <f>SUM(D27:D29)</f>
        <v>24714</v>
      </c>
      <c r="E30" s="2"/>
      <c r="F30" s="2"/>
      <c r="G30" s="2"/>
      <c r="H30" s="2"/>
      <c r="I30" s="2"/>
      <c r="J30" s="2"/>
    </row>
    <row r="31" spans="1:10" x14ac:dyDescent="0.2">
      <c r="C31" s="203"/>
      <c r="D31" s="2"/>
      <c r="E31" s="2"/>
      <c r="F31" s="2"/>
      <c r="G31" s="2"/>
      <c r="H31" s="2"/>
      <c r="I31" s="2"/>
      <c r="J31" s="2"/>
    </row>
    <row r="32" spans="1:10" ht="13.5" x14ac:dyDescent="0.25">
      <c r="A32" s="187" t="s">
        <v>1312</v>
      </c>
      <c r="C32" s="203"/>
      <c r="D32" s="2"/>
      <c r="E32" s="2">
        <v>58386</v>
      </c>
      <c r="F32" s="2">
        <v>59250</v>
      </c>
      <c r="G32" s="2">
        <v>58500</v>
      </c>
      <c r="H32" s="2">
        <v>58500</v>
      </c>
      <c r="I32" s="2">
        <v>57000</v>
      </c>
      <c r="J32" s="2">
        <v>57000</v>
      </c>
    </row>
    <row r="33" spans="1:10" hidden="1" x14ac:dyDescent="0.2">
      <c r="A33" s="183" t="s">
        <v>365</v>
      </c>
      <c r="B33" s="2">
        <v>3</v>
      </c>
      <c r="C33" s="2">
        <v>19000</v>
      </c>
      <c r="D33" s="2">
        <f>ROUND(B33*C33,0)</f>
        <v>57000</v>
      </c>
      <c r="E33" s="2"/>
      <c r="F33" s="2"/>
      <c r="G33" s="2"/>
      <c r="H33" s="2"/>
      <c r="I33" s="2"/>
      <c r="J33" s="2"/>
    </row>
    <row r="34" spans="1:10" x14ac:dyDescent="0.2">
      <c r="C34" s="203"/>
      <c r="D34" s="2"/>
      <c r="E34" s="2"/>
      <c r="F34" s="2"/>
      <c r="G34" s="2"/>
      <c r="H34" s="2"/>
      <c r="I34" s="2"/>
      <c r="J34" s="2"/>
    </row>
    <row r="35" spans="1:10" ht="13.5" x14ac:dyDescent="0.25">
      <c r="A35" s="187" t="s">
        <v>290</v>
      </c>
      <c r="C35" s="203"/>
      <c r="D35" s="2"/>
      <c r="E35" s="2">
        <v>3520</v>
      </c>
      <c r="F35" s="2">
        <v>3780</v>
      </c>
      <c r="G35" s="2">
        <v>3713</v>
      </c>
      <c r="H35" s="2">
        <v>3713</v>
      </c>
      <c r="I35" s="2">
        <v>3713</v>
      </c>
      <c r="J35" s="2">
        <v>3713</v>
      </c>
    </row>
    <row r="36" spans="1:10" hidden="1" x14ac:dyDescent="0.2">
      <c r="A36" s="2" t="s">
        <v>365</v>
      </c>
      <c r="B36" s="2">
        <v>3</v>
      </c>
      <c r="C36" s="2">
        <v>1375</v>
      </c>
      <c r="D36" s="2">
        <f>ROUND(B36*C36,0)</f>
        <v>4125</v>
      </c>
      <c r="E36" s="2"/>
      <c r="F36" s="2"/>
      <c r="G36" s="2"/>
      <c r="H36" s="2"/>
      <c r="I36" s="2"/>
      <c r="J36" s="2"/>
    </row>
    <row r="37" spans="1:10" ht="15" hidden="1" x14ac:dyDescent="0.35">
      <c r="A37" s="2" t="s">
        <v>198</v>
      </c>
      <c r="B37" s="2"/>
      <c r="C37" s="2"/>
      <c r="D37" s="10">
        <f>-C36*0.1*B36</f>
        <v>-412.5</v>
      </c>
      <c r="E37" s="2"/>
      <c r="F37" s="2"/>
      <c r="G37" s="2"/>
      <c r="H37" s="2"/>
      <c r="I37" s="2"/>
      <c r="J37" s="2"/>
    </row>
    <row r="38" spans="1:10" hidden="1" x14ac:dyDescent="0.2">
      <c r="A38" s="183" t="s">
        <v>683</v>
      </c>
      <c r="C38" s="203"/>
      <c r="D38" s="2">
        <f>SUM(D36:D37)</f>
        <v>3712.5</v>
      </c>
      <c r="E38" s="2"/>
      <c r="F38" s="2"/>
      <c r="G38" s="2"/>
      <c r="H38" s="2"/>
      <c r="I38" s="2"/>
      <c r="J38" s="2"/>
    </row>
    <row r="39" spans="1:10" s="236" customFormat="1" x14ac:dyDescent="0.2">
      <c r="D39" s="2"/>
      <c r="E39" s="2"/>
      <c r="F39" s="2"/>
      <c r="G39" s="2"/>
      <c r="H39" s="2"/>
      <c r="I39" s="2"/>
      <c r="J39" s="2"/>
    </row>
    <row r="40" spans="1:10" ht="13.5" x14ac:dyDescent="0.25">
      <c r="A40" s="187" t="s">
        <v>1133</v>
      </c>
      <c r="C40" s="203"/>
      <c r="D40" s="2"/>
      <c r="E40" s="2">
        <v>356</v>
      </c>
      <c r="F40" s="2">
        <v>405</v>
      </c>
      <c r="G40" s="2">
        <v>405</v>
      </c>
      <c r="H40" s="2">
        <v>405</v>
      </c>
      <c r="I40" s="2">
        <v>405</v>
      </c>
      <c r="J40" s="2">
        <v>405</v>
      </c>
    </row>
    <row r="41" spans="1:10" hidden="1" x14ac:dyDescent="0.2">
      <c r="A41" s="183" t="s">
        <v>1218</v>
      </c>
      <c r="B41" s="2">
        <v>3</v>
      </c>
      <c r="C41" s="2">
        <v>135</v>
      </c>
      <c r="D41" s="2">
        <f>ROUND(B41*C41,0)</f>
        <v>405</v>
      </c>
      <c r="E41" s="2"/>
      <c r="F41" s="2"/>
      <c r="G41" s="2"/>
      <c r="H41" s="2"/>
      <c r="I41" s="2"/>
      <c r="J41" s="2"/>
    </row>
    <row r="42" spans="1:10" x14ac:dyDescent="0.2">
      <c r="C42" s="203"/>
      <c r="D42" s="2"/>
      <c r="E42" s="2"/>
      <c r="F42" s="2"/>
      <c r="G42" s="2"/>
      <c r="H42" s="2"/>
      <c r="I42" s="2"/>
      <c r="J42" s="2"/>
    </row>
    <row r="43" spans="1:10" ht="13.5" x14ac:dyDescent="0.25">
      <c r="A43" s="187" t="s">
        <v>1134</v>
      </c>
      <c r="C43" s="203"/>
      <c r="D43" s="2"/>
      <c r="E43" s="2">
        <v>1831</v>
      </c>
      <c r="F43" s="2">
        <v>1650</v>
      </c>
      <c r="G43" s="2">
        <v>1575</v>
      </c>
      <c r="H43" s="2">
        <v>1575</v>
      </c>
      <c r="I43" s="2">
        <v>1575</v>
      </c>
      <c r="J43" s="2">
        <v>1575</v>
      </c>
    </row>
    <row r="44" spans="1:10" hidden="1" x14ac:dyDescent="0.2">
      <c r="A44" s="183" t="s">
        <v>705</v>
      </c>
      <c r="B44" s="2">
        <v>3</v>
      </c>
      <c r="C44" s="2">
        <v>525</v>
      </c>
      <c r="D44" s="2">
        <f>ROUND(B44*C44,0)</f>
        <v>1575</v>
      </c>
      <c r="E44" s="2"/>
      <c r="F44" s="2"/>
      <c r="G44" s="2"/>
      <c r="H44" s="2"/>
      <c r="I44" s="2"/>
      <c r="J44" s="2"/>
    </row>
    <row r="45" spans="1:10" x14ac:dyDescent="0.2">
      <c r="C45" s="203"/>
      <c r="D45" s="2"/>
      <c r="E45" s="2"/>
      <c r="F45" s="2"/>
      <c r="G45" s="2"/>
      <c r="H45" s="2"/>
      <c r="I45" s="2"/>
      <c r="J45" s="2"/>
    </row>
    <row r="46" spans="1:10" ht="13.5" x14ac:dyDescent="0.25">
      <c r="A46" s="187" t="s">
        <v>1135</v>
      </c>
      <c r="C46" s="203"/>
      <c r="D46" s="2"/>
      <c r="E46" s="2">
        <v>2001</v>
      </c>
      <c r="F46" s="2">
        <v>2647</v>
      </c>
      <c r="G46" s="2">
        <v>2496</v>
      </c>
      <c r="H46" s="2">
        <v>2496</v>
      </c>
      <c r="I46" s="2">
        <v>2560</v>
      </c>
      <c r="J46" s="2">
        <v>2560</v>
      </c>
    </row>
    <row r="47" spans="1:10" hidden="1" x14ac:dyDescent="0.2">
      <c r="A47" s="12" t="s">
        <v>1271</v>
      </c>
      <c r="B47" s="2">
        <f>+D9</f>
        <v>60632</v>
      </c>
      <c r="C47" s="13">
        <v>3.8899999999999997E-2</v>
      </c>
      <c r="D47" s="2">
        <f>ROUND(B47*C47,0)</f>
        <v>2359</v>
      </c>
      <c r="E47" s="2"/>
      <c r="F47" s="2"/>
      <c r="G47" s="2"/>
      <c r="H47" s="2"/>
      <c r="I47" s="2"/>
      <c r="J47" s="2"/>
    </row>
    <row r="48" spans="1:10" ht="15" hidden="1" x14ac:dyDescent="0.35">
      <c r="A48" s="12" t="s">
        <v>688</v>
      </c>
      <c r="B48" s="2">
        <f>+D14</f>
        <v>114088</v>
      </c>
      <c r="C48" s="13">
        <v>1.74E-3</v>
      </c>
      <c r="D48" s="2">
        <f>ROUND(B48*C48,0)</f>
        <v>199</v>
      </c>
      <c r="E48" s="10"/>
      <c r="F48" s="10"/>
      <c r="G48" s="10"/>
      <c r="H48" s="10"/>
      <c r="I48" s="10"/>
      <c r="J48" s="10"/>
    </row>
    <row r="49" spans="1:10" ht="15" hidden="1" x14ac:dyDescent="0.35">
      <c r="A49" s="12" t="s">
        <v>156</v>
      </c>
      <c r="B49" s="2">
        <f>+B29</f>
        <v>1050</v>
      </c>
      <c r="C49" s="13">
        <v>1.74E-3</v>
      </c>
      <c r="D49" s="10">
        <f>ROUND(B49*C49,0)</f>
        <v>2</v>
      </c>
      <c r="E49" s="10"/>
      <c r="F49" s="10"/>
      <c r="G49" s="10"/>
      <c r="H49" s="10"/>
      <c r="I49" s="10"/>
      <c r="J49" s="10"/>
    </row>
    <row r="50" spans="1:10" hidden="1" x14ac:dyDescent="0.2">
      <c r="A50" s="183" t="s">
        <v>1073</v>
      </c>
      <c r="C50" s="203"/>
      <c r="D50" s="2">
        <f>SUM(D47:D49)</f>
        <v>2560</v>
      </c>
      <c r="E50" s="2"/>
      <c r="F50" s="2"/>
      <c r="G50" s="2"/>
      <c r="H50" s="2"/>
      <c r="I50" s="2"/>
      <c r="J50" s="2"/>
    </row>
    <row r="51" spans="1:10" x14ac:dyDescent="0.2">
      <c r="C51" s="203"/>
      <c r="D51" s="2"/>
      <c r="E51" s="2"/>
      <c r="F51" s="2"/>
      <c r="G51" s="2"/>
      <c r="H51" s="2"/>
      <c r="I51" s="2"/>
      <c r="J51" s="2"/>
    </row>
    <row r="52" spans="1:10" ht="13.5" x14ac:dyDescent="0.25">
      <c r="A52" s="187" t="s">
        <v>10</v>
      </c>
      <c r="C52" s="203"/>
      <c r="D52" s="2"/>
      <c r="E52" s="2">
        <v>77</v>
      </c>
      <c r="F52" s="2">
        <v>60</v>
      </c>
      <c r="G52" s="2">
        <v>60</v>
      </c>
      <c r="H52" s="2">
        <v>60</v>
      </c>
      <c r="I52" s="2">
        <v>60</v>
      </c>
      <c r="J52" s="2">
        <v>60</v>
      </c>
    </row>
    <row r="53" spans="1:10" hidden="1" x14ac:dyDescent="0.2">
      <c r="A53" s="12" t="s">
        <v>1271</v>
      </c>
      <c r="B53" s="2">
        <v>1</v>
      </c>
      <c r="C53" s="2">
        <v>20</v>
      </c>
      <c r="D53" s="2">
        <f>ROUND(B53*C53,0)</f>
        <v>20</v>
      </c>
      <c r="E53" s="2"/>
      <c r="F53" s="2"/>
      <c r="G53" s="2"/>
      <c r="H53" s="2"/>
      <c r="I53" s="2"/>
      <c r="J53" s="2"/>
    </row>
    <row r="54" spans="1:10" ht="15" hidden="1" x14ac:dyDescent="0.35">
      <c r="A54" s="12" t="s">
        <v>688</v>
      </c>
      <c r="B54" s="2">
        <v>2</v>
      </c>
      <c r="C54" s="2">
        <v>20</v>
      </c>
      <c r="D54" s="10">
        <f>ROUND(B54*C54,0)</f>
        <v>40</v>
      </c>
      <c r="E54" s="10"/>
      <c r="F54" s="10"/>
      <c r="G54" s="10"/>
      <c r="H54" s="10"/>
      <c r="I54" s="10"/>
      <c r="J54" s="10"/>
    </row>
    <row r="55" spans="1:10" hidden="1" x14ac:dyDescent="0.2">
      <c r="A55" s="183" t="s">
        <v>1073</v>
      </c>
      <c r="C55" s="203"/>
      <c r="D55" s="2">
        <f>SUM(D53:D54)</f>
        <v>60</v>
      </c>
      <c r="E55" s="2"/>
      <c r="F55" s="2"/>
      <c r="G55" s="2"/>
      <c r="H55" s="2"/>
      <c r="I55" s="2"/>
      <c r="J55" s="2"/>
    </row>
    <row r="56" spans="1:10" x14ac:dyDescent="0.2">
      <c r="C56" s="203"/>
      <c r="D56" s="2"/>
      <c r="E56" s="2"/>
      <c r="F56" s="2"/>
      <c r="G56" s="2"/>
      <c r="H56" s="2"/>
      <c r="I56" s="2"/>
      <c r="J56" s="2"/>
    </row>
    <row r="57" spans="1:10" ht="13.5" x14ac:dyDescent="0.25">
      <c r="A57" s="187" t="s">
        <v>1042</v>
      </c>
      <c r="C57" s="203"/>
      <c r="D57" s="2"/>
      <c r="E57" s="2">
        <v>1223</v>
      </c>
      <c r="F57" s="2">
        <v>2000</v>
      </c>
      <c r="G57" s="2">
        <v>2000</v>
      </c>
      <c r="H57" s="2">
        <v>2000</v>
      </c>
      <c r="I57" s="2">
        <v>2000</v>
      </c>
      <c r="J57" s="2">
        <v>2000</v>
      </c>
    </row>
    <row r="58" spans="1:10" x14ac:dyDescent="0.2">
      <c r="A58" s="183" t="s">
        <v>1043</v>
      </c>
      <c r="C58" s="2"/>
      <c r="D58" s="2">
        <v>2000</v>
      </c>
      <c r="E58" s="2"/>
      <c r="F58" s="2"/>
      <c r="G58" s="2"/>
      <c r="H58" s="2"/>
      <c r="I58" s="2"/>
      <c r="J58" s="2"/>
    </row>
    <row r="59" spans="1:10" x14ac:dyDescent="0.2">
      <c r="C59" s="2"/>
      <c r="D59" s="2"/>
      <c r="E59" s="2"/>
      <c r="F59" s="2"/>
      <c r="G59" s="2"/>
      <c r="H59" s="2"/>
      <c r="I59" s="2"/>
      <c r="J59" s="2"/>
    </row>
    <row r="60" spans="1:10" ht="13.5" x14ac:dyDescent="0.25">
      <c r="A60" s="187" t="s">
        <v>11</v>
      </c>
      <c r="C60" s="7"/>
      <c r="D60" s="7" t="s">
        <v>345</v>
      </c>
      <c r="E60" s="2">
        <v>514</v>
      </c>
      <c r="F60" s="2">
        <v>1000</v>
      </c>
      <c r="G60" s="2">
        <v>1000</v>
      </c>
      <c r="H60" s="2">
        <v>1000</v>
      </c>
      <c r="I60" s="2">
        <v>1000</v>
      </c>
      <c r="J60" s="2">
        <v>1000</v>
      </c>
    </row>
    <row r="61" spans="1:10" x14ac:dyDescent="0.2">
      <c r="A61" s="5" t="s">
        <v>1238</v>
      </c>
      <c r="B61" s="5"/>
      <c r="C61" s="2"/>
      <c r="D61" s="2">
        <v>1000</v>
      </c>
      <c r="E61" s="2"/>
      <c r="F61" s="2"/>
      <c r="G61" s="2"/>
      <c r="H61" s="2"/>
      <c r="I61" s="2"/>
      <c r="J61" s="2"/>
    </row>
    <row r="62" spans="1:10" ht="15" x14ac:dyDescent="0.35">
      <c r="C62" s="2"/>
      <c r="D62" s="2"/>
      <c r="E62" s="2"/>
      <c r="F62" s="10"/>
      <c r="G62" s="10"/>
      <c r="H62" s="10"/>
      <c r="I62" s="10"/>
      <c r="J62" s="10"/>
    </row>
    <row r="63" spans="1:10" ht="13.5" x14ac:dyDescent="0.25">
      <c r="A63" s="187" t="s">
        <v>12</v>
      </c>
      <c r="C63" s="2"/>
      <c r="D63" s="2">
        <v>450</v>
      </c>
      <c r="E63" s="2">
        <v>445</v>
      </c>
      <c r="F63" s="2">
        <v>400</v>
      </c>
      <c r="G63" s="2">
        <v>450</v>
      </c>
      <c r="H63" s="2">
        <v>450</v>
      </c>
      <c r="I63" s="2">
        <v>450</v>
      </c>
      <c r="J63" s="2">
        <v>450</v>
      </c>
    </row>
    <row r="64" spans="1:10" x14ac:dyDescent="0.2">
      <c r="A64" s="183" t="s">
        <v>975</v>
      </c>
      <c r="C64" s="2"/>
      <c r="D64" s="2"/>
      <c r="E64" s="2"/>
      <c r="F64" s="2"/>
      <c r="G64" s="2"/>
      <c r="H64" s="2"/>
      <c r="I64" s="2"/>
      <c r="J64" s="2"/>
    </row>
    <row r="65" spans="1:10" x14ac:dyDescent="0.2">
      <c r="C65" s="2"/>
      <c r="D65" s="2"/>
      <c r="E65" s="2"/>
      <c r="F65" s="2"/>
      <c r="G65" s="2"/>
      <c r="H65" s="2"/>
      <c r="I65" s="2"/>
      <c r="J65" s="2"/>
    </row>
    <row r="66" spans="1:10" ht="13.5" x14ac:dyDescent="0.25">
      <c r="A66" s="187" t="s">
        <v>1293</v>
      </c>
      <c r="C66" s="2"/>
      <c r="D66" s="2"/>
      <c r="E66" s="2">
        <v>790</v>
      </c>
      <c r="F66" s="2">
        <v>600</v>
      </c>
      <c r="G66" s="2">
        <v>700</v>
      </c>
      <c r="H66" s="2">
        <v>700</v>
      </c>
      <c r="I66" s="2">
        <v>700</v>
      </c>
      <c r="J66" s="2">
        <v>700</v>
      </c>
    </row>
    <row r="67" spans="1:10" x14ac:dyDescent="0.2">
      <c r="A67" s="183" t="s">
        <v>1781</v>
      </c>
      <c r="B67" s="2"/>
      <c r="C67" s="2"/>
      <c r="D67" s="2">
        <v>700</v>
      </c>
      <c r="E67" s="2"/>
      <c r="F67" s="2"/>
      <c r="G67" s="2"/>
      <c r="H67" s="2"/>
      <c r="I67" s="2"/>
      <c r="J67" s="2"/>
    </row>
    <row r="68" spans="1:10" x14ac:dyDescent="0.2">
      <c r="B68" s="2"/>
      <c r="C68" s="2"/>
      <c r="D68" s="2"/>
      <c r="E68" s="2"/>
      <c r="F68" s="2"/>
      <c r="G68" s="2"/>
      <c r="H68" s="2"/>
      <c r="I68" s="2"/>
      <c r="J68" s="2"/>
    </row>
    <row r="69" spans="1:10" ht="13.5" x14ac:dyDescent="0.25">
      <c r="A69" s="187" t="s">
        <v>626</v>
      </c>
      <c r="B69" s="2"/>
      <c r="C69" s="2"/>
      <c r="D69" s="2"/>
      <c r="E69" s="2">
        <v>248</v>
      </c>
      <c r="F69" s="2">
        <v>270</v>
      </c>
      <c r="G69" s="2">
        <v>314</v>
      </c>
      <c r="H69" s="2">
        <v>314</v>
      </c>
      <c r="I69" s="2">
        <v>314</v>
      </c>
      <c r="J69" s="2">
        <v>314</v>
      </c>
    </row>
    <row r="70" spans="1:10" x14ac:dyDescent="0.2">
      <c r="A70" s="183" t="s">
        <v>627</v>
      </c>
      <c r="B70" s="2">
        <v>110</v>
      </c>
      <c r="C70" s="11">
        <v>2.85</v>
      </c>
      <c r="D70" s="2">
        <f>+B70*C70</f>
        <v>313.5</v>
      </c>
      <c r="E70" s="203"/>
      <c r="F70" s="203"/>
      <c r="G70" s="203"/>
      <c r="H70" s="227"/>
      <c r="I70" s="231"/>
      <c r="J70" s="233"/>
    </row>
    <row r="71" spans="1:10" x14ac:dyDescent="0.2">
      <c r="C71" s="2"/>
      <c r="D71" s="2"/>
      <c r="E71" s="2"/>
      <c r="F71" s="2"/>
      <c r="G71" s="2"/>
      <c r="H71" s="2"/>
      <c r="I71" s="2"/>
      <c r="J71" s="2"/>
    </row>
    <row r="72" spans="1:10" ht="13.5" x14ac:dyDescent="0.25">
      <c r="A72" s="187" t="s">
        <v>628</v>
      </c>
      <c r="C72" s="2"/>
      <c r="D72" s="2"/>
      <c r="E72" s="2">
        <v>1229</v>
      </c>
      <c r="F72" s="2">
        <v>1000</v>
      </c>
      <c r="G72" s="2">
        <v>1100</v>
      </c>
      <c r="H72" s="2">
        <v>1100</v>
      </c>
      <c r="I72" s="2">
        <v>1100</v>
      </c>
      <c r="J72" s="2">
        <v>1100</v>
      </c>
    </row>
    <row r="73" spans="1:10" ht="15" x14ac:dyDescent="0.35">
      <c r="A73" s="183" t="s">
        <v>811</v>
      </c>
      <c r="C73" s="10"/>
      <c r="D73" s="2">
        <v>1100</v>
      </c>
      <c r="E73" s="10"/>
      <c r="F73" s="10"/>
      <c r="G73" s="10"/>
      <c r="H73" s="10"/>
      <c r="I73" s="10"/>
      <c r="J73" s="10"/>
    </row>
    <row r="74" spans="1:10" x14ac:dyDescent="0.2">
      <c r="C74" s="2"/>
      <c r="D74" s="2"/>
      <c r="E74" s="2"/>
      <c r="F74" s="2"/>
      <c r="G74" s="2"/>
      <c r="H74" s="2"/>
      <c r="I74" s="2"/>
      <c r="J74" s="2"/>
    </row>
    <row r="75" spans="1:10" ht="13.5" x14ac:dyDescent="0.25">
      <c r="A75" s="187" t="s">
        <v>830</v>
      </c>
      <c r="C75" s="7"/>
      <c r="D75" s="7" t="s">
        <v>345</v>
      </c>
      <c r="E75" s="2">
        <v>280</v>
      </c>
      <c r="F75" s="2">
        <v>60</v>
      </c>
      <c r="G75" s="2">
        <v>60</v>
      </c>
      <c r="H75" s="2">
        <v>60</v>
      </c>
      <c r="I75" s="2">
        <v>60</v>
      </c>
      <c r="J75" s="2">
        <v>60</v>
      </c>
    </row>
    <row r="76" spans="1:10" ht="15" x14ac:dyDescent="0.35">
      <c r="A76" s="183" t="s">
        <v>1035</v>
      </c>
      <c r="B76" s="2"/>
      <c r="C76" s="2"/>
      <c r="D76" s="10">
        <v>60</v>
      </c>
      <c r="E76" s="2"/>
      <c r="F76" s="2"/>
      <c r="G76" s="2"/>
      <c r="H76" s="2"/>
      <c r="I76" s="2"/>
      <c r="J76" s="2"/>
    </row>
    <row r="77" spans="1:10" ht="15" x14ac:dyDescent="0.35">
      <c r="C77" s="10"/>
      <c r="D77" s="203"/>
      <c r="E77" s="10"/>
      <c r="F77" s="10"/>
      <c r="G77" s="10"/>
      <c r="H77" s="10"/>
      <c r="I77" s="10"/>
      <c r="J77" s="10"/>
    </row>
    <row r="78" spans="1:10" x14ac:dyDescent="0.2">
      <c r="A78" s="183" t="s">
        <v>1073</v>
      </c>
      <c r="C78" s="2"/>
      <c r="D78" s="2">
        <f>SUM(D76:D76)</f>
        <v>60</v>
      </c>
      <c r="E78" s="2"/>
      <c r="F78" s="2"/>
      <c r="G78" s="2"/>
      <c r="H78" s="2"/>
      <c r="I78" s="2"/>
      <c r="J78" s="2"/>
    </row>
    <row r="79" spans="1:10" x14ac:dyDescent="0.2">
      <c r="C79" s="2"/>
      <c r="D79" s="2"/>
      <c r="E79" s="2"/>
      <c r="F79" s="2"/>
      <c r="G79" s="2"/>
      <c r="H79" s="2"/>
      <c r="I79" s="2"/>
      <c r="J79" s="2"/>
    </row>
    <row r="80" spans="1:10" ht="13.5" x14ac:dyDescent="0.25">
      <c r="A80" s="16" t="s">
        <v>831</v>
      </c>
      <c r="C80" s="2"/>
      <c r="D80" s="2"/>
      <c r="E80" s="2">
        <v>1884</v>
      </c>
      <c r="F80" s="2">
        <v>2187</v>
      </c>
      <c r="G80" s="2">
        <v>2292</v>
      </c>
      <c r="H80" s="2">
        <v>2292</v>
      </c>
      <c r="I80" s="2">
        <v>2292</v>
      </c>
      <c r="J80" s="2">
        <v>2292</v>
      </c>
    </row>
    <row r="81" spans="1:10" x14ac:dyDescent="0.2">
      <c r="A81" s="183" t="s">
        <v>629</v>
      </c>
      <c r="C81" s="2"/>
      <c r="D81" s="2">
        <v>2292</v>
      </c>
      <c r="E81" s="2"/>
      <c r="F81" s="2"/>
      <c r="G81" s="2"/>
      <c r="H81" s="2"/>
      <c r="I81" s="2"/>
      <c r="J81" s="2"/>
    </row>
    <row r="82" spans="1:10" x14ac:dyDescent="0.2">
      <c r="C82" s="2"/>
      <c r="D82" s="2"/>
      <c r="E82" s="2"/>
      <c r="F82" s="2"/>
      <c r="G82" s="2"/>
      <c r="H82" s="2"/>
      <c r="I82" s="2"/>
      <c r="J82" s="2"/>
    </row>
    <row r="83" spans="1:10" ht="13.5" x14ac:dyDescent="0.25">
      <c r="A83" s="187" t="s">
        <v>512</v>
      </c>
      <c r="C83" s="2"/>
      <c r="D83" s="2"/>
      <c r="E83" s="2">
        <v>253</v>
      </c>
      <c r="F83" s="2">
        <v>150</v>
      </c>
      <c r="G83" s="2">
        <v>150</v>
      </c>
      <c r="H83" s="2">
        <v>150</v>
      </c>
      <c r="I83" s="2">
        <v>150</v>
      </c>
      <c r="J83" s="2">
        <v>150</v>
      </c>
    </row>
    <row r="84" spans="1:10" x14ac:dyDescent="0.2">
      <c r="A84" s="183" t="s">
        <v>1381</v>
      </c>
      <c r="C84" s="2"/>
      <c r="D84" s="2" t="s">
        <v>345</v>
      </c>
      <c r="E84" s="2"/>
      <c r="F84" s="2"/>
      <c r="G84" s="2"/>
      <c r="H84" s="2"/>
      <c r="I84" s="2"/>
      <c r="J84" s="2"/>
    </row>
    <row r="85" spans="1:10" x14ac:dyDescent="0.2">
      <c r="A85" s="183" t="s">
        <v>1235</v>
      </c>
      <c r="C85" s="2"/>
      <c r="D85" s="2">
        <v>150</v>
      </c>
      <c r="E85" s="2"/>
      <c r="F85" s="2"/>
      <c r="G85" s="2"/>
      <c r="H85" s="2"/>
      <c r="I85" s="2"/>
      <c r="J85" s="2"/>
    </row>
    <row r="86" spans="1:10" x14ac:dyDescent="0.2">
      <c r="C86" s="2"/>
      <c r="D86" s="2"/>
      <c r="E86" s="2"/>
      <c r="F86" s="2"/>
      <c r="G86" s="2"/>
      <c r="H86" s="2"/>
      <c r="I86" s="2"/>
      <c r="J86" s="2"/>
    </row>
    <row r="87" spans="1:10" ht="13.5" x14ac:dyDescent="0.25">
      <c r="A87" s="187" t="s">
        <v>1267</v>
      </c>
      <c r="C87" s="2"/>
      <c r="D87" s="2"/>
      <c r="E87" s="2">
        <v>360</v>
      </c>
      <c r="F87" s="2">
        <v>250</v>
      </c>
      <c r="G87" s="2">
        <v>250</v>
      </c>
      <c r="H87" s="2">
        <v>250</v>
      </c>
      <c r="I87" s="2">
        <v>250</v>
      </c>
      <c r="J87" s="2">
        <v>250</v>
      </c>
    </row>
    <row r="88" spans="1:10" x14ac:dyDescent="0.2">
      <c r="A88" s="183" t="s">
        <v>639</v>
      </c>
      <c r="C88" s="2"/>
      <c r="D88" s="2">
        <v>250</v>
      </c>
      <c r="E88" s="2"/>
      <c r="F88" s="2"/>
      <c r="G88" s="2"/>
      <c r="H88" s="2"/>
      <c r="I88" s="2"/>
      <c r="J88" s="2"/>
    </row>
    <row r="89" spans="1:10" x14ac:dyDescent="0.2">
      <c r="C89" s="2"/>
      <c r="D89" s="2"/>
      <c r="E89" s="2"/>
      <c r="F89" s="2"/>
      <c r="G89" s="2"/>
      <c r="H89" s="2"/>
      <c r="I89" s="2"/>
      <c r="J89" s="2"/>
    </row>
    <row r="90" spans="1:10" ht="15" x14ac:dyDescent="0.35">
      <c r="A90" s="187" t="s">
        <v>729</v>
      </c>
      <c r="B90" s="199" t="s">
        <v>1757</v>
      </c>
      <c r="C90" s="199" t="s">
        <v>1838</v>
      </c>
      <c r="D90" s="184" t="s">
        <v>1977</v>
      </c>
      <c r="E90" s="2">
        <v>12201</v>
      </c>
      <c r="F90" s="2">
        <v>11860</v>
      </c>
      <c r="G90" s="2">
        <v>12210</v>
      </c>
      <c r="H90" s="2">
        <v>12210</v>
      </c>
      <c r="I90" s="2">
        <v>12210</v>
      </c>
      <c r="J90" s="2">
        <v>12210</v>
      </c>
    </row>
    <row r="91" spans="1:10" x14ac:dyDescent="0.2">
      <c r="A91" s="183" t="s">
        <v>976</v>
      </c>
      <c r="B91" s="2">
        <v>300</v>
      </c>
      <c r="C91" s="2">
        <v>300</v>
      </c>
      <c r="D91" s="2">
        <v>300</v>
      </c>
      <c r="E91" s="2"/>
      <c r="F91" s="2"/>
      <c r="G91" s="2"/>
      <c r="H91" s="2"/>
      <c r="I91" s="2"/>
      <c r="J91" s="2"/>
    </row>
    <row r="92" spans="1:10" x14ac:dyDescent="0.2">
      <c r="A92" s="183" t="s">
        <v>730</v>
      </c>
      <c r="B92" s="2">
        <v>110</v>
      </c>
      <c r="C92" s="2">
        <v>110</v>
      </c>
      <c r="D92" s="2">
        <v>110</v>
      </c>
      <c r="E92" s="2"/>
      <c r="F92" s="2"/>
      <c r="G92" s="2"/>
      <c r="H92" s="2"/>
      <c r="I92" s="2"/>
      <c r="J92" s="2"/>
    </row>
    <row r="93" spans="1:10" x14ac:dyDescent="0.2">
      <c r="A93" s="183" t="s">
        <v>1036</v>
      </c>
      <c r="B93" s="2">
        <v>11450</v>
      </c>
      <c r="C93" s="2">
        <v>11450</v>
      </c>
      <c r="D93" s="2">
        <v>11800</v>
      </c>
      <c r="E93" s="2"/>
      <c r="F93" s="2"/>
      <c r="G93" s="2"/>
      <c r="H93" s="2"/>
      <c r="I93" s="2"/>
      <c r="J93" s="2"/>
    </row>
    <row r="94" spans="1:10" ht="15" x14ac:dyDescent="0.35">
      <c r="A94" s="183" t="s">
        <v>731</v>
      </c>
      <c r="B94" s="10">
        <v>0</v>
      </c>
      <c r="C94" s="10">
        <v>0</v>
      </c>
      <c r="D94" s="10">
        <v>0</v>
      </c>
      <c r="E94" s="2"/>
      <c r="F94" s="10"/>
      <c r="G94" s="10"/>
      <c r="H94" s="10"/>
      <c r="I94" s="10"/>
      <c r="J94" s="10"/>
    </row>
    <row r="95" spans="1:10" x14ac:dyDescent="0.2">
      <c r="A95" s="183" t="s">
        <v>1073</v>
      </c>
      <c r="B95" s="2">
        <f>SUM(B91:B94)</f>
        <v>11860</v>
      </c>
      <c r="C95" s="2">
        <f>SUM(C91:C94)</f>
        <v>11860</v>
      </c>
      <c r="D95" s="2">
        <f>SUM(D91:D94)</f>
        <v>12210</v>
      </c>
      <c r="E95" s="2"/>
      <c r="F95" s="2"/>
      <c r="G95" s="2"/>
      <c r="H95" s="2"/>
      <c r="I95" s="2"/>
      <c r="J95" s="2"/>
    </row>
    <row r="96" spans="1:10" x14ac:dyDescent="0.2">
      <c r="B96" s="2"/>
      <c r="C96" s="2"/>
      <c r="D96" s="2"/>
      <c r="E96" s="2"/>
      <c r="F96" s="195"/>
      <c r="G96" s="195"/>
      <c r="H96" s="227"/>
      <c r="I96" s="231"/>
      <c r="J96" s="233"/>
    </row>
    <row r="97" spans="1:10" ht="15" x14ac:dyDescent="0.35">
      <c r="A97" s="187" t="s">
        <v>732</v>
      </c>
      <c r="B97" s="199" t="s">
        <v>1757</v>
      </c>
      <c r="C97" s="199" t="s">
        <v>1838</v>
      </c>
      <c r="D97" s="199" t="s">
        <v>1977</v>
      </c>
      <c r="E97" s="2">
        <v>690</v>
      </c>
      <c r="F97" s="2">
        <v>1150</v>
      </c>
      <c r="G97" s="2">
        <v>1150</v>
      </c>
      <c r="H97" s="2">
        <v>1150</v>
      </c>
      <c r="I97" s="2">
        <v>1150</v>
      </c>
      <c r="J97" s="2">
        <v>1150</v>
      </c>
    </row>
    <row r="98" spans="1:10" x14ac:dyDescent="0.2">
      <c r="B98" s="2"/>
      <c r="C98" s="2"/>
      <c r="D98" s="2"/>
      <c r="F98" s="195"/>
      <c r="G98" s="195"/>
      <c r="H98" s="227"/>
      <c r="I98" s="231"/>
      <c r="J98" s="233"/>
    </row>
    <row r="99" spans="1:10" x14ac:dyDescent="0.2">
      <c r="A99" s="183" t="s">
        <v>1378</v>
      </c>
      <c r="B99" s="2">
        <v>0</v>
      </c>
      <c r="C99" s="2">
        <v>0</v>
      </c>
      <c r="D99" s="2">
        <v>0</v>
      </c>
      <c r="F99" s="195"/>
      <c r="G99" s="195"/>
      <c r="H99" s="227"/>
      <c r="I99" s="231"/>
      <c r="J99" s="233"/>
    </row>
    <row r="100" spans="1:10" x14ac:dyDescent="0.2">
      <c r="A100" s="183" t="s">
        <v>1328</v>
      </c>
      <c r="B100" s="2">
        <v>200</v>
      </c>
      <c r="C100" s="2">
        <v>200</v>
      </c>
      <c r="D100" s="2">
        <v>200</v>
      </c>
      <c r="F100" s="195"/>
      <c r="G100" s="195"/>
      <c r="H100" s="227"/>
      <c r="I100" s="231"/>
      <c r="J100" s="233"/>
    </row>
    <row r="101" spans="1:10" ht="15" x14ac:dyDescent="0.35">
      <c r="A101" s="183" t="s">
        <v>1021</v>
      </c>
      <c r="B101" s="10">
        <v>950</v>
      </c>
      <c r="C101" s="10">
        <v>950</v>
      </c>
      <c r="D101" s="10">
        <v>950</v>
      </c>
      <c r="F101" s="195"/>
      <c r="G101" s="195"/>
      <c r="H101" s="227"/>
      <c r="I101" s="231"/>
      <c r="J101" s="233"/>
    </row>
    <row r="102" spans="1:10" x14ac:dyDescent="0.2">
      <c r="A102" s="183" t="s">
        <v>1073</v>
      </c>
      <c r="B102" s="2">
        <f>SUM(B98:B101)</f>
        <v>1150</v>
      </c>
      <c r="C102" s="2">
        <f>SUM(C98:C101)</f>
        <v>1150</v>
      </c>
      <c r="D102" s="2">
        <f>SUM(D98:D101)</f>
        <v>1150</v>
      </c>
      <c r="F102" s="2"/>
      <c r="G102" s="2"/>
      <c r="H102" s="2"/>
      <c r="I102" s="2"/>
      <c r="J102" s="2"/>
    </row>
    <row r="103" spans="1:10" x14ac:dyDescent="0.2">
      <c r="B103" s="2"/>
      <c r="C103" s="2"/>
      <c r="D103" s="2"/>
      <c r="E103" s="2"/>
      <c r="F103" s="195"/>
      <c r="G103" s="195"/>
      <c r="H103" s="227"/>
      <c r="I103" s="231"/>
      <c r="J103" s="233"/>
    </row>
    <row r="104" spans="1:10" ht="15" x14ac:dyDescent="0.35">
      <c r="A104" s="187" t="s">
        <v>311</v>
      </c>
      <c r="B104" s="199" t="s">
        <v>1757</v>
      </c>
      <c r="C104" s="199" t="s">
        <v>1838</v>
      </c>
      <c r="D104" s="199" t="s">
        <v>1977</v>
      </c>
      <c r="E104" s="2">
        <v>40886</v>
      </c>
      <c r="F104" s="2">
        <v>40000</v>
      </c>
      <c r="G104" s="2">
        <v>40000</v>
      </c>
      <c r="H104" s="2">
        <v>40000</v>
      </c>
      <c r="I104" s="2">
        <v>40000</v>
      </c>
      <c r="J104" s="2">
        <v>40000</v>
      </c>
    </row>
    <row r="105" spans="1:10" x14ac:dyDescent="0.2">
      <c r="A105" s="183" t="s">
        <v>312</v>
      </c>
      <c r="B105" s="2">
        <v>3000</v>
      </c>
      <c r="C105" s="2">
        <v>3000</v>
      </c>
      <c r="D105" s="2">
        <v>3000</v>
      </c>
      <c r="E105" s="3"/>
      <c r="F105" s="2"/>
      <c r="G105" s="2"/>
      <c r="H105" s="2"/>
      <c r="I105" s="2"/>
      <c r="J105" s="2"/>
    </row>
    <row r="106" spans="1:10" ht="15" x14ac:dyDescent="0.35">
      <c r="A106" s="183" t="s">
        <v>313</v>
      </c>
      <c r="B106" s="10">
        <v>37000</v>
      </c>
      <c r="C106" s="10">
        <v>37000</v>
      </c>
      <c r="D106" s="10">
        <v>37000</v>
      </c>
      <c r="E106" s="2"/>
      <c r="F106" s="2"/>
      <c r="G106" s="2"/>
      <c r="H106" s="2"/>
      <c r="I106" s="2"/>
      <c r="J106" s="2"/>
    </row>
    <row r="107" spans="1:10" x14ac:dyDescent="0.2">
      <c r="A107" s="183" t="s">
        <v>1073</v>
      </c>
      <c r="B107" s="2">
        <f>SUM(B105:B106)</f>
        <v>40000</v>
      </c>
      <c r="C107" s="2">
        <f>SUM(C105:C106)</f>
        <v>40000</v>
      </c>
      <c r="D107" s="2">
        <f>SUM(D105:D106)</f>
        <v>40000</v>
      </c>
      <c r="E107" s="2"/>
      <c r="F107" s="2"/>
      <c r="G107" s="2"/>
      <c r="H107" s="2"/>
      <c r="I107" s="2"/>
      <c r="J107" s="2"/>
    </row>
    <row r="108" spans="1:10" x14ac:dyDescent="0.2">
      <c r="C108" s="2"/>
      <c r="D108" s="2"/>
      <c r="E108" s="2"/>
      <c r="F108" s="2"/>
      <c r="G108" s="2"/>
      <c r="H108" s="2"/>
      <c r="I108" s="2"/>
      <c r="J108" s="2"/>
    </row>
    <row r="109" spans="1:10" ht="13.5" x14ac:dyDescent="0.25">
      <c r="A109" s="187" t="s">
        <v>1009</v>
      </c>
      <c r="C109" s="2"/>
      <c r="D109" s="2"/>
      <c r="E109" s="2"/>
      <c r="F109" s="2"/>
      <c r="G109" s="2"/>
      <c r="H109" s="2"/>
      <c r="I109" s="2"/>
      <c r="J109" s="2"/>
    </row>
    <row r="110" spans="1:10" x14ac:dyDescent="0.2">
      <c r="A110" s="183" t="s">
        <v>189</v>
      </c>
      <c r="C110" s="2"/>
      <c r="D110" s="2">
        <v>0</v>
      </c>
      <c r="E110" s="2"/>
      <c r="F110" s="2"/>
      <c r="G110" s="2"/>
      <c r="H110" s="2"/>
      <c r="I110" s="2"/>
      <c r="J110" s="2"/>
    </row>
    <row r="111" spans="1:10" x14ac:dyDescent="0.2">
      <c r="C111" s="2"/>
      <c r="D111" s="2"/>
      <c r="E111" s="2"/>
      <c r="F111" s="2"/>
      <c r="G111" s="2"/>
      <c r="H111" s="2"/>
      <c r="I111" s="2"/>
      <c r="J111" s="2"/>
    </row>
    <row r="112" spans="1:10" ht="13.5" x14ac:dyDescent="0.25">
      <c r="A112" s="187" t="s">
        <v>1010</v>
      </c>
      <c r="C112" s="2"/>
      <c r="D112" s="2"/>
      <c r="E112" s="2">
        <v>427</v>
      </c>
      <c r="F112" s="2">
        <v>3000</v>
      </c>
      <c r="G112" s="2">
        <v>3000</v>
      </c>
      <c r="H112" s="2">
        <v>3000</v>
      </c>
      <c r="I112" s="2">
        <v>3000</v>
      </c>
      <c r="J112" s="2">
        <v>3000</v>
      </c>
    </row>
    <row r="113" spans="1:10" x14ac:dyDescent="0.2">
      <c r="A113" s="5" t="s">
        <v>1782</v>
      </c>
      <c r="C113" s="2"/>
      <c r="D113" s="2">
        <v>3000</v>
      </c>
      <c r="F113" s="195"/>
      <c r="G113" s="195"/>
      <c r="H113" s="227"/>
      <c r="I113" s="231"/>
    </row>
    <row r="114" spans="1:10" s="233" customFormat="1" x14ac:dyDescent="0.2">
      <c r="A114" s="5"/>
      <c r="C114" s="2"/>
      <c r="D114" s="2"/>
    </row>
    <row r="115" spans="1:10" s="233" customFormat="1" x14ac:dyDescent="0.2">
      <c r="A115" s="5"/>
      <c r="C115" s="2"/>
      <c r="D115" s="2"/>
    </row>
    <row r="116" spans="1:10" ht="13.5" x14ac:dyDescent="0.25">
      <c r="A116" s="43" t="s">
        <v>1037</v>
      </c>
      <c r="C116" s="2"/>
      <c r="D116" s="2"/>
      <c r="F116" s="195"/>
      <c r="G116" s="195"/>
      <c r="H116" s="227"/>
      <c r="I116" s="231"/>
    </row>
    <row r="117" spans="1:10" x14ac:dyDescent="0.2">
      <c r="A117" s="5" t="s">
        <v>93</v>
      </c>
      <c r="C117" s="2"/>
      <c r="D117" s="2">
        <v>17250</v>
      </c>
      <c r="H117" s="227"/>
      <c r="I117" s="231"/>
      <c r="J117" s="107">
        <v>17250</v>
      </c>
    </row>
    <row r="118" spans="1:10" x14ac:dyDescent="0.2">
      <c r="D118" s="2"/>
      <c r="E118" s="2"/>
      <c r="F118" s="2"/>
      <c r="G118" s="2"/>
      <c r="H118" s="2"/>
      <c r="I118" s="2"/>
      <c r="J118" s="2"/>
    </row>
    <row r="119" spans="1:10" x14ac:dyDescent="0.2">
      <c r="A119" s="183" t="s">
        <v>1151</v>
      </c>
      <c r="D119" s="2"/>
      <c r="E119" s="2">
        <f t="shared" ref="E119:H119" si="0">SUM(E6:E116)</f>
        <v>304095</v>
      </c>
      <c r="F119" s="2">
        <f t="shared" si="0"/>
        <v>339876</v>
      </c>
      <c r="G119" s="2">
        <f t="shared" si="0"/>
        <v>340070</v>
      </c>
      <c r="H119" s="2">
        <f t="shared" si="0"/>
        <v>340070</v>
      </c>
      <c r="I119" s="2">
        <f t="shared" ref="I119" si="1">SUM(I6:I116)</f>
        <v>343919</v>
      </c>
      <c r="J119" s="2">
        <f>SUM(J6:J117)</f>
        <v>361169</v>
      </c>
    </row>
    <row r="120" spans="1:10" x14ac:dyDescent="0.2">
      <c r="H120" s="227"/>
      <c r="I120" s="231"/>
    </row>
    <row r="121" spans="1:10" x14ac:dyDescent="0.2">
      <c r="A121" s="183" t="s">
        <v>519</v>
      </c>
      <c r="E121" s="2">
        <f t="shared" ref="E121:J121" si="2">SUM(E6:E55)</f>
        <v>242665</v>
      </c>
      <c r="F121" s="2">
        <f t="shared" si="2"/>
        <v>275949</v>
      </c>
      <c r="G121" s="2">
        <f t="shared" si="2"/>
        <v>275394</v>
      </c>
      <c r="H121" s="2">
        <f t="shared" si="2"/>
        <v>275394</v>
      </c>
      <c r="I121" s="2">
        <f t="shared" ref="I121" si="3">SUM(I6:I55)</f>
        <v>279243</v>
      </c>
      <c r="J121" s="2">
        <f t="shared" si="2"/>
        <v>279243</v>
      </c>
    </row>
    <row r="122" spans="1:10" x14ac:dyDescent="0.2">
      <c r="A122" s="183" t="s">
        <v>809</v>
      </c>
      <c r="E122" s="2">
        <f t="shared" ref="E122:J122" si="4">SUM(E57:E111)</f>
        <v>61003</v>
      </c>
      <c r="F122" s="2">
        <f t="shared" si="4"/>
        <v>60927</v>
      </c>
      <c r="G122" s="2">
        <f t="shared" si="4"/>
        <v>61676</v>
      </c>
      <c r="H122" s="2">
        <f t="shared" si="4"/>
        <v>61676</v>
      </c>
      <c r="I122" s="2">
        <f t="shared" ref="I122" si="5">SUM(I57:I111)</f>
        <v>61676</v>
      </c>
      <c r="J122" s="2">
        <f t="shared" si="4"/>
        <v>61676</v>
      </c>
    </row>
    <row r="123" spans="1:10" ht="15" x14ac:dyDescent="0.35">
      <c r="A123" s="183" t="s">
        <v>810</v>
      </c>
      <c r="E123" s="10">
        <f t="shared" ref="E123:H123" si="6">SUM(E112:E116)</f>
        <v>427</v>
      </c>
      <c r="F123" s="10">
        <f t="shared" si="6"/>
        <v>3000</v>
      </c>
      <c r="G123" s="10">
        <f t="shared" si="6"/>
        <v>3000</v>
      </c>
      <c r="H123" s="10">
        <f t="shared" si="6"/>
        <v>3000</v>
      </c>
      <c r="I123" s="10">
        <f t="shared" ref="I123" si="7">SUM(I112:I116)</f>
        <v>3000</v>
      </c>
      <c r="J123" s="10">
        <f>SUM(J112:J117)</f>
        <v>20250</v>
      </c>
    </row>
    <row r="124" spans="1:10" x14ac:dyDescent="0.2">
      <c r="A124" s="183" t="s">
        <v>1073</v>
      </c>
      <c r="E124" s="2">
        <f t="shared" ref="E124:J124" si="8">SUM(E121:E123)</f>
        <v>304095</v>
      </c>
      <c r="F124" s="2">
        <f t="shared" si="8"/>
        <v>339876</v>
      </c>
      <c r="G124" s="2">
        <f t="shared" si="8"/>
        <v>340070</v>
      </c>
      <c r="H124" s="2">
        <f t="shared" ref="H124:I124" si="9">SUM(H121:H123)</f>
        <v>340070</v>
      </c>
      <c r="I124" s="2">
        <f t="shared" si="9"/>
        <v>343919</v>
      </c>
      <c r="J124" s="2">
        <f t="shared" si="8"/>
        <v>361169</v>
      </c>
    </row>
    <row r="125" spans="1:10" x14ac:dyDescent="0.2">
      <c r="H125" s="227"/>
      <c r="I125" s="231"/>
    </row>
    <row r="126" spans="1:10" x14ac:dyDescent="0.2">
      <c r="H126" s="227"/>
      <c r="I126" s="231"/>
    </row>
    <row r="127" spans="1:10" x14ac:dyDescent="0.2">
      <c r="H127" s="227"/>
      <c r="I127" s="231"/>
      <c r="J127" s="2">
        <f>+J124-I124</f>
        <v>17250</v>
      </c>
    </row>
    <row r="128" spans="1:10" x14ac:dyDescent="0.2">
      <c r="H128" s="227"/>
      <c r="I128" s="231"/>
      <c r="J128" s="183">
        <v>5798</v>
      </c>
    </row>
    <row r="129" spans="8:10" x14ac:dyDescent="0.2">
      <c r="H129" s="227"/>
      <c r="I129" s="231"/>
      <c r="J129" s="2">
        <f>+J127-J128</f>
        <v>11452</v>
      </c>
    </row>
    <row r="130" spans="8:10" x14ac:dyDescent="0.2">
      <c r="H130" s="227"/>
      <c r="I130" s="231"/>
    </row>
  </sheetData>
  <mergeCells count="1">
    <mergeCell ref="A1:J1"/>
  </mergeCells>
  <phoneticPr fontId="0" type="noConversion"/>
  <printOptions gridLines="1"/>
  <pageMargins left="0.75" right="0.16" top="0.51" bottom="0.22" header="0.5" footer="0.37"/>
  <pageSetup scale="86" fitToHeight="11" orientation="landscape" r:id="rId1"/>
  <headerFooter alignWithMargins="0"/>
  <rowBreaks count="1" manualBreakCount="1">
    <brk id="110" max="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J23"/>
  <sheetViews>
    <sheetView view="pageBreakPreview" zoomScaleNormal="100" zoomScaleSheetLayoutView="100" workbookViewId="0">
      <pane ySplit="4" topLeftCell="A5" activePane="bottomLeft" state="frozen"/>
      <selection activeCell="D43" sqref="D43"/>
      <selection pane="bottomLeft" activeCell="H17" sqref="H17"/>
    </sheetView>
  </sheetViews>
  <sheetFormatPr defaultColWidth="8.85546875" defaultRowHeight="12.75" x14ac:dyDescent="0.2"/>
  <cols>
    <col min="1" max="1" width="44.42578125" style="6" customWidth="1"/>
    <col min="2" max="3" width="9" style="6" bestFit="1" customWidth="1"/>
    <col min="4" max="4" width="11.7109375" style="6" bestFit="1" customWidth="1"/>
    <col min="5" max="7" width="10.85546875" style="6" customWidth="1"/>
    <col min="8" max="8" width="14.28515625" style="6" customWidth="1"/>
    <col min="9" max="10" width="10.85546875" style="6" customWidth="1"/>
    <col min="11" max="11" width="14.28515625" style="6" customWidth="1"/>
    <col min="12" max="16384" width="8.85546875" style="6"/>
  </cols>
  <sheetData>
    <row r="1" spans="1:10" x14ac:dyDescent="0.2">
      <c r="A1" s="254" t="e">
        <f>#REF!</f>
        <v>#REF!</v>
      </c>
      <c r="B1" s="255"/>
      <c r="C1" s="255"/>
      <c r="D1" s="255"/>
      <c r="E1" s="255"/>
      <c r="F1" s="255"/>
      <c r="G1" s="255"/>
      <c r="H1" s="255"/>
      <c r="I1" s="255"/>
      <c r="J1" s="255"/>
    </row>
    <row r="2" spans="1:10" ht="18.75" x14ac:dyDescent="0.3">
      <c r="A2" s="91" t="s">
        <v>1589</v>
      </c>
      <c r="B2" s="91"/>
      <c r="C2" s="91"/>
      <c r="D2" s="91"/>
      <c r="E2" s="91"/>
      <c r="F2" s="91"/>
    </row>
    <row r="3" spans="1:10" x14ac:dyDescent="0.2">
      <c r="B3" s="7"/>
      <c r="C3" s="7"/>
      <c r="D3" s="7"/>
      <c r="E3" s="15" t="s">
        <v>204</v>
      </c>
      <c r="F3" s="15" t="s">
        <v>205</v>
      </c>
      <c r="G3" s="15" t="s">
        <v>61</v>
      </c>
      <c r="H3" s="15" t="s">
        <v>358</v>
      </c>
      <c r="I3" s="15" t="s">
        <v>270</v>
      </c>
      <c r="J3" s="15" t="s">
        <v>301</v>
      </c>
    </row>
    <row r="4" spans="1:10" ht="15" x14ac:dyDescent="0.35">
      <c r="B4" s="8"/>
      <c r="C4" s="8"/>
      <c r="D4" s="8"/>
      <c r="E4" s="196" t="s">
        <v>1757</v>
      </c>
      <c r="F4" s="196" t="s">
        <v>1838</v>
      </c>
      <c r="G4" s="196" t="s">
        <v>1977</v>
      </c>
      <c r="H4" s="196" t="s">
        <v>1977</v>
      </c>
      <c r="I4" s="196" t="s">
        <v>1977</v>
      </c>
      <c r="J4" s="196" t="s">
        <v>1977</v>
      </c>
    </row>
    <row r="6" spans="1:10" ht="15" x14ac:dyDescent="0.35">
      <c r="A6" s="9" t="s">
        <v>1471</v>
      </c>
      <c r="B6" s="201" t="s">
        <v>1757</v>
      </c>
      <c r="C6" s="201" t="s">
        <v>1838</v>
      </c>
      <c r="D6" s="132" t="s">
        <v>1977</v>
      </c>
      <c r="E6" s="2">
        <v>99487</v>
      </c>
      <c r="F6" s="2">
        <v>102589</v>
      </c>
      <c r="G6" s="2">
        <v>107718</v>
      </c>
      <c r="H6" s="2">
        <v>107718</v>
      </c>
      <c r="I6" s="2">
        <v>107718</v>
      </c>
      <c r="J6" s="2">
        <v>107718</v>
      </c>
    </row>
    <row r="7" spans="1:10" x14ac:dyDescent="0.2">
      <c r="A7" s="6" t="s">
        <v>659</v>
      </c>
      <c r="B7" s="2" t="s">
        <v>345</v>
      </c>
      <c r="C7" s="2" t="s">
        <v>345</v>
      </c>
      <c r="D7" s="2" t="s">
        <v>345</v>
      </c>
      <c r="F7" s="106"/>
      <c r="H7" s="111"/>
      <c r="I7" s="194"/>
      <c r="J7" s="131"/>
    </row>
    <row r="8" spans="1:10" x14ac:dyDescent="0.2">
      <c r="A8" s="6" t="s">
        <v>555</v>
      </c>
      <c r="B8" s="2">
        <v>93263</v>
      </c>
      <c r="C8" s="2">
        <v>102589</v>
      </c>
      <c r="D8" s="2">
        <v>107718</v>
      </c>
      <c r="F8" s="106"/>
      <c r="H8" s="111"/>
      <c r="J8" s="131"/>
    </row>
    <row r="9" spans="1:10" x14ac:dyDescent="0.2">
      <c r="F9" s="106"/>
      <c r="H9" s="111"/>
      <c r="J9" s="131"/>
    </row>
    <row r="10" spans="1:10" ht="15" x14ac:dyDescent="0.35">
      <c r="E10" s="10">
        <v>0</v>
      </c>
      <c r="F10" s="10">
        <v>0</v>
      </c>
      <c r="G10" s="10">
        <v>0</v>
      </c>
      <c r="H10" s="10">
        <v>0</v>
      </c>
      <c r="I10" s="10">
        <v>0</v>
      </c>
      <c r="J10" s="10">
        <v>0</v>
      </c>
    </row>
    <row r="11" spans="1:10" x14ac:dyDescent="0.2">
      <c r="E11" s="2"/>
      <c r="H11" s="111"/>
      <c r="J11" s="131"/>
    </row>
    <row r="12" spans="1:10" x14ac:dyDescent="0.2">
      <c r="A12" s="19" t="s">
        <v>1151</v>
      </c>
      <c r="D12" s="2"/>
      <c r="E12" s="2">
        <f t="shared" ref="E12:J12" si="0">SUM(E6:E11)</f>
        <v>99487</v>
      </c>
      <c r="F12" s="2">
        <f t="shared" si="0"/>
        <v>102589</v>
      </c>
      <c r="G12" s="2">
        <f t="shared" si="0"/>
        <v>107718</v>
      </c>
      <c r="H12" s="2">
        <f t="shared" si="0"/>
        <v>107718</v>
      </c>
      <c r="I12" s="2">
        <f t="shared" si="0"/>
        <v>107718</v>
      </c>
      <c r="J12" s="2">
        <f t="shared" si="0"/>
        <v>107718</v>
      </c>
    </row>
    <row r="13" spans="1:10" x14ac:dyDescent="0.2">
      <c r="H13" s="111"/>
      <c r="J13" s="131"/>
    </row>
    <row r="14" spans="1:10" x14ac:dyDescent="0.2">
      <c r="H14" s="111"/>
      <c r="J14" s="131"/>
    </row>
    <row r="15" spans="1:10" x14ac:dyDescent="0.2">
      <c r="A15" s="6" t="s">
        <v>519</v>
      </c>
      <c r="E15" s="2">
        <v>0</v>
      </c>
      <c r="F15" s="2">
        <v>0</v>
      </c>
      <c r="G15" s="2">
        <v>0</v>
      </c>
      <c r="H15" s="2">
        <v>0</v>
      </c>
      <c r="I15" s="2">
        <v>0</v>
      </c>
      <c r="J15" s="2">
        <v>0</v>
      </c>
    </row>
    <row r="16" spans="1:10" x14ac:dyDescent="0.2">
      <c r="A16" s="6" t="s">
        <v>809</v>
      </c>
      <c r="E16" s="2">
        <f t="shared" ref="E16:J16" si="1">+E6</f>
        <v>99487</v>
      </c>
      <c r="F16" s="2">
        <f t="shared" si="1"/>
        <v>102589</v>
      </c>
      <c r="G16" s="2">
        <f t="shared" si="1"/>
        <v>107718</v>
      </c>
      <c r="H16" s="2">
        <f t="shared" si="1"/>
        <v>107718</v>
      </c>
      <c r="I16" s="2">
        <f t="shared" si="1"/>
        <v>107718</v>
      </c>
      <c r="J16" s="2">
        <f t="shared" si="1"/>
        <v>107718</v>
      </c>
    </row>
    <row r="17" spans="1:10" ht="15" x14ac:dyDescent="0.35">
      <c r="A17" s="6" t="s">
        <v>810</v>
      </c>
      <c r="E17" s="10">
        <v>0</v>
      </c>
      <c r="F17" s="10">
        <v>0</v>
      </c>
      <c r="G17" s="10">
        <v>0</v>
      </c>
      <c r="H17" s="10">
        <v>0</v>
      </c>
      <c r="I17" s="10">
        <v>0</v>
      </c>
      <c r="J17" s="10">
        <v>0</v>
      </c>
    </row>
    <row r="18" spans="1:10" x14ac:dyDescent="0.2">
      <c r="A18" s="6" t="s">
        <v>1073</v>
      </c>
      <c r="E18" s="2">
        <f t="shared" ref="E18:J18" si="2">SUM(E15:E17)</f>
        <v>99487</v>
      </c>
      <c r="F18" s="2">
        <f t="shared" si="2"/>
        <v>102589</v>
      </c>
      <c r="G18" s="2">
        <f t="shared" si="2"/>
        <v>107718</v>
      </c>
      <c r="H18" s="2">
        <f t="shared" si="2"/>
        <v>107718</v>
      </c>
      <c r="I18" s="2">
        <f t="shared" si="2"/>
        <v>107718</v>
      </c>
      <c r="J18" s="2">
        <f t="shared" si="2"/>
        <v>107718</v>
      </c>
    </row>
    <row r="22" spans="1:10" x14ac:dyDescent="0.2">
      <c r="H22" s="2"/>
    </row>
    <row r="23" spans="1:10" x14ac:dyDescent="0.2">
      <c r="H23" s="11"/>
    </row>
  </sheetData>
  <mergeCells count="1">
    <mergeCell ref="A1:J1"/>
  </mergeCells>
  <phoneticPr fontId="7" type="noConversion"/>
  <printOptions gridLines="1"/>
  <pageMargins left="0.75" right="0.16" top="0.51" bottom="0.16" header="0.5" footer="0"/>
  <pageSetup scale="8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J23"/>
  <sheetViews>
    <sheetView view="pageBreakPreview" zoomScaleNormal="100" zoomScaleSheetLayoutView="100" workbookViewId="0">
      <pane ySplit="4" topLeftCell="A5" activePane="bottomLeft" state="frozen"/>
      <selection activeCell="D43" sqref="D43"/>
      <selection pane="bottomLeft" activeCell="H14" sqref="H14"/>
    </sheetView>
  </sheetViews>
  <sheetFormatPr defaultColWidth="8.85546875" defaultRowHeight="12.75" x14ac:dyDescent="0.2"/>
  <cols>
    <col min="1" max="1" width="44.42578125" style="118" customWidth="1"/>
    <col min="2" max="3" width="10.28515625" style="118" bestFit="1" customWidth="1"/>
    <col min="4" max="4" width="12" style="118" bestFit="1" customWidth="1"/>
    <col min="5" max="5" width="10.85546875" style="118" customWidth="1"/>
    <col min="6" max="6" width="11.28515625" style="118" bestFit="1" customWidth="1"/>
    <col min="7" max="7" width="10.85546875" style="118" customWidth="1"/>
    <col min="8" max="8" width="14.28515625" style="118" customWidth="1"/>
    <col min="9" max="9" width="10.85546875" style="118" customWidth="1"/>
    <col min="10" max="10" width="12" style="118" bestFit="1" customWidth="1"/>
    <col min="11" max="12" width="14.28515625" style="118" customWidth="1"/>
    <col min="13" max="16384" width="8.85546875" style="118"/>
  </cols>
  <sheetData>
    <row r="1" spans="1:10" x14ac:dyDescent="0.2">
      <c r="A1" s="254" t="e">
        <f>#REF!</f>
        <v>#REF!</v>
      </c>
      <c r="B1" s="255"/>
      <c r="C1" s="255"/>
      <c r="D1" s="255"/>
      <c r="E1" s="255"/>
      <c r="F1" s="255"/>
      <c r="G1" s="255"/>
      <c r="H1" s="255"/>
      <c r="I1" s="255"/>
      <c r="J1" s="255"/>
    </row>
    <row r="2" spans="1:10" ht="18.75" x14ac:dyDescent="0.3">
      <c r="A2" s="91" t="s">
        <v>1749</v>
      </c>
      <c r="B2" s="91"/>
      <c r="C2" s="91"/>
      <c r="D2" s="91"/>
      <c r="E2" s="91"/>
      <c r="F2" s="91"/>
    </row>
    <row r="3" spans="1:10" x14ac:dyDescent="0.2">
      <c r="B3" s="7"/>
      <c r="C3" s="7"/>
      <c r="D3" s="7"/>
      <c r="E3" s="15" t="s">
        <v>204</v>
      </c>
      <c r="F3" s="15" t="s">
        <v>205</v>
      </c>
      <c r="G3" s="15" t="s">
        <v>61</v>
      </c>
      <c r="H3" s="15" t="s">
        <v>358</v>
      </c>
      <c r="I3" s="15" t="s">
        <v>270</v>
      </c>
      <c r="J3" s="15" t="s">
        <v>301</v>
      </c>
    </row>
    <row r="4" spans="1:10" ht="15" x14ac:dyDescent="0.35">
      <c r="B4" s="8"/>
      <c r="C4" s="8"/>
      <c r="D4" s="8"/>
      <c r="E4" s="196" t="s">
        <v>1757</v>
      </c>
      <c r="F4" s="196" t="s">
        <v>1838</v>
      </c>
      <c r="G4" s="196" t="s">
        <v>1977</v>
      </c>
      <c r="H4" s="196" t="s">
        <v>1977</v>
      </c>
      <c r="I4" s="196" t="s">
        <v>1977</v>
      </c>
      <c r="J4" s="196" t="s">
        <v>1977</v>
      </c>
    </row>
    <row r="6" spans="1:10" ht="15" x14ac:dyDescent="0.35">
      <c r="A6" s="119" t="s">
        <v>1750</v>
      </c>
      <c r="B6" s="199" t="s">
        <v>1757</v>
      </c>
      <c r="C6" s="199" t="s">
        <v>1838</v>
      </c>
      <c r="D6" s="132" t="s">
        <v>1977</v>
      </c>
      <c r="E6" s="2">
        <v>919676</v>
      </c>
      <c r="F6" s="2">
        <v>9520000</v>
      </c>
      <c r="G6" s="2">
        <v>0</v>
      </c>
      <c r="H6" s="2">
        <v>0</v>
      </c>
      <c r="I6" s="2">
        <v>0</v>
      </c>
      <c r="J6" s="2"/>
    </row>
    <row r="7" spans="1:10" x14ac:dyDescent="0.2">
      <c r="B7" s="2" t="s">
        <v>345</v>
      </c>
      <c r="C7" s="2" t="s">
        <v>345</v>
      </c>
      <c r="D7" s="2" t="s">
        <v>345</v>
      </c>
    </row>
    <row r="8" spans="1:10" x14ac:dyDescent="0.2">
      <c r="A8" s="97" t="s">
        <v>1756</v>
      </c>
      <c r="B8" s="2">
        <v>9520000</v>
      </c>
      <c r="C8" s="2">
        <v>0</v>
      </c>
      <c r="D8" s="2">
        <v>0</v>
      </c>
      <c r="E8" s="107"/>
      <c r="F8" s="2"/>
      <c r="G8" s="2">
        <v>0</v>
      </c>
      <c r="H8" s="2">
        <v>0</v>
      </c>
      <c r="I8" s="2">
        <v>0</v>
      </c>
      <c r="J8" s="2"/>
    </row>
    <row r="9" spans="1:10" x14ac:dyDescent="0.2">
      <c r="A9" s="233" t="s">
        <v>2116</v>
      </c>
      <c r="D9" s="107">
        <v>10102750</v>
      </c>
      <c r="J9" s="107">
        <v>10102750</v>
      </c>
    </row>
    <row r="10" spans="1:10" ht="15" x14ac:dyDescent="0.35">
      <c r="E10" s="10">
        <v>0</v>
      </c>
      <c r="F10" s="10">
        <v>0</v>
      </c>
      <c r="G10" s="10">
        <v>0</v>
      </c>
      <c r="H10" s="10">
        <v>0</v>
      </c>
      <c r="I10" s="10">
        <v>0</v>
      </c>
      <c r="J10" s="10">
        <v>0</v>
      </c>
    </row>
    <row r="11" spans="1:10" x14ac:dyDescent="0.2">
      <c r="E11" s="2"/>
      <c r="J11" s="131"/>
    </row>
    <row r="12" spans="1:10" x14ac:dyDescent="0.2">
      <c r="A12" s="19" t="s">
        <v>1151</v>
      </c>
      <c r="D12" s="2"/>
      <c r="E12" s="2">
        <f t="shared" ref="E12:J12" si="0">SUM(E6:E11)</f>
        <v>919676</v>
      </c>
      <c r="F12" s="2">
        <f t="shared" si="0"/>
        <v>9520000</v>
      </c>
      <c r="G12" s="2">
        <f t="shared" si="0"/>
        <v>0</v>
      </c>
      <c r="H12" s="2">
        <f t="shared" si="0"/>
        <v>0</v>
      </c>
      <c r="I12" s="2">
        <f t="shared" si="0"/>
        <v>0</v>
      </c>
      <c r="J12" s="2">
        <f t="shared" si="0"/>
        <v>10102750</v>
      </c>
    </row>
    <row r="15" spans="1:10" x14ac:dyDescent="0.2">
      <c r="A15" s="118" t="s">
        <v>519</v>
      </c>
      <c r="E15" s="2">
        <v>0</v>
      </c>
      <c r="F15" s="2">
        <v>0</v>
      </c>
      <c r="G15" s="2">
        <v>0</v>
      </c>
      <c r="H15" s="2">
        <v>0</v>
      </c>
      <c r="I15" s="2">
        <v>0</v>
      </c>
      <c r="J15" s="2">
        <v>0</v>
      </c>
    </row>
    <row r="16" spans="1:10" x14ac:dyDescent="0.2">
      <c r="A16" s="118" t="s">
        <v>809</v>
      </c>
      <c r="E16" s="2">
        <v>0</v>
      </c>
      <c r="F16" s="2">
        <v>0</v>
      </c>
      <c r="G16" s="2">
        <f>+G6</f>
        <v>0</v>
      </c>
      <c r="H16" s="2">
        <f>+H6</f>
        <v>0</v>
      </c>
      <c r="I16" s="2">
        <f>+I6</f>
        <v>0</v>
      </c>
      <c r="J16" s="2">
        <v>0</v>
      </c>
    </row>
    <row r="17" spans="1:10" ht="15" x14ac:dyDescent="0.35">
      <c r="A17" s="118" t="s">
        <v>810</v>
      </c>
      <c r="E17" s="10">
        <f>E12</f>
        <v>919676</v>
      </c>
      <c r="F17" s="10">
        <f>+F12</f>
        <v>9520000</v>
      </c>
      <c r="G17" s="10">
        <f>+G12</f>
        <v>0</v>
      </c>
      <c r="H17" s="10">
        <f>+H12</f>
        <v>0</v>
      </c>
      <c r="I17" s="10">
        <v>0</v>
      </c>
      <c r="J17" s="10">
        <f>+J12</f>
        <v>10102750</v>
      </c>
    </row>
    <row r="18" spans="1:10" x14ac:dyDescent="0.2">
      <c r="A18" s="118" t="s">
        <v>1073</v>
      </c>
      <c r="E18" s="2">
        <f t="shared" ref="E18:J18" si="1">SUM(E15:E17)</f>
        <v>919676</v>
      </c>
      <c r="F18" s="2">
        <f t="shared" si="1"/>
        <v>9520000</v>
      </c>
      <c r="G18" s="2">
        <f>SUM(G15:G17)</f>
        <v>0</v>
      </c>
      <c r="H18" s="2">
        <f>SUM(H15:H17)</f>
        <v>0</v>
      </c>
      <c r="I18" s="2">
        <f t="shared" si="1"/>
        <v>0</v>
      </c>
      <c r="J18" s="2">
        <f t="shared" si="1"/>
        <v>10102750</v>
      </c>
    </row>
    <row r="22" spans="1:10" x14ac:dyDescent="0.2">
      <c r="H22" s="2"/>
    </row>
    <row r="23" spans="1:10" x14ac:dyDescent="0.2">
      <c r="H23" s="11"/>
    </row>
  </sheetData>
  <mergeCells count="1">
    <mergeCell ref="A1:J1"/>
  </mergeCells>
  <printOptions gridLines="1"/>
  <pageMargins left="0.75" right="0.16" top="0.51" bottom="0.16" header="0.5" footer="0"/>
  <pageSetup scale="86"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J23"/>
  <sheetViews>
    <sheetView view="pageBreakPreview" zoomScaleNormal="100" zoomScaleSheetLayoutView="100" workbookViewId="0">
      <pane ySplit="4" topLeftCell="A5" activePane="bottomLeft" state="frozen"/>
      <selection activeCell="D43" sqref="D43"/>
      <selection pane="bottomLeft" activeCell="G12" sqref="G12"/>
    </sheetView>
  </sheetViews>
  <sheetFormatPr defaultColWidth="8.85546875" defaultRowHeight="12.75" x14ac:dyDescent="0.2"/>
  <cols>
    <col min="1" max="1" width="44.42578125" style="97" customWidth="1"/>
    <col min="2" max="3" width="10.28515625" style="97" bestFit="1" customWidth="1"/>
    <col min="4" max="4" width="11.7109375" style="97" bestFit="1" customWidth="1"/>
    <col min="5" max="7" width="10.85546875" style="97" customWidth="1"/>
    <col min="8" max="8" width="14.28515625" style="97" customWidth="1"/>
    <col min="9" max="9" width="10.85546875" style="97" customWidth="1"/>
    <col min="10" max="10" width="11.28515625" style="97" bestFit="1" customWidth="1"/>
    <col min="11" max="12" width="14.28515625" style="97" customWidth="1"/>
    <col min="13" max="16384" width="8.85546875" style="97"/>
  </cols>
  <sheetData>
    <row r="1" spans="1:10" x14ac:dyDescent="0.2">
      <c r="A1" s="254" t="e">
        <f>#REF!</f>
        <v>#REF!</v>
      </c>
      <c r="B1" s="255"/>
      <c r="C1" s="255"/>
      <c r="D1" s="255"/>
      <c r="E1" s="255"/>
      <c r="F1" s="255"/>
      <c r="G1" s="255"/>
      <c r="H1" s="255"/>
      <c r="I1" s="255"/>
      <c r="J1" s="255"/>
    </row>
    <row r="2" spans="1:10" ht="18.75" x14ac:dyDescent="0.3">
      <c r="A2" s="91" t="s">
        <v>1662</v>
      </c>
      <c r="B2" s="91"/>
      <c r="C2" s="91"/>
      <c r="D2" s="91"/>
      <c r="E2" s="91"/>
      <c r="F2" s="91"/>
    </row>
    <row r="3" spans="1:10" x14ac:dyDescent="0.2">
      <c r="B3" s="7"/>
      <c r="C3" s="7"/>
      <c r="D3" s="7"/>
      <c r="E3" s="15" t="s">
        <v>204</v>
      </c>
      <c r="F3" s="15" t="s">
        <v>205</v>
      </c>
      <c r="G3" s="15" t="s">
        <v>61</v>
      </c>
      <c r="H3" s="15" t="s">
        <v>358</v>
      </c>
      <c r="I3" s="15" t="s">
        <v>270</v>
      </c>
      <c r="J3" s="15" t="s">
        <v>301</v>
      </c>
    </row>
    <row r="4" spans="1:10" ht="15" x14ac:dyDescent="0.35">
      <c r="B4" s="8"/>
      <c r="C4" s="8"/>
      <c r="D4" s="8"/>
      <c r="E4" s="196" t="s">
        <v>1757</v>
      </c>
      <c r="F4" s="196" t="s">
        <v>1838</v>
      </c>
      <c r="G4" s="196" t="s">
        <v>1977</v>
      </c>
      <c r="H4" s="196" t="s">
        <v>1977</v>
      </c>
      <c r="I4" s="196" t="s">
        <v>1977</v>
      </c>
      <c r="J4" s="196" t="s">
        <v>1977</v>
      </c>
    </row>
    <row r="6" spans="1:10" ht="15" x14ac:dyDescent="0.35">
      <c r="A6" s="98" t="s">
        <v>1690</v>
      </c>
      <c r="B6" s="199" t="s">
        <v>1757</v>
      </c>
      <c r="C6" s="199" t="s">
        <v>1838</v>
      </c>
      <c r="D6" s="132" t="s">
        <v>1977</v>
      </c>
      <c r="E6" s="2"/>
    </row>
    <row r="7" spans="1:10" x14ac:dyDescent="0.2">
      <c r="B7" s="2" t="s">
        <v>345</v>
      </c>
      <c r="C7" s="2" t="s">
        <v>345</v>
      </c>
      <c r="D7" s="2" t="s">
        <v>345</v>
      </c>
      <c r="F7" s="99"/>
    </row>
    <row r="8" spans="1:10" x14ac:dyDescent="0.2">
      <c r="A8" s="118" t="s">
        <v>1599</v>
      </c>
      <c r="B8" s="2">
        <v>0</v>
      </c>
      <c r="C8" s="2">
        <v>0</v>
      </c>
      <c r="D8" s="2">
        <v>0</v>
      </c>
      <c r="E8" s="107">
        <v>7876</v>
      </c>
      <c r="F8" s="2">
        <v>0</v>
      </c>
      <c r="G8" s="2">
        <v>0</v>
      </c>
      <c r="H8" s="2">
        <v>0</v>
      </c>
      <c r="I8" s="2">
        <v>0</v>
      </c>
      <c r="J8" s="2">
        <v>0</v>
      </c>
    </row>
    <row r="10" spans="1:10" ht="15" x14ac:dyDescent="0.35">
      <c r="E10" s="10">
        <v>0</v>
      </c>
      <c r="F10" s="10">
        <v>0</v>
      </c>
      <c r="G10" s="10">
        <v>0</v>
      </c>
      <c r="H10" s="10">
        <v>0</v>
      </c>
      <c r="I10" s="10">
        <v>0</v>
      </c>
      <c r="J10" s="10">
        <v>0</v>
      </c>
    </row>
    <row r="11" spans="1:10" x14ac:dyDescent="0.2">
      <c r="E11" s="2"/>
    </row>
    <row r="12" spans="1:10" x14ac:dyDescent="0.2">
      <c r="A12" s="19" t="s">
        <v>1151</v>
      </c>
      <c r="D12" s="2"/>
      <c r="E12" s="2">
        <f>SUM(E6:E11)</f>
        <v>7876</v>
      </c>
      <c r="F12" s="2">
        <f>SUM(F7:F11)</f>
        <v>0</v>
      </c>
      <c r="G12" s="2">
        <f>SUM(G7:G11)</f>
        <v>0</v>
      </c>
      <c r="H12" s="2">
        <f>SUM(H7:H11)</f>
        <v>0</v>
      </c>
      <c r="I12" s="2">
        <f>SUM(I7:I11)</f>
        <v>0</v>
      </c>
      <c r="J12" s="2">
        <f>SUM(J7:J11)</f>
        <v>0</v>
      </c>
    </row>
    <row r="15" spans="1:10" x14ac:dyDescent="0.2">
      <c r="A15" s="97" t="s">
        <v>519</v>
      </c>
      <c r="E15" s="2">
        <v>0</v>
      </c>
      <c r="F15" s="2">
        <v>0</v>
      </c>
      <c r="G15" s="2">
        <v>0</v>
      </c>
      <c r="H15" s="2">
        <v>0</v>
      </c>
      <c r="I15" s="2">
        <v>0</v>
      </c>
      <c r="J15" s="2">
        <v>0</v>
      </c>
    </row>
    <row r="16" spans="1:10" x14ac:dyDescent="0.2">
      <c r="A16" s="97" t="s">
        <v>809</v>
      </c>
      <c r="E16" s="2">
        <v>0</v>
      </c>
      <c r="F16" s="2">
        <f>+F8</f>
        <v>0</v>
      </c>
      <c r="G16" s="2">
        <f>+G8</f>
        <v>0</v>
      </c>
      <c r="H16" s="2">
        <f>+H8</f>
        <v>0</v>
      </c>
      <c r="I16" s="2">
        <f>+I8</f>
        <v>0</v>
      </c>
      <c r="J16" s="2">
        <v>0</v>
      </c>
    </row>
    <row r="17" spans="1:10" ht="15" x14ac:dyDescent="0.35">
      <c r="A17" s="97" t="s">
        <v>810</v>
      </c>
      <c r="E17" s="10">
        <f>E8</f>
        <v>7876</v>
      </c>
      <c r="F17" s="10">
        <v>0</v>
      </c>
      <c r="G17" s="10">
        <v>0</v>
      </c>
      <c r="H17" s="10">
        <v>0</v>
      </c>
      <c r="I17" s="10">
        <v>0</v>
      </c>
      <c r="J17" s="10">
        <f>+J12</f>
        <v>0</v>
      </c>
    </row>
    <row r="18" spans="1:10" x14ac:dyDescent="0.2">
      <c r="A18" s="97" t="s">
        <v>1073</v>
      </c>
      <c r="E18" s="2">
        <f t="shared" ref="E18:J18" si="0">SUM(E15:E17)</f>
        <v>7876</v>
      </c>
      <c r="F18" s="2">
        <f t="shared" si="0"/>
        <v>0</v>
      </c>
      <c r="G18" s="2">
        <f t="shared" si="0"/>
        <v>0</v>
      </c>
      <c r="H18" s="2">
        <f t="shared" si="0"/>
        <v>0</v>
      </c>
      <c r="I18" s="2">
        <f t="shared" si="0"/>
        <v>0</v>
      </c>
      <c r="J18" s="2">
        <f t="shared" si="0"/>
        <v>0</v>
      </c>
    </row>
    <row r="22" spans="1:10" x14ac:dyDescent="0.2">
      <c r="H22" s="2"/>
    </row>
    <row r="23" spans="1:10" x14ac:dyDescent="0.2">
      <c r="H23" s="11"/>
    </row>
  </sheetData>
  <mergeCells count="1">
    <mergeCell ref="A1:J1"/>
  </mergeCells>
  <printOptions gridLines="1"/>
  <pageMargins left="0.75" right="0.16" top="0.51" bottom="0.16" header="0.5" footer="0"/>
  <pageSetup scale="86"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25"/>
  <sheetViews>
    <sheetView view="pageBreakPreview" zoomScaleNormal="100" zoomScaleSheetLayoutView="100" workbookViewId="0">
      <pane ySplit="5" topLeftCell="A6" activePane="bottomLeft" state="frozen"/>
      <selection activeCell="D43" sqref="D43"/>
      <selection pane="bottomLeft" activeCell="D9" sqref="D9"/>
    </sheetView>
  </sheetViews>
  <sheetFormatPr defaultColWidth="8.85546875" defaultRowHeight="12.75" x14ac:dyDescent="0.2"/>
  <cols>
    <col min="1" max="1" width="41.42578125" style="183" bestFit="1" customWidth="1"/>
    <col min="2" max="3" width="9" style="183" bestFit="1" customWidth="1"/>
    <col min="4" max="4" width="11.7109375" style="183" bestFit="1" customWidth="1"/>
    <col min="5" max="6" width="11.28515625" style="183" bestFit="1" customWidth="1"/>
    <col min="7" max="7" width="11.7109375" style="183" bestFit="1" customWidth="1"/>
    <col min="8" max="8" width="13.5703125" style="183" bestFit="1" customWidth="1"/>
    <col min="9" max="10" width="11.28515625" style="183" bestFit="1" customWidth="1"/>
    <col min="11" max="11" width="0" style="183" hidden="1" customWidth="1"/>
    <col min="12" max="16384" width="8.85546875" style="183"/>
  </cols>
  <sheetData>
    <row r="1" spans="1:10" x14ac:dyDescent="0.2">
      <c r="A1" s="254" t="e">
        <f>#REF!</f>
        <v>#REF!</v>
      </c>
      <c r="B1" s="255"/>
      <c r="C1" s="255"/>
      <c r="D1" s="255"/>
      <c r="E1" s="255"/>
      <c r="F1" s="255"/>
      <c r="G1" s="255"/>
      <c r="H1" s="255"/>
      <c r="I1" s="255"/>
    </row>
    <row r="2" spans="1:10" ht="18.75" x14ac:dyDescent="0.3">
      <c r="A2" s="91" t="s">
        <v>1590</v>
      </c>
      <c r="B2" s="91"/>
      <c r="C2" s="91"/>
      <c r="D2" s="91"/>
      <c r="E2" s="91"/>
      <c r="F2" s="91"/>
    </row>
    <row r="3" spans="1:10" x14ac:dyDescent="0.2">
      <c r="B3" s="7"/>
      <c r="C3" s="7"/>
      <c r="D3" s="7"/>
      <c r="E3" s="15" t="s">
        <v>204</v>
      </c>
      <c r="F3" s="15" t="s">
        <v>205</v>
      </c>
      <c r="G3" s="15" t="s">
        <v>61</v>
      </c>
      <c r="H3" s="15" t="s">
        <v>358</v>
      </c>
      <c r="I3" s="15" t="s">
        <v>270</v>
      </c>
      <c r="J3" s="15" t="s">
        <v>301</v>
      </c>
    </row>
    <row r="4" spans="1:10" ht="15" x14ac:dyDescent="0.35">
      <c r="B4" s="8"/>
      <c r="C4" s="8"/>
      <c r="D4" s="8"/>
      <c r="E4" s="196" t="s">
        <v>1757</v>
      </c>
      <c r="F4" s="196" t="s">
        <v>1838</v>
      </c>
      <c r="G4" s="196" t="s">
        <v>1977</v>
      </c>
      <c r="H4" s="196" t="s">
        <v>1977</v>
      </c>
      <c r="I4" s="196" t="s">
        <v>1977</v>
      </c>
      <c r="J4" s="196" t="s">
        <v>1977</v>
      </c>
    </row>
    <row r="5" spans="1:10" ht="13.5" x14ac:dyDescent="0.25">
      <c r="A5" s="260"/>
      <c r="B5" s="260"/>
      <c r="C5" s="260"/>
      <c r="D5" s="260"/>
      <c r="E5" s="260"/>
      <c r="F5" s="260"/>
    </row>
    <row r="9" spans="1:10" ht="13.5" x14ac:dyDescent="0.25">
      <c r="A9" s="187" t="s">
        <v>510</v>
      </c>
      <c r="B9" s="4" t="s">
        <v>522</v>
      </c>
      <c r="C9" s="4" t="s">
        <v>523</v>
      </c>
      <c r="D9" s="4" t="s">
        <v>521</v>
      </c>
      <c r="E9" s="2">
        <v>191</v>
      </c>
      <c r="F9" s="2">
        <v>12795</v>
      </c>
      <c r="G9" s="2">
        <v>12795</v>
      </c>
      <c r="H9" s="2">
        <v>12795</v>
      </c>
      <c r="I9" s="2">
        <v>12795</v>
      </c>
      <c r="J9" s="2">
        <v>12795</v>
      </c>
    </row>
    <row r="10" spans="1:10" x14ac:dyDescent="0.2">
      <c r="A10" s="183" t="s">
        <v>63</v>
      </c>
      <c r="B10" s="183">
        <v>189</v>
      </c>
      <c r="C10" s="13">
        <v>67.7</v>
      </c>
      <c r="D10" s="2">
        <f>+B10*C10</f>
        <v>12795.300000000001</v>
      </c>
      <c r="F10" s="195"/>
      <c r="G10" s="227"/>
      <c r="H10" s="227"/>
      <c r="I10" s="231"/>
      <c r="J10" s="233"/>
    </row>
    <row r="11" spans="1:10" x14ac:dyDescent="0.2">
      <c r="F11" s="195"/>
      <c r="G11" s="227"/>
      <c r="H11" s="227"/>
      <c r="I11" s="231"/>
      <c r="J11" s="233"/>
    </row>
    <row r="12" spans="1:10" ht="15" x14ac:dyDescent="0.35">
      <c r="A12" s="14" t="s">
        <v>511</v>
      </c>
      <c r="B12" s="8"/>
      <c r="C12" s="8"/>
      <c r="D12" s="8"/>
      <c r="E12" s="2">
        <v>400120</v>
      </c>
      <c r="F12" s="2">
        <v>481754</v>
      </c>
      <c r="G12" s="2">
        <v>487004</v>
      </c>
      <c r="H12" s="2">
        <v>487004</v>
      </c>
      <c r="I12" s="2">
        <v>487004</v>
      </c>
      <c r="J12" s="2">
        <v>487004</v>
      </c>
    </row>
    <row r="13" spans="1:10" x14ac:dyDescent="0.2">
      <c r="A13" s="183" t="s">
        <v>63</v>
      </c>
      <c r="B13" s="2">
        <v>5700</v>
      </c>
      <c r="C13" s="11">
        <v>76.31</v>
      </c>
      <c r="D13" s="2">
        <f>ROUND(B13*C13,0)</f>
        <v>434967</v>
      </c>
    </row>
    <row r="14" spans="1:10" x14ac:dyDescent="0.2">
      <c r="A14" s="183" t="s">
        <v>838</v>
      </c>
      <c r="B14" s="2"/>
      <c r="C14" s="11"/>
      <c r="D14" s="17">
        <v>52037</v>
      </c>
    </row>
    <row r="15" spans="1:10" x14ac:dyDescent="0.2">
      <c r="A15" s="183" t="s">
        <v>1114</v>
      </c>
      <c r="C15" s="11" t="s">
        <v>345</v>
      </c>
      <c r="D15" s="2">
        <f>SUM(D13:D14)</f>
        <v>487004</v>
      </c>
    </row>
    <row r="16" spans="1:10" x14ac:dyDescent="0.2">
      <c r="C16" s="11"/>
    </row>
    <row r="17" spans="1:10" ht="13.5" x14ac:dyDescent="0.25">
      <c r="A17" s="187" t="s">
        <v>1528</v>
      </c>
      <c r="C17" s="11"/>
      <c r="D17" s="2"/>
      <c r="E17" s="2"/>
      <c r="F17" s="2">
        <v>0</v>
      </c>
      <c r="G17" s="2">
        <v>0</v>
      </c>
      <c r="H17" s="2">
        <v>0</v>
      </c>
      <c r="I17" s="2">
        <v>0</v>
      </c>
      <c r="J17" s="2">
        <v>0</v>
      </c>
    </row>
    <row r="18" spans="1:10" x14ac:dyDescent="0.2">
      <c r="A18" s="2"/>
      <c r="B18" s="2"/>
      <c r="C18" s="2"/>
      <c r="D18" s="2"/>
      <c r="E18" s="2"/>
      <c r="F18" s="2"/>
      <c r="G18" s="2"/>
      <c r="H18" s="2"/>
      <c r="I18" s="2"/>
      <c r="J18" s="2"/>
    </row>
    <row r="19" spans="1:10" ht="18.75" x14ac:dyDescent="0.3">
      <c r="A19" s="96" t="s">
        <v>1592</v>
      </c>
      <c r="B19" s="2"/>
      <c r="C19" s="2"/>
      <c r="D19" s="2"/>
      <c r="E19" s="2">
        <f>+E17+E12+E9+'33-Fire Protection -other'!E12+'32-Media'!E112+'10-wastewater'!E333+'27-debt svc'!B31+'27-debt svc'!B66+'45- capital Projects fund'!E18+3500</f>
        <v>1255147</v>
      </c>
      <c r="F19" s="2">
        <f>+F17+F12+F9+'33-Fire Protection -other'!F12+'32-Media'!F112+'10-wastewater'!F333+'27-debt svc'!C31+'27-debt svc'!C66+'45- capital Projects fund'!F18+3500</f>
        <v>1339760</v>
      </c>
      <c r="G19" s="2">
        <f>+G17+G12+G9+'33-Fire Protection -other'!G12+'32-Media'!G112+'10-wastewater'!G333+'27-debt svc'!D31+'27-debt svc'!D66+'45- capital Projects fund'!G18+23000</f>
        <v>1420174</v>
      </c>
      <c r="H19" s="2">
        <f>+H17+H12+H9+'33-Fire Protection -other'!H12+'32-Media'!H112+'10-wastewater'!H333+'27-debt svc'!E31+'27-debt svc'!E66+'45- capital Projects fund'!H18+'15-library'!H258</f>
        <v>2544903</v>
      </c>
      <c r="I19" s="2">
        <f>+I17+I12+I9+'33-Fire Protection -other'!I12+'32-Media'!I112+'10-wastewater'!I333+'27-debt svc'!F31+'27-debt svc'!F66+'45- capital Projects fund'!I18+'15-library'!I258</f>
        <v>2548245</v>
      </c>
      <c r="J19" s="2">
        <f>+J17+J12+J9+'33-Fire Protection -other'!J12+'32-Media'!J112+'10-wastewater'!J333+'27-debt svc'!G31+'27-debt svc'!G66+'45- capital Projects fund'!J18+'15-library'!J258</f>
        <v>2623245</v>
      </c>
    </row>
    <row r="20" spans="1:10" x14ac:dyDescent="0.2">
      <c r="A20" s="1" t="s">
        <v>1151</v>
      </c>
      <c r="B20" s="2"/>
      <c r="C20" s="2"/>
      <c r="D20" s="2"/>
      <c r="E20" s="2">
        <f>SUM(E1:E17)</f>
        <v>400311</v>
      </c>
      <c r="F20" s="2">
        <f>SUM(F1:F18)</f>
        <v>494549</v>
      </c>
      <c r="G20" s="2">
        <f>SUM(G1:G18)</f>
        <v>499799</v>
      </c>
      <c r="H20" s="2">
        <f>SUM(H1:H18)</f>
        <v>499799</v>
      </c>
      <c r="I20" s="2">
        <f>SUM(I1:I18)</f>
        <v>499799</v>
      </c>
      <c r="J20" s="2">
        <f>SUM(J1:J18)</f>
        <v>499799</v>
      </c>
    </row>
    <row r="24" spans="1:10" x14ac:dyDescent="0.2">
      <c r="C24" s="11"/>
    </row>
    <row r="25" spans="1:10" x14ac:dyDescent="0.2">
      <c r="C25" s="11"/>
    </row>
  </sheetData>
  <mergeCells count="2">
    <mergeCell ref="A5:F5"/>
    <mergeCell ref="A1:I1"/>
  </mergeCells>
  <phoneticPr fontId="7" type="noConversion"/>
  <printOptions gridLines="1"/>
  <pageMargins left="0.75" right="0.16" top="0.51" bottom="0.22" header="0.5" footer="0"/>
  <pageSetup scale="86" fitToHeight="7" orientation="landscape" r:id="rId1"/>
  <headerFooter alignWithMargins="0"/>
  <rowBreaks count="2" manualBreakCount="2">
    <brk id="11" max="9" man="1"/>
    <brk id="15" max="9" man="1"/>
  </rowBreaks>
  <colBreaks count="1" manualBreakCount="1">
    <brk id="10" max="1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431"/>
  <sheetViews>
    <sheetView view="pageBreakPreview" zoomScaleNormal="100" zoomScaleSheetLayoutView="100" workbookViewId="0">
      <pane ySplit="5" topLeftCell="A6" activePane="bottomLeft" state="frozen"/>
      <selection activeCell="D43" sqref="D43"/>
      <selection pane="bottomLeft" activeCell="G362" sqref="G362"/>
    </sheetView>
  </sheetViews>
  <sheetFormatPr defaultColWidth="44.5703125" defaultRowHeight="12.75" x14ac:dyDescent="0.2"/>
  <cols>
    <col min="1" max="1" width="56" style="2" customWidth="1"/>
    <col min="2" max="2" width="9.85546875" style="2" customWidth="1"/>
    <col min="3" max="3" width="10.42578125" style="2" bestFit="1" customWidth="1"/>
    <col min="4" max="4" width="10.85546875" style="2" customWidth="1"/>
    <col min="5" max="5" width="10.42578125" style="2" bestFit="1" customWidth="1"/>
    <col min="6" max="6" width="9.7109375" style="2" customWidth="1"/>
    <col min="7" max="7" width="10.28515625" style="2" customWidth="1"/>
    <col min="8" max="8" width="12.140625" style="2" customWidth="1"/>
    <col min="9" max="9" width="10.85546875" style="2" bestFit="1" customWidth="1"/>
    <col min="10" max="10" width="10.42578125" style="2" bestFit="1" customWidth="1"/>
    <col min="11" max="16384" width="44.5703125" style="2"/>
  </cols>
  <sheetData>
    <row r="1" spans="1:11" x14ac:dyDescent="0.2">
      <c r="A1" s="254" t="e">
        <f>#REF!</f>
        <v>#REF!</v>
      </c>
      <c r="B1" s="255"/>
      <c r="C1" s="255"/>
      <c r="D1" s="255"/>
      <c r="E1" s="255"/>
      <c r="F1" s="255"/>
      <c r="G1" s="255"/>
      <c r="H1" s="255"/>
      <c r="I1" s="255"/>
      <c r="J1" s="255"/>
    </row>
    <row r="2" spans="1:11" ht="18.75" x14ac:dyDescent="0.3">
      <c r="A2" s="93" t="s">
        <v>1572</v>
      </c>
      <c r="B2" s="93"/>
      <c r="C2" s="93"/>
      <c r="D2" s="93"/>
      <c r="E2" s="93"/>
      <c r="F2" s="93"/>
    </row>
    <row r="4" spans="1:11" x14ac:dyDescent="0.2">
      <c r="B4" s="4"/>
      <c r="C4" s="4"/>
      <c r="D4" s="4"/>
      <c r="E4" s="15" t="s">
        <v>204</v>
      </c>
      <c r="F4" s="15" t="s">
        <v>205</v>
      </c>
      <c r="G4" s="15" t="s">
        <v>61</v>
      </c>
      <c r="H4" s="15" t="s">
        <v>358</v>
      </c>
      <c r="I4" s="15" t="s">
        <v>270</v>
      </c>
      <c r="J4" s="15" t="s">
        <v>301</v>
      </c>
    </row>
    <row r="5" spans="1:11" ht="15" x14ac:dyDescent="0.35">
      <c r="E5" s="196" t="s">
        <v>1757</v>
      </c>
      <c r="F5" s="196" t="s">
        <v>1838</v>
      </c>
      <c r="G5" s="196" t="s">
        <v>1977</v>
      </c>
      <c r="H5" s="196" t="s">
        <v>1977</v>
      </c>
      <c r="I5" s="196" t="s">
        <v>1977</v>
      </c>
      <c r="J5" s="196" t="s">
        <v>1977</v>
      </c>
    </row>
    <row r="6" spans="1:11" ht="13.5" x14ac:dyDescent="0.25">
      <c r="A6" s="43" t="s">
        <v>1011</v>
      </c>
      <c r="E6" s="2">
        <v>46239</v>
      </c>
      <c r="F6" s="3">
        <v>48177</v>
      </c>
      <c r="G6" s="3">
        <v>47268</v>
      </c>
      <c r="H6" s="3">
        <v>47268</v>
      </c>
      <c r="I6" s="3">
        <v>48464</v>
      </c>
      <c r="J6" s="3">
        <v>48464</v>
      </c>
      <c r="K6" s="2">
        <f>+H6-I6</f>
        <v>-1196</v>
      </c>
    </row>
    <row r="7" spans="1:11" ht="12" customHeight="1" x14ac:dyDescent="0.2">
      <c r="A7" s="2" t="s">
        <v>391</v>
      </c>
      <c r="B7" s="87">
        <v>52</v>
      </c>
      <c r="C7" s="2">
        <v>932</v>
      </c>
      <c r="D7" s="2">
        <f>+B7*C7</f>
        <v>48464</v>
      </c>
      <c r="F7" s="3"/>
      <c r="G7" s="3"/>
      <c r="H7" s="3"/>
      <c r="I7" s="3"/>
      <c r="J7" s="3"/>
      <c r="K7" s="2">
        <f t="shared" ref="K7:K70" si="0">+H7-I7</f>
        <v>0</v>
      </c>
    </row>
    <row r="8" spans="1:11" ht="15" x14ac:dyDescent="0.35">
      <c r="A8" s="2" t="s">
        <v>824</v>
      </c>
      <c r="D8" s="10">
        <v>0</v>
      </c>
      <c r="F8" s="3"/>
      <c r="G8" s="3"/>
      <c r="H8" s="3"/>
      <c r="I8" s="3"/>
      <c r="J8" s="3"/>
      <c r="K8" s="2">
        <f t="shared" si="0"/>
        <v>0</v>
      </c>
    </row>
    <row r="9" spans="1:11" x14ac:dyDescent="0.2">
      <c r="A9" s="2" t="s">
        <v>1073</v>
      </c>
      <c r="D9" s="2">
        <f>SUM(D7:D8)</f>
        <v>48464</v>
      </c>
      <c r="F9" s="3"/>
      <c r="G9" s="3"/>
      <c r="H9" s="3"/>
      <c r="I9" s="3"/>
      <c r="J9" s="3"/>
      <c r="K9" s="2">
        <f t="shared" si="0"/>
        <v>0</v>
      </c>
    </row>
    <row r="10" spans="1:11" x14ac:dyDescent="0.2">
      <c r="F10" s="3"/>
      <c r="G10" s="3"/>
      <c r="H10" s="3"/>
      <c r="I10" s="3"/>
      <c r="J10" s="3"/>
      <c r="K10" s="2">
        <f t="shared" si="0"/>
        <v>0</v>
      </c>
    </row>
    <row r="11" spans="1:11" ht="13.5" x14ac:dyDescent="0.25">
      <c r="A11" s="43" t="s">
        <v>392</v>
      </c>
      <c r="D11" s="2">
        <v>28.03</v>
      </c>
      <c r="E11" s="2">
        <v>971701</v>
      </c>
      <c r="F11" s="3">
        <v>1110083</v>
      </c>
      <c r="G11" s="3">
        <v>1109956</v>
      </c>
      <c r="H11" s="3">
        <v>1109956</v>
      </c>
      <c r="I11" s="3">
        <v>1116196</v>
      </c>
      <c r="J11" s="3">
        <v>1116196</v>
      </c>
      <c r="K11" s="2">
        <f t="shared" si="0"/>
        <v>-6240</v>
      </c>
    </row>
    <row r="12" spans="1:11" x14ac:dyDescent="0.2">
      <c r="A12" s="2" t="s">
        <v>1946</v>
      </c>
      <c r="B12" s="2">
        <v>52</v>
      </c>
      <c r="C12" s="2">
        <v>2525</v>
      </c>
      <c r="D12" s="2">
        <f>+C12*B12</f>
        <v>131300</v>
      </c>
      <c r="F12" s="3"/>
      <c r="G12" s="3"/>
      <c r="H12" s="3"/>
      <c r="I12" s="3"/>
      <c r="J12" s="3"/>
      <c r="K12" s="2">
        <f t="shared" si="0"/>
        <v>0</v>
      </c>
    </row>
    <row r="13" spans="1:11" x14ac:dyDescent="0.2">
      <c r="A13" s="2" t="s">
        <v>393</v>
      </c>
      <c r="B13" s="2">
        <v>52</v>
      </c>
      <c r="C13" s="2">
        <v>2165</v>
      </c>
      <c r="D13" s="2">
        <v>109824</v>
      </c>
      <c r="F13" s="3"/>
      <c r="G13" s="3"/>
      <c r="H13" s="3"/>
      <c r="I13" s="3"/>
      <c r="J13" s="3"/>
      <c r="K13" s="2">
        <f t="shared" si="0"/>
        <v>0</v>
      </c>
    </row>
    <row r="14" spans="1:11" x14ac:dyDescent="0.2">
      <c r="A14" s="2" t="s">
        <v>1396</v>
      </c>
      <c r="B14" s="2">
        <v>52</v>
      </c>
      <c r="C14" s="2">
        <v>2019</v>
      </c>
      <c r="D14" s="2">
        <v>102440</v>
      </c>
      <c r="F14" s="3"/>
      <c r="G14" s="3"/>
      <c r="H14" s="3"/>
      <c r="I14" s="3"/>
      <c r="J14" s="3"/>
      <c r="K14" s="2">
        <f t="shared" si="0"/>
        <v>0</v>
      </c>
    </row>
    <row r="15" spans="1:11" x14ac:dyDescent="0.2">
      <c r="A15" s="2" t="s">
        <v>1059</v>
      </c>
      <c r="B15" s="2">
        <v>52</v>
      </c>
      <c r="C15" s="2">
        <f>1484+28</f>
        <v>1512</v>
      </c>
      <c r="D15" s="2">
        <f t="shared" ref="D15:D22" si="1">+C15*B15</f>
        <v>78624</v>
      </c>
      <c r="F15" s="3"/>
      <c r="G15" s="3"/>
      <c r="H15" s="3"/>
      <c r="I15" s="3"/>
      <c r="J15" s="3"/>
      <c r="K15" s="2">
        <f t="shared" si="0"/>
        <v>0</v>
      </c>
    </row>
    <row r="16" spans="1:11" x14ac:dyDescent="0.2">
      <c r="A16" s="2" t="s">
        <v>394</v>
      </c>
      <c r="B16" s="2">
        <v>52</v>
      </c>
      <c r="C16" s="2">
        <f>1634+33</f>
        <v>1667</v>
      </c>
      <c r="D16" s="2">
        <f t="shared" si="1"/>
        <v>86684</v>
      </c>
      <c r="F16" s="51"/>
      <c r="G16" s="51"/>
      <c r="H16" s="51"/>
      <c r="I16" s="51"/>
      <c r="J16" s="51"/>
      <c r="K16" s="2">
        <f t="shared" si="0"/>
        <v>0</v>
      </c>
    </row>
    <row r="17" spans="1:11" x14ac:dyDescent="0.2">
      <c r="A17" s="2" t="s">
        <v>2082</v>
      </c>
      <c r="B17" s="2">
        <v>52</v>
      </c>
      <c r="C17" s="2">
        <v>1626</v>
      </c>
      <c r="D17" s="2">
        <f>+C17*B17</f>
        <v>84552</v>
      </c>
      <c r="F17" s="3"/>
      <c r="G17" s="3"/>
      <c r="H17" s="3"/>
      <c r="I17" s="3"/>
      <c r="J17" s="3"/>
      <c r="K17" s="2">
        <f t="shared" si="0"/>
        <v>0</v>
      </c>
    </row>
    <row r="18" spans="1:11" x14ac:dyDescent="0.2">
      <c r="A18" s="2" t="s">
        <v>2083</v>
      </c>
      <c r="B18" s="2">
        <v>52</v>
      </c>
      <c r="C18" s="2">
        <v>1627</v>
      </c>
      <c r="D18" s="2">
        <f>+C18*B18</f>
        <v>84604</v>
      </c>
      <c r="F18" s="3"/>
      <c r="G18" s="3"/>
      <c r="H18" s="3"/>
      <c r="I18" s="3"/>
      <c r="J18" s="3"/>
      <c r="K18" s="2">
        <f t="shared" si="0"/>
        <v>0</v>
      </c>
    </row>
    <row r="19" spans="1:11" x14ac:dyDescent="0.2">
      <c r="A19" s="2" t="s">
        <v>394</v>
      </c>
      <c r="B19" s="2">
        <v>52</v>
      </c>
      <c r="C19" s="2">
        <f>1583+33</f>
        <v>1616</v>
      </c>
      <c r="D19" s="2">
        <f t="shared" si="1"/>
        <v>84032</v>
      </c>
      <c r="F19" s="3"/>
      <c r="G19" s="3"/>
      <c r="H19" s="3"/>
      <c r="I19" s="3"/>
      <c r="J19" s="3"/>
      <c r="K19" s="2">
        <f t="shared" si="0"/>
        <v>0</v>
      </c>
    </row>
    <row r="20" spans="1:11" x14ac:dyDescent="0.2">
      <c r="A20" s="2" t="s">
        <v>395</v>
      </c>
      <c r="B20" s="2">
        <v>52</v>
      </c>
      <c r="C20" s="2">
        <f>1429+27</f>
        <v>1456</v>
      </c>
      <c r="D20" s="2">
        <f>+C20*B20</f>
        <v>75712</v>
      </c>
      <c r="F20" s="51"/>
      <c r="G20" s="51"/>
      <c r="H20" s="51"/>
      <c r="I20" s="51"/>
      <c r="J20" s="51"/>
      <c r="K20" s="2">
        <f t="shared" si="0"/>
        <v>0</v>
      </c>
    </row>
    <row r="21" spans="1:11" x14ac:dyDescent="0.2">
      <c r="A21" s="2" t="s">
        <v>395</v>
      </c>
      <c r="B21" s="2">
        <v>52</v>
      </c>
      <c r="C21" s="2">
        <f>1443+27</f>
        <v>1470</v>
      </c>
      <c r="D21" s="2">
        <f t="shared" si="1"/>
        <v>76440</v>
      </c>
      <c r="F21" s="3"/>
      <c r="G21" s="3"/>
      <c r="H21" s="3"/>
      <c r="I21" s="3"/>
      <c r="J21" s="3"/>
      <c r="K21" s="2">
        <f t="shared" si="0"/>
        <v>0</v>
      </c>
    </row>
    <row r="22" spans="1:11" x14ac:dyDescent="0.2">
      <c r="A22" s="2" t="s">
        <v>2084</v>
      </c>
      <c r="B22" s="2">
        <v>52</v>
      </c>
      <c r="C22" s="2">
        <v>1515</v>
      </c>
      <c r="D22" s="2">
        <f t="shared" si="1"/>
        <v>78780</v>
      </c>
      <c r="F22" s="3"/>
      <c r="G22" s="3"/>
      <c r="H22" s="3"/>
      <c r="I22" s="3"/>
      <c r="J22" s="3"/>
      <c r="K22" s="2">
        <f t="shared" si="0"/>
        <v>0</v>
      </c>
    </row>
    <row r="23" spans="1:11" x14ac:dyDescent="0.2">
      <c r="A23" s="2" t="s">
        <v>2085</v>
      </c>
      <c r="B23" s="2">
        <v>52</v>
      </c>
      <c r="C23" s="2">
        <v>1475</v>
      </c>
      <c r="D23" s="2">
        <f>+C23*B23</f>
        <v>76700</v>
      </c>
      <c r="F23" s="3"/>
      <c r="G23" s="3"/>
      <c r="H23" s="3"/>
      <c r="I23" s="3"/>
      <c r="J23" s="3"/>
      <c r="K23" s="2">
        <f t="shared" si="0"/>
        <v>0</v>
      </c>
    </row>
    <row r="24" spans="1:11" x14ac:dyDescent="0.2">
      <c r="A24" s="2" t="s">
        <v>1752</v>
      </c>
      <c r="F24" s="3"/>
      <c r="G24" s="3"/>
      <c r="H24" s="3"/>
      <c r="I24" s="3"/>
      <c r="J24" s="3"/>
      <c r="K24" s="2">
        <f t="shared" si="0"/>
        <v>0</v>
      </c>
    </row>
    <row r="25" spans="1:11" x14ac:dyDescent="0.2">
      <c r="A25" s="2" t="s">
        <v>1621</v>
      </c>
      <c r="F25" s="3"/>
      <c r="G25" s="3"/>
      <c r="H25" s="3"/>
      <c r="I25" s="3"/>
      <c r="J25" s="3"/>
      <c r="K25" s="2">
        <f t="shared" si="0"/>
        <v>0</v>
      </c>
    </row>
    <row r="26" spans="1:11" x14ac:dyDescent="0.2">
      <c r="A26" s="2" t="s">
        <v>1663</v>
      </c>
      <c r="B26" s="2">
        <v>900</v>
      </c>
      <c r="C26" s="11">
        <f>ROUND(((SUM(D15:D23))/2184)/9,2)</f>
        <v>36.94</v>
      </c>
      <c r="D26" s="2">
        <f>+C26*B26</f>
        <v>33246</v>
      </c>
      <c r="F26" s="3"/>
      <c r="G26" s="3"/>
      <c r="H26" s="3"/>
      <c r="I26" s="3"/>
      <c r="J26" s="3"/>
      <c r="K26" s="2">
        <f t="shared" si="0"/>
        <v>0</v>
      </c>
    </row>
    <row r="27" spans="1:11" ht="15" x14ac:dyDescent="0.35">
      <c r="A27" s="2" t="s">
        <v>824</v>
      </c>
      <c r="D27" s="10">
        <v>13258</v>
      </c>
      <c r="F27" s="3"/>
      <c r="G27" s="3"/>
      <c r="H27" s="3"/>
      <c r="I27" s="3"/>
      <c r="J27" s="3"/>
      <c r="K27" s="2">
        <f t="shared" si="0"/>
        <v>0</v>
      </c>
    </row>
    <row r="28" spans="1:11" x14ac:dyDescent="0.2">
      <c r="A28" s="2" t="s">
        <v>1073</v>
      </c>
      <c r="D28" s="2">
        <f>SUM(D12:D27)</f>
        <v>1116196</v>
      </c>
      <c r="F28" s="3"/>
      <c r="G28" s="3"/>
      <c r="H28" s="3"/>
      <c r="I28" s="3"/>
      <c r="J28" s="3"/>
      <c r="K28" s="2">
        <f t="shared" si="0"/>
        <v>0</v>
      </c>
    </row>
    <row r="29" spans="1:11" x14ac:dyDescent="0.2">
      <c r="F29" s="3"/>
      <c r="G29" s="3"/>
      <c r="H29" s="3"/>
      <c r="I29" s="3"/>
      <c r="J29" s="3"/>
      <c r="K29" s="2">
        <f t="shared" si="0"/>
        <v>0</v>
      </c>
    </row>
    <row r="30" spans="1:11" x14ac:dyDescent="0.2">
      <c r="F30" s="3"/>
      <c r="G30" s="3"/>
      <c r="H30" s="3"/>
      <c r="I30" s="3"/>
      <c r="J30" s="3"/>
      <c r="K30" s="2">
        <f t="shared" si="0"/>
        <v>0</v>
      </c>
    </row>
    <row r="31" spans="1:11" ht="13.5" x14ac:dyDescent="0.25">
      <c r="A31" s="43" t="s">
        <v>962</v>
      </c>
      <c r="E31" s="2">
        <v>1684170</v>
      </c>
      <c r="F31" s="3">
        <v>2056826</v>
      </c>
      <c r="G31" s="3">
        <v>2374979</v>
      </c>
      <c r="H31" s="3">
        <v>2374979</v>
      </c>
      <c r="I31" s="3">
        <v>2374979</v>
      </c>
      <c r="J31" s="3">
        <v>2374979</v>
      </c>
      <c r="K31" s="2">
        <f t="shared" si="0"/>
        <v>0</v>
      </c>
    </row>
    <row r="32" spans="1:11" ht="15" x14ac:dyDescent="0.25">
      <c r="A32" s="236" t="s">
        <v>2086</v>
      </c>
      <c r="B32" s="2">
        <v>52</v>
      </c>
      <c r="C32" s="236">
        <v>1199</v>
      </c>
      <c r="D32" s="2">
        <f t="shared" ref="D32:D68" si="2">+C32*B32</f>
        <v>62348</v>
      </c>
      <c r="E32" s="84"/>
      <c r="F32" s="125"/>
      <c r="G32" s="125"/>
      <c r="H32" s="125"/>
      <c r="I32" s="125"/>
      <c r="J32" s="125"/>
      <c r="K32" s="2">
        <f t="shared" si="0"/>
        <v>0</v>
      </c>
    </row>
    <row r="33" spans="1:11" ht="15" x14ac:dyDescent="0.25">
      <c r="A33" s="236" t="s">
        <v>2087</v>
      </c>
      <c r="B33" s="2">
        <v>52</v>
      </c>
      <c r="C33" s="236">
        <v>1192</v>
      </c>
      <c r="D33" s="2">
        <f t="shared" si="2"/>
        <v>61984</v>
      </c>
      <c r="E33" s="84"/>
      <c r="F33" s="125"/>
      <c r="G33" s="125"/>
      <c r="H33" s="125"/>
      <c r="I33" s="125"/>
      <c r="J33" s="125"/>
      <c r="K33" s="2">
        <f t="shared" si="0"/>
        <v>0</v>
      </c>
    </row>
    <row r="34" spans="1:11" ht="15" x14ac:dyDescent="0.25">
      <c r="A34" s="236" t="s">
        <v>2088</v>
      </c>
      <c r="B34" s="2">
        <v>52</v>
      </c>
      <c r="C34" s="236">
        <v>1191</v>
      </c>
      <c r="D34" s="2">
        <f t="shared" si="2"/>
        <v>61932</v>
      </c>
      <c r="E34" s="84"/>
      <c r="F34" s="125"/>
      <c r="G34" s="125"/>
      <c r="H34" s="125"/>
      <c r="I34" s="125"/>
      <c r="J34" s="125"/>
      <c r="K34" s="2">
        <f t="shared" si="0"/>
        <v>0</v>
      </c>
    </row>
    <row r="35" spans="1:11" ht="15" x14ac:dyDescent="0.25">
      <c r="A35" s="236" t="s">
        <v>1388</v>
      </c>
      <c r="B35" s="2">
        <v>52</v>
      </c>
      <c r="C35" s="236">
        <f>1121+21</f>
        <v>1142</v>
      </c>
      <c r="D35" s="2">
        <f t="shared" si="2"/>
        <v>59384</v>
      </c>
      <c r="E35" s="84"/>
      <c r="F35" s="125"/>
      <c r="G35" s="125"/>
      <c r="H35" s="125"/>
      <c r="I35" s="125"/>
      <c r="J35" s="125"/>
      <c r="K35" s="2">
        <f t="shared" si="0"/>
        <v>0</v>
      </c>
    </row>
    <row r="36" spans="1:11" ht="15" x14ac:dyDescent="0.25">
      <c r="A36" s="241" t="s">
        <v>2089</v>
      </c>
      <c r="B36" s="2">
        <v>52</v>
      </c>
      <c r="C36" s="236">
        <v>1140</v>
      </c>
      <c r="D36" s="2">
        <f t="shared" si="2"/>
        <v>59280</v>
      </c>
      <c r="E36" s="84"/>
      <c r="F36" s="125"/>
      <c r="G36" s="125"/>
      <c r="H36" s="125"/>
      <c r="I36" s="125"/>
      <c r="J36" s="125"/>
      <c r="K36" s="2">
        <f t="shared" si="0"/>
        <v>0</v>
      </c>
    </row>
    <row r="37" spans="1:11" ht="15" x14ac:dyDescent="0.25">
      <c r="A37" s="241" t="s">
        <v>2090</v>
      </c>
      <c r="B37" s="2">
        <v>52</v>
      </c>
      <c r="C37" s="236">
        <v>1213</v>
      </c>
      <c r="D37" s="2">
        <f t="shared" si="2"/>
        <v>63076</v>
      </c>
      <c r="E37" s="84"/>
      <c r="F37" s="59"/>
      <c r="G37" s="59"/>
      <c r="H37" s="59"/>
      <c r="I37" s="59"/>
      <c r="J37" s="59"/>
      <c r="K37" s="2">
        <f t="shared" si="0"/>
        <v>0</v>
      </c>
    </row>
    <row r="38" spans="1:11" ht="15" x14ac:dyDescent="0.25">
      <c r="A38" s="236" t="s">
        <v>2091</v>
      </c>
      <c r="B38" s="2">
        <v>52</v>
      </c>
      <c r="C38" s="236">
        <v>1140</v>
      </c>
      <c r="D38" s="2">
        <f t="shared" si="2"/>
        <v>59280</v>
      </c>
      <c r="E38" s="84"/>
      <c r="F38" s="125"/>
      <c r="G38" s="125"/>
      <c r="H38" s="125"/>
      <c r="I38" s="125"/>
      <c r="J38" s="125"/>
      <c r="K38" s="2">
        <f t="shared" si="0"/>
        <v>0</v>
      </c>
    </row>
    <row r="39" spans="1:11" ht="15" x14ac:dyDescent="0.25">
      <c r="A39" s="236" t="s">
        <v>2091</v>
      </c>
      <c r="B39" s="2">
        <v>52</v>
      </c>
      <c r="C39" s="236">
        <v>1140</v>
      </c>
      <c r="D39" s="2">
        <f t="shared" si="2"/>
        <v>59280</v>
      </c>
      <c r="E39" s="84"/>
      <c r="F39" s="125"/>
      <c r="G39" s="125"/>
      <c r="H39" s="125"/>
      <c r="I39" s="125"/>
      <c r="J39" s="125"/>
      <c r="K39" s="2">
        <f t="shared" si="0"/>
        <v>0</v>
      </c>
    </row>
    <row r="40" spans="1:11" ht="15" x14ac:dyDescent="0.25">
      <c r="A40" s="236" t="s">
        <v>2092</v>
      </c>
      <c r="B40" s="2">
        <v>52</v>
      </c>
      <c r="C40" s="236">
        <v>1149</v>
      </c>
      <c r="D40" s="2">
        <f t="shared" si="2"/>
        <v>59748</v>
      </c>
      <c r="E40" s="84"/>
      <c r="F40" s="125"/>
      <c r="G40" s="125"/>
      <c r="H40" s="125"/>
      <c r="I40" s="125"/>
      <c r="J40" s="125"/>
      <c r="K40" s="2">
        <f t="shared" si="0"/>
        <v>0</v>
      </c>
    </row>
    <row r="41" spans="1:11" ht="15" x14ac:dyDescent="0.25">
      <c r="A41" s="236" t="s">
        <v>2093</v>
      </c>
      <c r="B41" s="2">
        <v>52</v>
      </c>
      <c r="C41" s="236">
        <v>1207</v>
      </c>
      <c r="D41" s="2">
        <f t="shared" si="2"/>
        <v>62764</v>
      </c>
      <c r="E41" s="84"/>
      <c r="F41" s="125"/>
      <c r="G41" s="125"/>
      <c r="H41" s="125"/>
      <c r="I41" s="125"/>
      <c r="J41" s="125"/>
      <c r="K41" s="2">
        <f t="shared" si="0"/>
        <v>0</v>
      </c>
    </row>
    <row r="42" spans="1:11" ht="15" x14ac:dyDescent="0.25">
      <c r="A42" s="236" t="s">
        <v>2094</v>
      </c>
      <c r="B42" s="2">
        <v>52</v>
      </c>
      <c r="C42" s="236">
        <v>1220</v>
      </c>
      <c r="D42" s="2">
        <f t="shared" si="2"/>
        <v>63440</v>
      </c>
      <c r="E42" s="84"/>
      <c r="F42" s="125"/>
      <c r="G42" s="125"/>
      <c r="H42" s="125"/>
      <c r="I42" s="125"/>
      <c r="J42" s="125"/>
      <c r="K42" s="2">
        <f t="shared" si="0"/>
        <v>0</v>
      </c>
    </row>
    <row r="43" spans="1:11" ht="15" x14ac:dyDescent="0.25">
      <c r="A43" s="236" t="s">
        <v>2094</v>
      </c>
      <c r="B43" s="2">
        <v>52</v>
      </c>
      <c r="C43" s="236">
        <v>1150</v>
      </c>
      <c r="D43" s="2">
        <f t="shared" si="2"/>
        <v>59800</v>
      </c>
      <c r="E43" s="84"/>
      <c r="F43" s="125"/>
      <c r="G43" s="125"/>
      <c r="H43" s="125"/>
      <c r="I43" s="125"/>
      <c r="J43" s="125"/>
      <c r="K43" s="2">
        <f t="shared" si="0"/>
        <v>0</v>
      </c>
    </row>
    <row r="44" spans="1:11" ht="15" x14ac:dyDescent="0.25">
      <c r="A44" s="236" t="s">
        <v>2095</v>
      </c>
      <c r="B44" s="2">
        <v>52</v>
      </c>
      <c r="C44" s="236">
        <v>1176</v>
      </c>
      <c r="D44" s="2">
        <f t="shared" si="2"/>
        <v>61152</v>
      </c>
      <c r="E44" s="84"/>
      <c r="F44" s="125"/>
      <c r="G44" s="125"/>
      <c r="H44" s="125"/>
      <c r="I44" s="125"/>
      <c r="J44" s="125"/>
      <c r="K44" s="2">
        <f t="shared" si="0"/>
        <v>0</v>
      </c>
    </row>
    <row r="45" spans="1:11" ht="15" x14ac:dyDescent="0.25">
      <c r="A45" s="236" t="s">
        <v>1388</v>
      </c>
      <c r="B45" s="2">
        <v>52</v>
      </c>
      <c r="C45" s="236">
        <f>1072</f>
        <v>1072</v>
      </c>
      <c r="D45" s="2">
        <f t="shared" si="2"/>
        <v>55744</v>
      </c>
      <c r="E45" s="84"/>
      <c r="F45" s="125"/>
      <c r="G45" s="125"/>
      <c r="H45" s="125"/>
      <c r="I45" s="125"/>
      <c r="J45" s="125"/>
      <c r="K45" s="2">
        <f t="shared" si="0"/>
        <v>0</v>
      </c>
    </row>
    <row r="46" spans="1:11" ht="15" x14ac:dyDescent="0.25">
      <c r="A46" s="236" t="s">
        <v>1388</v>
      </c>
      <c r="B46" s="2">
        <v>52</v>
      </c>
      <c r="C46" s="236">
        <f>1072</f>
        <v>1072</v>
      </c>
      <c r="D46" s="2">
        <f t="shared" si="2"/>
        <v>55744</v>
      </c>
      <c r="E46" s="84"/>
      <c r="F46" s="125"/>
      <c r="G46" s="125"/>
      <c r="H46" s="125"/>
      <c r="I46" s="125"/>
      <c r="J46" s="125"/>
      <c r="K46" s="2">
        <f t="shared" si="0"/>
        <v>0</v>
      </c>
    </row>
    <row r="47" spans="1:11" ht="15" x14ac:dyDescent="0.25">
      <c r="A47" s="236" t="s">
        <v>1388</v>
      </c>
      <c r="B47" s="2">
        <v>52</v>
      </c>
      <c r="C47" s="236">
        <f>1072</f>
        <v>1072</v>
      </c>
      <c r="D47" s="2">
        <f t="shared" si="2"/>
        <v>55744</v>
      </c>
      <c r="E47" s="84"/>
      <c r="F47" s="125"/>
      <c r="G47" s="125"/>
      <c r="H47" s="125"/>
      <c r="I47" s="125"/>
      <c r="J47" s="125"/>
      <c r="K47" s="2">
        <f t="shared" si="0"/>
        <v>0</v>
      </c>
    </row>
    <row r="48" spans="1:11" ht="15" x14ac:dyDescent="0.25">
      <c r="A48" s="241" t="s">
        <v>1990</v>
      </c>
      <c r="B48" s="2">
        <v>52</v>
      </c>
      <c r="C48" s="236">
        <v>1151</v>
      </c>
      <c r="D48" s="2">
        <f t="shared" si="2"/>
        <v>59852</v>
      </c>
      <c r="E48" s="84"/>
      <c r="F48" s="125"/>
      <c r="G48" s="125"/>
      <c r="H48" s="125"/>
      <c r="I48" s="125"/>
      <c r="J48" s="125"/>
      <c r="K48" s="2">
        <f t="shared" si="0"/>
        <v>0</v>
      </c>
    </row>
    <row r="49" spans="1:11" ht="15" x14ac:dyDescent="0.25">
      <c r="A49" s="241" t="s">
        <v>1990</v>
      </c>
      <c r="B49" s="2">
        <v>52</v>
      </c>
      <c r="C49" s="236">
        <f>1151</f>
        <v>1151</v>
      </c>
      <c r="D49" s="2">
        <f t="shared" si="2"/>
        <v>59852</v>
      </c>
      <c r="E49" s="84"/>
      <c r="F49" s="125"/>
      <c r="G49" s="125"/>
      <c r="H49" s="125"/>
      <c r="I49" s="125"/>
      <c r="J49" s="125"/>
      <c r="K49" s="2">
        <f t="shared" si="0"/>
        <v>0</v>
      </c>
    </row>
    <row r="50" spans="1:11" ht="15" x14ac:dyDescent="0.25">
      <c r="A50" s="236" t="s">
        <v>2096</v>
      </c>
      <c r="B50" s="2">
        <v>52</v>
      </c>
      <c r="C50" s="236">
        <v>1261</v>
      </c>
      <c r="D50" s="2">
        <f t="shared" si="2"/>
        <v>65572</v>
      </c>
      <c r="E50" s="84"/>
      <c r="F50" s="125"/>
      <c r="G50" s="125"/>
      <c r="H50" s="125"/>
      <c r="I50" s="125"/>
      <c r="J50" s="125"/>
      <c r="K50" s="2">
        <f t="shared" si="0"/>
        <v>0</v>
      </c>
    </row>
    <row r="51" spans="1:11" ht="15" x14ac:dyDescent="0.25">
      <c r="A51" s="241" t="s">
        <v>2097</v>
      </c>
      <c r="B51" s="2">
        <v>52</v>
      </c>
      <c r="C51" s="236">
        <v>1213</v>
      </c>
      <c r="D51" s="2">
        <f t="shared" si="2"/>
        <v>63076</v>
      </c>
      <c r="E51" s="84"/>
      <c r="F51" s="125"/>
      <c r="G51" s="125"/>
      <c r="H51" s="125"/>
      <c r="I51" s="125"/>
      <c r="J51" s="125"/>
      <c r="K51" s="2">
        <f t="shared" si="0"/>
        <v>0</v>
      </c>
    </row>
    <row r="52" spans="1:11" ht="15" x14ac:dyDescent="0.25">
      <c r="A52" s="236" t="s">
        <v>2098</v>
      </c>
      <c r="B52" s="2">
        <v>52</v>
      </c>
      <c r="C52" s="236">
        <v>1285</v>
      </c>
      <c r="D52" s="2">
        <f t="shared" si="2"/>
        <v>66820</v>
      </c>
      <c r="E52" s="84"/>
      <c r="F52" s="125"/>
      <c r="G52" s="125"/>
      <c r="H52" s="125"/>
      <c r="I52" s="125"/>
      <c r="J52" s="125"/>
      <c r="K52" s="2">
        <f t="shared" si="0"/>
        <v>0</v>
      </c>
    </row>
    <row r="53" spans="1:11" ht="15" x14ac:dyDescent="0.25">
      <c r="A53" s="236" t="s">
        <v>1387</v>
      </c>
      <c r="B53" s="2">
        <v>52</v>
      </c>
      <c r="C53" s="236">
        <f>1181+23</f>
        <v>1204</v>
      </c>
      <c r="D53" s="2">
        <f t="shared" si="2"/>
        <v>62608</v>
      </c>
      <c r="E53" s="84"/>
      <c r="F53" s="125"/>
      <c r="G53" s="125"/>
      <c r="H53" s="125"/>
      <c r="I53" s="125"/>
      <c r="J53" s="125"/>
      <c r="K53" s="2">
        <f t="shared" si="0"/>
        <v>0</v>
      </c>
    </row>
    <row r="54" spans="1:11" ht="15" x14ac:dyDescent="0.25">
      <c r="A54" s="236" t="s">
        <v>2099</v>
      </c>
      <c r="B54" s="2">
        <v>52</v>
      </c>
      <c r="C54" s="236">
        <v>1236</v>
      </c>
      <c r="D54" s="2">
        <f t="shared" si="2"/>
        <v>64272</v>
      </c>
      <c r="E54" s="84"/>
      <c r="F54" s="125"/>
      <c r="G54" s="125"/>
      <c r="H54" s="125"/>
      <c r="I54" s="125"/>
      <c r="J54" s="125"/>
      <c r="K54" s="2">
        <f t="shared" si="0"/>
        <v>0</v>
      </c>
    </row>
    <row r="55" spans="1:11" ht="15" x14ac:dyDescent="0.25">
      <c r="A55" s="236" t="s">
        <v>1387</v>
      </c>
      <c r="B55" s="2">
        <v>52</v>
      </c>
      <c r="C55" s="236">
        <f>1186+23</f>
        <v>1209</v>
      </c>
      <c r="D55" s="2">
        <f t="shared" si="2"/>
        <v>62868</v>
      </c>
      <c r="E55" s="84"/>
      <c r="F55" s="125"/>
      <c r="G55" s="125"/>
      <c r="H55" s="125"/>
      <c r="I55" s="125"/>
      <c r="J55" s="125"/>
      <c r="K55" s="2">
        <f t="shared" si="0"/>
        <v>0</v>
      </c>
    </row>
    <row r="56" spans="1:11" ht="15" x14ac:dyDescent="0.25">
      <c r="A56" s="236" t="s">
        <v>1386</v>
      </c>
      <c r="B56" s="2">
        <v>52</v>
      </c>
      <c r="C56" s="236">
        <f>1278+24</f>
        <v>1302</v>
      </c>
      <c r="D56" s="2">
        <f t="shared" si="2"/>
        <v>67704</v>
      </c>
      <c r="E56" s="84"/>
      <c r="F56" s="125"/>
      <c r="G56" s="125"/>
      <c r="H56" s="125"/>
      <c r="I56" s="125"/>
      <c r="J56" s="125"/>
      <c r="K56" s="2">
        <f t="shared" si="0"/>
        <v>0</v>
      </c>
    </row>
    <row r="57" spans="1:11" ht="15" x14ac:dyDescent="0.25">
      <c r="A57" s="236" t="s">
        <v>2100</v>
      </c>
      <c r="B57" s="2">
        <v>52</v>
      </c>
      <c r="C57" s="236">
        <v>1296</v>
      </c>
      <c r="D57" s="2">
        <f t="shared" si="2"/>
        <v>67392</v>
      </c>
      <c r="E57" s="84"/>
      <c r="F57" s="125"/>
      <c r="G57" s="125"/>
      <c r="H57" s="125"/>
      <c r="I57" s="125"/>
      <c r="J57" s="125"/>
      <c r="K57" s="2">
        <f t="shared" si="0"/>
        <v>0</v>
      </c>
    </row>
    <row r="58" spans="1:11" ht="15" x14ac:dyDescent="0.25">
      <c r="A58" s="236" t="s">
        <v>2101</v>
      </c>
      <c r="B58" s="2">
        <v>52</v>
      </c>
      <c r="C58" s="236">
        <v>1286</v>
      </c>
      <c r="D58" s="2">
        <f t="shared" si="2"/>
        <v>66872</v>
      </c>
      <c r="E58" s="84"/>
      <c r="F58" s="59"/>
      <c r="G58" s="59"/>
      <c r="H58" s="59"/>
      <c r="I58" s="59"/>
      <c r="J58" s="59"/>
      <c r="K58" s="2">
        <f t="shared" si="0"/>
        <v>0</v>
      </c>
    </row>
    <row r="59" spans="1:11" ht="15" x14ac:dyDescent="0.25">
      <c r="A59" s="236" t="s">
        <v>1386</v>
      </c>
      <c r="B59" s="2">
        <v>52</v>
      </c>
      <c r="C59" s="236">
        <f>1280+24</f>
        <v>1304</v>
      </c>
      <c r="D59" s="2">
        <f t="shared" si="2"/>
        <v>67808</v>
      </c>
      <c r="E59" s="84"/>
      <c r="F59" s="59"/>
      <c r="G59" s="59"/>
      <c r="H59" s="59"/>
      <c r="I59" s="59"/>
      <c r="J59" s="59"/>
      <c r="K59" s="2">
        <f t="shared" si="0"/>
        <v>0</v>
      </c>
    </row>
    <row r="60" spans="1:11" ht="15" x14ac:dyDescent="0.25">
      <c r="A60" s="236" t="s">
        <v>2102</v>
      </c>
      <c r="B60" s="2">
        <v>52</v>
      </c>
      <c r="C60" s="236">
        <f>1265+24+4</f>
        <v>1293</v>
      </c>
      <c r="D60" s="2">
        <f t="shared" si="2"/>
        <v>67236</v>
      </c>
      <c r="E60" s="84"/>
      <c r="F60" s="125"/>
      <c r="G60" s="125"/>
      <c r="H60" s="125"/>
      <c r="I60" s="125"/>
      <c r="J60" s="125"/>
      <c r="K60" s="2">
        <f t="shared" si="0"/>
        <v>0</v>
      </c>
    </row>
    <row r="61" spans="1:11" ht="15" x14ac:dyDescent="0.25">
      <c r="A61" s="236" t="s">
        <v>1386</v>
      </c>
      <c r="B61" s="2">
        <v>52</v>
      </c>
      <c r="C61" s="236">
        <f>1285+24</f>
        <v>1309</v>
      </c>
      <c r="D61" s="2">
        <f t="shared" si="2"/>
        <v>68068</v>
      </c>
      <c r="E61" s="84"/>
      <c r="F61" s="125"/>
      <c r="G61" s="125"/>
      <c r="H61" s="125"/>
      <c r="I61" s="125"/>
      <c r="J61" s="125"/>
      <c r="K61" s="2">
        <f t="shared" si="0"/>
        <v>0</v>
      </c>
    </row>
    <row r="62" spans="1:11" ht="15" x14ac:dyDescent="0.25">
      <c r="A62" s="236" t="s">
        <v>1386</v>
      </c>
      <c r="B62" s="2">
        <v>52</v>
      </c>
      <c r="C62" s="236">
        <f>1260+24</f>
        <v>1284</v>
      </c>
      <c r="D62" s="2">
        <f t="shared" si="2"/>
        <v>66768</v>
      </c>
      <c r="E62" s="84"/>
      <c r="F62" s="59"/>
      <c r="G62" s="59"/>
      <c r="H62" s="59"/>
      <c r="I62" s="59"/>
      <c r="J62" s="59"/>
      <c r="K62" s="2">
        <f t="shared" si="0"/>
        <v>0</v>
      </c>
    </row>
    <row r="63" spans="1:11" ht="15" x14ac:dyDescent="0.25">
      <c r="A63" s="236" t="s">
        <v>2103</v>
      </c>
      <c r="B63" s="2">
        <v>52</v>
      </c>
      <c r="C63" s="236">
        <v>1072</v>
      </c>
      <c r="D63" s="2">
        <f t="shared" si="2"/>
        <v>55744</v>
      </c>
      <c r="E63" s="84"/>
      <c r="F63" s="59"/>
      <c r="G63" s="59"/>
      <c r="H63" s="59"/>
      <c r="I63" s="59"/>
      <c r="J63" s="59"/>
      <c r="K63" s="2">
        <f t="shared" si="0"/>
        <v>0</v>
      </c>
    </row>
    <row r="64" spans="1:11" ht="15" x14ac:dyDescent="0.25">
      <c r="A64" s="236" t="s">
        <v>1386</v>
      </c>
      <c r="B64" s="2">
        <v>52</v>
      </c>
      <c r="C64" s="236">
        <f>1263+24</f>
        <v>1287</v>
      </c>
      <c r="D64" s="2">
        <f t="shared" si="2"/>
        <v>66924</v>
      </c>
      <c r="E64" s="84"/>
      <c r="F64" s="125"/>
      <c r="G64" s="125"/>
      <c r="H64" s="125"/>
      <c r="I64" s="125"/>
      <c r="J64" s="125"/>
      <c r="K64" s="2">
        <f t="shared" si="0"/>
        <v>0</v>
      </c>
    </row>
    <row r="65" spans="1:11" ht="15" x14ac:dyDescent="0.25">
      <c r="A65" s="236" t="s">
        <v>1513</v>
      </c>
      <c r="B65" s="2">
        <v>52</v>
      </c>
      <c r="C65" s="236">
        <f>1337+26</f>
        <v>1363</v>
      </c>
      <c r="D65" s="2">
        <f t="shared" si="2"/>
        <v>70876</v>
      </c>
      <c r="E65" s="84"/>
      <c r="F65" s="125"/>
      <c r="G65" s="125"/>
      <c r="H65" s="125"/>
      <c r="I65" s="125"/>
      <c r="J65" s="125"/>
      <c r="K65" s="2">
        <f t="shared" si="0"/>
        <v>0</v>
      </c>
    </row>
    <row r="66" spans="1:11" ht="15" x14ac:dyDescent="0.25">
      <c r="A66" s="236" t="s">
        <v>2104</v>
      </c>
      <c r="B66" s="2">
        <v>52</v>
      </c>
      <c r="C66" s="236">
        <f>1284+47</f>
        <v>1331</v>
      </c>
      <c r="D66" s="2">
        <f t="shared" si="2"/>
        <v>69212</v>
      </c>
      <c r="E66" s="84"/>
      <c r="F66" s="125"/>
      <c r="G66" s="125"/>
      <c r="H66" s="125"/>
      <c r="I66" s="125"/>
      <c r="J66" s="125"/>
      <c r="K66" s="2">
        <f t="shared" si="0"/>
        <v>0</v>
      </c>
    </row>
    <row r="67" spans="1:11" ht="15" x14ac:dyDescent="0.25">
      <c r="A67" s="236" t="s">
        <v>2105</v>
      </c>
      <c r="B67" s="2">
        <v>52</v>
      </c>
      <c r="C67" s="236">
        <v>1306</v>
      </c>
      <c r="D67" s="2">
        <f t="shared" si="2"/>
        <v>67912</v>
      </c>
      <c r="E67" s="84"/>
      <c r="F67" s="125"/>
      <c r="G67" s="125"/>
      <c r="H67" s="125"/>
      <c r="I67" s="125"/>
      <c r="J67" s="125"/>
      <c r="K67" s="2">
        <f t="shared" si="0"/>
        <v>0</v>
      </c>
    </row>
    <row r="68" spans="1:11" x14ac:dyDescent="0.2">
      <c r="A68" s="2" t="s">
        <v>2075</v>
      </c>
      <c r="B68" s="2">
        <v>3600</v>
      </c>
      <c r="C68" s="11">
        <f>(AVERAGE(D32:D67))/2184</f>
        <v>28.847883597883598</v>
      </c>
      <c r="D68" s="2">
        <f t="shared" si="2"/>
        <v>103852.38095238095</v>
      </c>
      <c r="F68" s="3"/>
      <c r="G68" s="3"/>
      <c r="H68" s="3"/>
      <c r="I68" s="3"/>
      <c r="J68" s="3"/>
      <c r="K68" s="2">
        <f t="shared" si="0"/>
        <v>0</v>
      </c>
    </row>
    <row r="69" spans="1:11" ht="15" x14ac:dyDescent="0.35">
      <c r="A69" s="2" t="s">
        <v>824</v>
      </c>
      <c r="D69" s="10">
        <v>2991</v>
      </c>
      <c r="F69" s="3"/>
      <c r="G69" s="3"/>
      <c r="H69" s="3"/>
      <c r="I69" s="3"/>
      <c r="J69" s="3"/>
      <c r="K69" s="2">
        <f t="shared" si="0"/>
        <v>0</v>
      </c>
    </row>
    <row r="70" spans="1:11" x14ac:dyDescent="0.2">
      <c r="A70" s="2" t="s">
        <v>1073</v>
      </c>
      <c r="C70" s="11"/>
      <c r="D70" s="2">
        <f>SUM(D32:D69)</f>
        <v>2374979.3809523811</v>
      </c>
      <c r="F70" s="3"/>
      <c r="G70" s="3"/>
      <c r="H70" s="3"/>
      <c r="I70" s="3"/>
      <c r="J70" s="3"/>
      <c r="K70" s="2">
        <f t="shared" si="0"/>
        <v>0</v>
      </c>
    </row>
    <row r="71" spans="1:11" x14ac:dyDescent="0.2">
      <c r="C71" s="11"/>
      <c r="F71" s="3"/>
      <c r="G71" s="3"/>
      <c r="H71" s="3"/>
      <c r="I71" s="3"/>
      <c r="J71" s="3"/>
      <c r="K71" s="2">
        <f t="shared" ref="K71:K134" si="3">+H71-I71</f>
        <v>0</v>
      </c>
    </row>
    <row r="72" spans="1:11" x14ac:dyDescent="0.2">
      <c r="C72" s="11"/>
      <c r="F72" s="3"/>
      <c r="G72" s="3"/>
      <c r="H72" s="3"/>
      <c r="I72" s="3"/>
      <c r="J72" s="3"/>
      <c r="K72" s="2">
        <f t="shared" si="3"/>
        <v>0</v>
      </c>
    </row>
    <row r="73" spans="1:11" ht="13.5" x14ac:dyDescent="0.25">
      <c r="A73" s="49" t="s">
        <v>823</v>
      </c>
      <c r="B73" s="2" t="s">
        <v>522</v>
      </c>
      <c r="C73" s="11" t="s">
        <v>523</v>
      </c>
      <c r="D73" s="2" t="s">
        <v>521</v>
      </c>
      <c r="E73" s="2">
        <v>268336</v>
      </c>
      <c r="F73" s="3">
        <v>222911</v>
      </c>
      <c r="G73" s="3">
        <v>226167</v>
      </c>
      <c r="H73" s="3">
        <v>226167</v>
      </c>
      <c r="I73" s="3">
        <v>226167</v>
      </c>
      <c r="J73" s="3">
        <v>226167</v>
      </c>
      <c r="K73" s="2">
        <f t="shared" si="3"/>
        <v>0</v>
      </c>
    </row>
    <row r="74" spans="1:11" x14ac:dyDescent="0.2">
      <c r="A74" s="2" t="s">
        <v>1398</v>
      </c>
      <c r="B74" s="2">
        <v>800</v>
      </c>
      <c r="C74" s="11">
        <f>+SUM(D15:D23)/2184*1.5/9</f>
        <v>55.412698412698411</v>
      </c>
      <c r="D74" s="2">
        <f>C74*B74</f>
        <v>44330.158730158728</v>
      </c>
      <c r="F74" s="3"/>
      <c r="G74" s="3"/>
      <c r="H74" s="3"/>
      <c r="I74" s="3"/>
      <c r="J74" s="3"/>
      <c r="K74" s="2">
        <f t="shared" si="3"/>
        <v>0</v>
      </c>
    </row>
    <row r="75" spans="1:11" x14ac:dyDescent="0.2">
      <c r="A75" s="2" t="s">
        <v>1487</v>
      </c>
      <c r="B75" s="2">
        <f>64.5+2417</f>
        <v>2481.5</v>
      </c>
      <c r="C75" s="11">
        <f>+C74</f>
        <v>55.412698412698411</v>
      </c>
      <c r="D75" s="2">
        <f>C75*B75</f>
        <v>137506.61111111109</v>
      </c>
      <c r="F75" s="3"/>
      <c r="G75" s="3"/>
      <c r="H75" s="3"/>
      <c r="I75" s="3"/>
      <c r="J75" s="3"/>
      <c r="K75" s="2">
        <f t="shared" si="3"/>
        <v>0</v>
      </c>
    </row>
    <row r="76" spans="1:11" x14ac:dyDescent="0.2">
      <c r="A76" s="2" t="s">
        <v>1892</v>
      </c>
      <c r="B76" s="2">
        <v>220</v>
      </c>
      <c r="C76" s="11">
        <f>+C75</f>
        <v>55.412698412698411</v>
      </c>
      <c r="D76" s="2">
        <f>C76*B76</f>
        <v>12190.79365079365</v>
      </c>
      <c r="F76" s="3"/>
      <c r="G76" s="3"/>
      <c r="H76" s="3"/>
      <c r="I76" s="3"/>
      <c r="J76" s="3"/>
      <c r="K76" s="2">
        <f t="shared" si="3"/>
        <v>0</v>
      </c>
    </row>
    <row r="77" spans="1:11" x14ac:dyDescent="0.2">
      <c r="A77" s="2" t="s">
        <v>1399</v>
      </c>
      <c r="B77" s="2">
        <v>480</v>
      </c>
      <c r="C77" s="11">
        <f>+C74</f>
        <v>55.412698412698411</v>
      </c>
      <c r="D77" s="2">
        <f>+B77*C77</f>
        <v>26598.095238095237</v>
      </c>
      <c r="F77" s="3"/>
      <c r="G77" s="3"/>
      <c r="H77" s="3"/>
      <c r="I77" s="3"/>
      <c r="J77" s="3"/>
      <c r="K77" s="2">
        <f t="shared" si="3"/>
        <v>0</v>
      </c>
    </row>
    <row r="78" spans="1:11" ht="15" x14ac:dyDescent="0.35">
      <c r="A78" s="2" t="s">
        <v>1893</v>
      </c>
      <c r="B78" s="2">
        <v>100</v>
      </c>
      <c r="C78" s="11">
        <f>+C74</f>
        <v>55.412698412698411</v>
      </c>
      <c r="D78" s="10">
        <f>+B78*C78</f>
        <v>5541.269841269841</v>
      </c>
      <c r="F78" s="3"/>
      <c r="G78" s="3"/>
      <c r="H78" s="3"/>
      <c r="I78" s="3"/>
      <c r="J78" s="3"/>
      <c r="K78" s="2">
        <f t="shared" si="3"/>
        <v>0</v>
      </c>
    </row>
    <row r="79" spans="1:11" x14ac:dyDescent="0.2">
      <c r="A79" s="2" t="s">
        <v>1073</v>
      </c>
      <c r="C79" s="11"/>
      <c r="D79" s="2">
        <f>SUM(D74:D78)</f>
        <v>226166.92857142855</v>
      </c>
      <c r="F79" s="3"/>
      <c r="G79" s="3"/>
      <c r="H79" s="3"/>
      <c r="I79" s="3"/>
      <c r="J79" s="3"/>
      <c r="K79" s="2">
        <f t="shared" si="3"/>
        <v>0</v>
      </c>
    </row>
    <row r="80" spans="1:11" x14ac:dyDescent="0.2">
      <c r="C80" s="11"/>
      <c r="F80" s="3"/>
      <c r="G80" s="3"/>
      <c r="H80" s="3"/>
      <c r="I80" s="3"/>
      <c r="J80" s="3"/>
      <c r="K80" s="2">
        <f t="shared" si="3"/>
        <v>0</v>
      </c>
    </row>
    <row r="81" spans="1:11" ht="13.5" x14ac:dyDescent="0.25">
      <c r="A81" s="49" t="s">
        <v>433</v>
      </c>
      <c r="B81" s="2" t="s">
        <v>522</v>
      </c>
      <c r="C81" s="11" t="s">
        <v>523</v>
      </c>
      <c r="D81" s="2" t="s">
        <v>521</v>
      </c>
      <c r="E81" s="2">
        <v>95604</v>
      </c>
      <c r="F81" s="3">
        <v>101965</v>
      </c>
      <c r="G81" s="3">
        <v>100368</v>
      </c>
      <c r="H81" s="3">
        <v>100368</v>
      </c>
      <c r="I81" s="3">
        <v>100368</v>
      </c>
      <c r="J81" s="3">
        <v>100368</v>
      </c>
      <c r="K81" s="2">
        <f t="shared" si="3"/>
        <v>0</v>
      </c>
    </row>
    <row r="82" spans="1:11" x14ac:dyDescent="0.2">
      <c r="A82" s="238" t="s">
        <v>1732</v>
      </c>
      <c r="C82" s="11"/>
      <c r="F82" s="3"/>
      <c r="G82" s="3"/>
      <c r="H82" s="3"/>
      <c r="I82" s="3"/>
      <c r="J82" s="3"/>
      <c r="K82" s="2">
        <f t="shared" si="3"/>
        <v>0</v>
      </c>
    </row>
    <row r="83" spans="1:11" x14ac:dyDescent="0.2">
      <c r="A83" s="35" t="s">
        <v>1733</v>
      </c>
      <c r="B83" s="2">
        <v>756</v>
      </c>
      <c r="C83" s="11">
        <v>21</v>
      </c>
      <c r="D83" s="2">
        <f>C83*B83</f>
        <v>15876</v>
      </c>
      <c r="F83" s="3"/>
      <c r="G83" s="3"/>
      <c r="H83" s="3"/>
      <c r="I83" s="3"/>
      <c r="J83" s="3"/>
      <c r="K83" s="2">
        <f t="shared" si="3"/>
        <v>0</v>
      </c>
    </row>
    <row r="84" spans="1:11" x14ac:dyDescent="0.2">
      <c r="A84" s="35" t="s">
        <v>1734</v>
      </c>
      <c r="B84" s="2">
        <v>2108</v>
      </c>
      <c r="C84" s="11">
        <v>19</v>
      </c>
      <c r="D84" s="2">
        <f>C84*B84</f>
        <v>40052</v>
      </c>
      <c r="F84" s="3"/>
      <c r="G84" s="3"/>
      <c r="H84" s="3"/>
      <c r="I84" s="3"/>
      <c r="J84" s="3"/>
      <c r="K84" s="2">
        <f t="shared" si="3"/>
        <v>0</v>
      </c>
    </row>
    <row r="85" spans="1:11" ht="15" x14ac:dyDescent="0.35">
      <c r="A85" s="35" t="s">
        <v>1735</v>
      </c>
      <c r="B85" s="10">
        <v>464</v>
      </c>
      <c r="C85" s="11">
        <v>16</v>
      </c>
      <c r="D85" s="10">
        <f>C85*B85</f>
        <v>7424</v>
      </c>
      <c r="F85" s="3"/>
      <c r="G85" s="3"/>
      <c r="H85" s="3"/>
      <c r="I85" s="3"/>
      <c r="J85" s="3"/>
      <c r="K85" s="2">
        <f t="shared" si="3"/>
        <v>0</v>
      </c>
    </row>
    <row r="86" spans="1:11" x14ac:dyDescent="0.2">
      <c r="B86" s="2">
        <f>SUM(B83:B85)</f>
        <v>3328</v>
      </c>
      <c r="D86" s="2">
        <f>SUM(D83:D85)</f>
        <v>63352</v>
      </c>
      <c r="F86" s="3"/>
      <c r="G86" s="3"/>
      <c r="H86" s="3"/>
      <c r="I86" s="3"/>
      <c r="J86" s="3"/>
      <c r="K86" s="2">
        <f t="shared" si="3"/>
        <v>0</v>
      </c>
    </row>
    <row r="87" spans="1:11" x14ac:dyDescent="0.2">
      <c r="A87" s="114" t="s">
        <v>1736</v>
      </c>
      <c r="F87" s="3"/>
      <c r="G87" s="3"/>
      <c r="H87" s="3"/>
      <c r="I87" s="3"/>
      <c r="J87" s="3"/>
      <c r="K87" s="2">
        <f t="shared" si="3"/>
        <v>0</v>
      </c>
    </row>
    <row r="88" spans="1:11" x14ac:dyDescent="0.2">
      <c r="A88" s="2" t="s">
        <v>1894</v>
      </c>
      <c r="B88" s="2">
        <v>1248</v>
      </c>
      <c r="C88" s="21">
        <v>26.66</v>
      </c>
      <c r="D88" s="2">
        <f>+B88*C88</f>
        <v>33271.68</v>
      </c>
      <c r="F88" s="3"/>
      <c r="G88" s="3"/>
      <c r="H88" s="3"/>
      <c r="I88" s="3"/>
      <c r="J88" s="3"/>
      <c r="K88" s="2">
        <f t="shared" si="3"/>
        <v>0</v>
      </c>
    </row>
    <row r="89" spans="1:11" x14ac:dyDescent="0.2">
      <c r="C89" s="21"/>
      <c r="F89" s="3"/>
      <c r="G89" s="3"/>
      <c r="H89" s="3"/>
      <c r="I89" s="3"/>
      <c r="J89" s="3"/>
      <c r="K89" s="2">
        <f t="shared" si="3"/>
        <v>0</v>
      </c>
    </row>
    <row r="90" spans="1:11" x14ac:dyDescent="0.2">
      <c r="A90" s="4" t="s">
        <v>1737</v>
      </c>
      <c r="B90" s="15"/>
      <c r="C90" s="34"/>
      <c r="F90" s="3"/>
      <c r="G90" s="3"/>
      <c r="H90" s="3"/>
      <c r="I90" s="3"/>
      <c r="J90" s="3"/>
      <c r="K90" s="2">
        <f t="shared" si="3"/>
        <v>0</v>
      </c>
    </row>
    <row r="91" spans="1:11" x14ac:dyDescent="0.2">
      <c r="A91" s="2" t="s">
        <v>1738</v>
      </c>
      <c r="B91" s="2">
        <v>100</v>
      </c>
      <c r="C91" s="21">
        <v>11.7</v>
      </c>
      <c r="D91" s="2">
        <f>+B91*C91</f>
        <v>1170</v>
      </c>
      <c r="F91" s="3"/>
      <c r="G91" s="3"/>
      <c r="H91" s="3"/>
      <c r="I91" s="3"/>
      <c r="J91" s="3"/>
      <c r="K91" s="2">
        <f t="shared" si="3"/>
        <v>0</v>
      </c>
    </row>
    <row r="92" spans="1:11" ht="15" x14ac:dyDescent="0.35">
      <c r="A92" s="42" t="s">
        <v>532</v>
      </c>
      <c r="B92" s="2">
        <v>200</v>
      </c>
      <c r="C92" s="21">
        <v>17.55</v>
      </c>
      <c r="D92" s="10">
        <f>+B92*C92</f>
        <v>3510</v>
      </c>
      <c r="F92" s="3"/>
      <c r="G92" s="3"/>
      <c r="H92" s="3"/>
      <c r="I92" s="3"/>
      <c r="J92" s="3"/>
      <c r="K92" s="2">
        <f t="shared" si="3"/>
        <v>0</v>
      </c>
    </row>
    <row r="93" spans="1:11" ht="15" x14ac:dyDescent="0.35">
      <c r="C93" s="11"/>
      <c r="D93" s="10">
        <f>SUM(D91:D92)</f>
        <v>4680</v>
      </c>
      <c r="F93" s="3"/>
      <c r="G93" s="3"/>
      <c r="H93" s="3"/>
      <c r="I93" s="3"/>
      <c r="J93" s="3"/>
      <c r="K93" s="2">
        <f t="shared" si="3"/>
        <v>0</v>
      </c>
    </row>
    <row r="94" spans="1:11" ht="13.5" x14ac:dyDescent="0.25">
      <c r="A94" s="44" t="s">
        <v>1073</v>
      </c>
      <c r="C94" s="11"/>
      <c r="D94" s="2">
        <f>SUM(D86,D88,D93)</f>
        <v>101303.67999999999</v>
      </c>
      <c r="F94" s="3"/>
      <c r="G94" s="3"/>
      <c r="H94" s="3"/>
      <c r="I94" s="3"/>
      <c r="J94" s="3"/>
      <c r="K94" s="2">
        <f t="shared" si="3"/>
        <v>0</v>
      </c>
    </row>
    <row r="95" spans="1:11" x14ac:dyDescent="0.2">
      <c r="C95" s="11"/>
      <c r="F95" s="3"/>
      <c r="G95" s="3"/>
      <c r="H95" s="3"/>
      <c r="I95" s="3"/>
      <c r="J95" s="3"/>
      <c r="K95" s="2">
        <f t="shared" si="3"/>
        <v>0</v>
      </c>
    </row>
    <row r="96" spans="1:11" ht="13.5" x14ac:dyDescent="0.25">
      <c r="A96" s="49" t="s">
        <v>1306</v>
      </c>
      <c r="B96" s="2" t="s">
        <v>522</v>
      </c>
      <c r="C96" s="11" t="s">
        <v>523</v>
      </c>
      <c r="D96" s="2" t="s">
        <v>521</v>
      </c>
      <c r="E96" s="2">
        <v>752138</v>
      </c>
      <c r="F96" s="3">
        <v>443861</v>
      </c>
      <c r="G96" s="3">
        <v>469240</v>
      </c>
      <c r="H96" s="3">
        <v>469240</v>
      </c>
      <c r="I96" s="3">
        <v>469240</v>
      </c>
      <c r="J96" s="3">
        <v>469240</v>
      </c>
      <c r="K96" s="2">
        <f t="shared" si="3"/>
        <v>0</v>
      </c>
    </row>
    <row r="97" spans="1:11" x14ac:dyDescent="0.2">
      <c r="A97" s="2" t="s">
        <v>1564</v>
      </c>
      <c r="B97" s="2">
        <v>804</v>
      </c>
      <c r="C97" s="11">
        <f>+C68*1.5</f>
        <v>43.271825396825399</v>
      </c>
      <c r="D97" s="2">
        <f>ROUND(B97*C97,0)</f>
        <v>34791</v>
      </c>
      <c r="E97" s="11"/>
      <c r="F97" s="3"/>
      <c r="G97" s="3"/>
      <c r="H97" s="3"/>
      <c r="I97" s="3"/>
      <c r="J97" s="3"/>
      <c r="K97" s="2">
        <f t="shared" si="3"/>
        <v>0</v>
      </c>
    </row>
    <row r="98" spans="1:11" x14ac:dyDescent="0.2">
      <c r="A98" s="2" t="s">
        <v>1565</v>
      </c>
      <c r="B98" s="2">
        <v>6829</v>
      </c>
      <c r="C98" s="11">
        <f>+C97</f>
        <v>43.271825396825399</v>
      </c>
      <c r="D98" s="2">
        <f>ROUND(B98*C98,0)</f>
        <v>295503</v>
      </c>
      <c r="E98" s="11"/>
      <c r="F98" s="3"/>
      <c r="G98" s="3"/>
      <c r="H98" s="3"/>
      <c r="I98" s="3"/>
      <c r="J98" s="3"/>
      <c r="K98" s="2">
        <f t="shared" si="3"/>
        <v>0</v>
      </c>
    </row>
    <row r="99" spans="1:11" x14ac:dyDescent="0.2">
      <c r="A99" s="2" t="s">
        <v>2111</v>
      </c>
      <c r="B99" s="2">
        <v>2640</v>
      </c>
      <c r="C99" s="11">
        <f>+C97</f>
        <v>43.271825396825399</v>
      </c>
      <c r="D99" s="2">
        <f>+B99*C99</f>
        <v>114237.61904761905</v>
      </c>
      <c r="E99" s="11"/>
      <c r="F99" s="3"/>
      <c r="G99" s="3"/>
      <c r="H99" s="3"/>
      <c r="I99" s="3"/>
      <c r="J99" s="3"/>
      <c r="K99" s="2">
        <f t="shared" si="3"/>
        <v>0</v>
      </c>
    </row>
    <row r="100" spans="1:11" x14ac:dyDescent="0.2">
      <c r="C100" s="11">
        <v>43.31</v>
      </c>
      <c r="D100" s="2">
        <f>+B100*C100</f>
        <v>0</v>
      </c>
      <c r="E100" s="11"/>
      <c r="F100" s="3"/>
      <c r="G100" s="3"/>
      <c r="H100" s="3"/>
      <c r="I100" s="3"/>
      <c r="J100" s="3"/>
      <c r="K100" s="2">
        <f t="shared" si="3"/>
        <v>0</v>
      </c>
    </row>
    <row r="101" spans="1:11" x14ac:dyDescent="0.2">
      <c r="A101" s="42" t="s">
        <v>1975</v>
      </c>
      <c r="B101" s="42">
        <v>0</v>
      </c>
      <c r="C101" s="242">
        <f>+C105</f>
        <v>43.271825396825399</v>
      </c>
      <c r="D101" s="2">
        <f>+B101*C101</f>
        <v>0</v>
      </c>
      <c r="E101" s="11"/>
      <c r="F101" s="3"/>
      <c r="G101" s="3"/>
      <c r="H101" s="3"/>
      <c r="I101" s="3"/>
      <c r="J101" s="3"/>
      <c r="K101" s="2">
        <f t="shared" si="3"/>
        <v>0</v>
      </c>
    </row>
    <row r="102" spans="1:11" x14ac:dyDescent="0.2">
      <c r="A102" s="41" t="s">
        <v>1776</v>
      </c>
      <c r="B102" s="2">
        <v>187</v>
      </c>
      <c r="C102" s="242">
        <f>+C101</f>
        <v>43.271825396825399</v>
      </c>
      <c r="D102" s="2">
        <f>+B102*C102</f>
        <v>8091.8313492063498</v>
      </c>
      <c r="E102" s="11"/>
      <c r="F102" s="3"/>
      <c r="G102" s="3"/>
      <c r="H102" s="3"/>
      <c r="I102" s="3"/>
      <c r="J102" s="3"/>
      <c r="K102" s="2">
        <f t="shared" si="3"/>
        <v>0</v>
      </c>
    </row>
    <row r="103" spans="1:11" ht="13.5" x14ac:dyDescent="0.25">
      <c r="A103" s="176" t="s">
        <v>1534</v>
      </c>
      <c r="C103" s="11"/>
      <c r="E103" s="11"/>
      <c r="F103" s="3"/>
      <c r="G103" s="3"/>
      <c r="H103" s="3"/>
      <c r="I103" s="3"/>
      <c r="J103" s="3"/>
      <c r="K103" s="2">
        <f t="shared" si="3"/>
        <v>0</v>
      </c>
    </row>
    <row r="104" spans="1:11" x14ac:dyDescent="0.2">
      <c r="A104" s="2" t="s">
        <v>1895</v>
      </c>
      <c r="B104" s="2">
        <v>215</v>
      </c>
      <c r="C104" s="11">
        <f>+C98</f>
        <v>43.271825396825399</v>
      </c>
      <c r="D104" s="2">
        <f>+B104*C104</f>
        <v>9303.4424603174612</v>
      </c>
      <c r="E104" s="11"/>
      <c r="F104" s="3"/>
      <c r="G104" s="3"/>
      <c r="H104" s="3"/>
      <c r="I104" s="3"/>
      <c r="J104" s="3"/>
      <c r="K104" s="2">
        <f t="shared" si="3"/>
        <v>0</v>
      </c>
    </row>
    <row r="105" spans="1:11" ht="15" x14ac:dyDescent="0.35">
      <c r="A105" s="42" t="s">
        <v>1397</v>
      </c>
      <c r="B105" s="42">
        <v>169</v>
      </c>
      <c r="C105" s="11">
        <f>+C98</f>
        <v>43.271825396825399</v>
      </c>
      <c r="D105" s="10">
        <f>+B105*C105</f>
        <v>7312.938492063492</v>
      </c>
      <c r="E105" s="11"/>
      <c r="F105" s="3"/>
      <c r="G105" s="3"/>
      <c r="H105" s="3"/>
      <c r="I105" s="3"/>
      <c r="J105" s="3"/>
      <c r="K105" s="2">
        <f t="shared" si="3"/>
        <v>0</v>
      </c>
    </row>
    <row r="106" spans="1:11" x14ac:dyDescent="0.2">
      <c r="A106" s="41" t="s">
        <v>1073</v>
      </c>
      <c r="C106" s="13"/>
      <c r="D106" s="2">
        <f>SUM(D97:D105)</f>
        <v>469239.83134920633</v>
      </c>
      <c r="F106" s="3"/>
      <c r="G106" s="3"/>
      <c r="H106" s="3"/>
      <c r="I106" s="3"/>
      <c r="J106" s="3"/>
      <c r="K106" s="2">
        <f t="shared" si="3"/>
        <v>0</v>
      </c>
    </row>
    <row r="107" spans="1:11" x14ac:dyDescent="0.2">
      <c r="A107" s="41"/>
      <c r="C107" s="13"/>
      <c r="F107" s="3"/>
      <c r="G107" s="3"/>
      <c r="H107" s="3"/>
      <c r="I107" s="3"/>
      <c r="J107" s="3"/>
      <c r="K107" s="2">
        <f t="shared" si="3"/>
        <v>0</v>
      </c>
    </row>
    <row r="108" spans="1:11" ht="15" x14ac:dyDescent="0.35">
      <c r="A108" s="49" t="s">
        <v>761</v>
      </c>
      <c r="C108" s="13"/>
      <c r="D108" s="10"/>
      <c r="E108" s="2">
        <v>64741</v>
      </c>
      <c r="F108" s="3">
        <v>67074</v>
      </c>
      <c r="G108" s="3">
        <v>71909</v>
      </c>
      <c r="H108" s="3">
        <v>71909</v>
      </c>
      <c r="I108" s="3">
        <v>72163</v>
      </c>
      <c r="J108" s="3">
        <v>72163</v>
      </c>
      <c r="K108" s="2">
        <f t="shared" si="3"/>
        <v>-254</v>
      </c>
    </row>
    <row r="109" spans="1:11" hidden="1" x14ac:dyDescent="0.2">
      <c r="A109" s="2" t="s">
        <v>762</v>
      </c>
      <c r="B109" s="2">
        <f>+D9</f>
        <v>48464</v>
      </c>
      <c r="C109" s="67">
        <v>7.6499999999999999E-2</v>
      </c>
      <c r="D109" s="2">
        <f t="shared" ref="D109:D114" si="4">+C109*B109</f>
        <v>3707.4960000000001</v>
      </c>
      <c r="F109" s="3"/>
      <c r="G109" s="3"/>
      <c r="H109" s="3"/>
      <c r="I109" s="3"/>
      <c r="J109" s="3"/>
      <c r="K109" s="2">
        <f t="shared" si="3"/>
        <v>0</v>
      </c>
    </row>
    <row r="110" spans="1:11" hidden="1" x14ac:dyDescent="0.2">
      <c r="A110" s="2" t="s">
        <v>1271</v>
      </c>
      <c r="B110" s="2">
        <f>+D28</f>
        <v>1116196</v>
      </c>
      <c r="C110" s="67">
        <v>1.4500000000000001E-2</v>
      </c>
      <c r="D110" s="2">
        <f t="shared" si="4"/>
        <v>16184.842000000001</v>
      </c>
      <c r="F110" s="3"/>
      <c r="G110" s="3"/>
      <c r="H110" s="3"/>
      <c r="I110" s="3"/>
      <c r="J110" s="3"/>
      <c r="K110" s="2">
        <f t="shared" si="3"/>
        <v>0</v>
      </c>
    </row>
    <row r="111" spans="1:11" hidden="1" x14ac:dyDescent="0.2">
      <c r="A111" s="88" t="s">
        <v>688</v>
      </c>
      <c r="B111" s="2">
        <f>+D70</f>
        <v>2374979.3809523811</v>
      </c>
      <c r="C111" s="67">
        <v>1.4500000000000001E-2</v>
      </c>
      <c r="D111" s="2">
        <f t="shared" si="4"/>
        <v>34437.201023809524</v>
      </c>
      <c r="F111" s="3"/>
      <c r="G111" s="3"/>
      <c r="H111" s="3"/>
      <c r="I111" s="3"/>
      <c r="J111" s="3"/>
      <c r="K111" s="2">
        <f t="shared" si="3"/>
        <v>0</v>
      </c>
    </row>
    <row r="112" spans="1:11" hidden="1" x14ac:dyDescent="0.2">
      <c r="A112" s="41" t="s">
        <v>763</v>
      </c>
      <c r="B112" s="2">
        <f>+D79</f>
        <v>226166.92857142855</v>
      </c>
      <c r="C112" s="67">
        <v>1.4500000000000001E-2</v>
      </c>
      <c r="D112" s="2">
        <f t="shared" si="4"/>
        <v>3279.4204642857139</v>
      </c>
      <c r="F112" s="3"/>
      <c r="G112" s="3"/>
      <c r="H112" s="3"/>
      <c r="I112" s="3"/>
      <c r="J112" s="3"/>
      <c r="K112" s="2">
        <f t="shared" si="3"/>
        <v>0</v>
      </c>
    </row>
    <row r="113" spans="1:11" hidden="1" x14ac:dyDescent="0.2">
      <c r="A113" s="41" t="s">
        <v>155</v>
      </c>
      <c r="B113" s="2">
        <f>+D94</f>
        <v>101303.67999999999</v>
      </c>
      <c r="C113" s="67">
        <v>7.6499999999999999E-2</v>
      </c>
      <c r="D113" s="2">
        <f t="shared" si="4"/>
        <v>7749.7315199999994</v>
      </c>
      <c r="F113" s="3"/>
      <c r="G113" s="3"/>
      <c r="H113" s="3"/>
      <c r="I113" s="3"/>
      <c r="J113" s="3"/>
      <c r="K113" s="2">
        <f t="shared" si="3"/>
        <v>0</v>
      </c>
    </row>
    <row r="114" spans="1:11" ht="15" hidden="1" x14ac:dyDescent="0.35">
      <c r="A114" s="41" t="s">
        <v>156</v>
      </c>
      <c r="B114" s="2">
        <f>+D106</f>
        <v>469239.83134920633</v>
      </c>
      <c r="C114" s="67">
        <v>1.4500000000000001E-2</v>
      </c>
      <c r="D114" s="10">
        <f t="shared" si="4"/>
        <v>6803.977554563492</v>
      </c>
      <c r="F114" s="3"/>
      <c r="G114" s="3"/>
      <c r="H114" s="3"/>
      <c r="I114" s="3"/>
      <c r="J114" s="3"/>
      <c r="K114" s="2">
        <f t="shared" si="3"/>
        <v>0</v>
      </c>
    </row>
    <row r="115" spans="1:11" hidden="1" x14ac:dyDescent="0.2">
      <c r="A115" s="41" t="s">
        <v>1073</v>
      </c>
      <c r="C115" s="67"/>
      <c r="D115" s="2">
        <f>SUM(D109:D114)</f>
        <v>72162.668562658742</v>
      </c>
      <c r="F115" s="3"/>
      <c r="G115" s="3"/>
      <c r="H115" s="3"/>
      <c r="I115" s="3"/>
      <c r="J115" s="3"/>
      <c r="K115" s="2">
        <f t="shared" si="3"/>
        <v>0</v>
      </c>
    </row>
    <row r="116" spans="1:11" x14ac:dyDescent="0.2">
      <c r="A116" s="41"/>
      <c r="C116" s="67"/>
      <c r="D116" s="17"/>
      <c r="F116" s="3"/>
      <c r="G116" s="3"/>
      <c r="H116" s="3"/>
      <c r="I116" s="3"/>
      <c r="J116" s="3"/>
      <c r="K116" s="2">
        <f t="shared" si="3"/>
        <v>0</v>
      </c>
    </row>
    <row r="117" spans="1:11" ht="13.5" x14ac:dyDescent="0.25">
      <c r="A117" s="69" t="s">
        <v>764</v>
      </c>
      <c r="C117" s="67"/>
      <c r="E117" s="2">
        <v>1127225</v>
      </c>
      <c r="F117" s="3">
        <v>1271505</v>
      </c>
      <c r="G117" s="3">
        <v>1385741</v>
      </c>
      <c r="H117" s="3">
        <v>1385741</v>
      </c>
      <c r="I117" s="3">
        <v>1387967</v>
      </c>
      <c r="J117" s="3">
        <v>1387967</v>
      </c>
      <c r="K117" s="2">
        <f t="shared" si="3"/>
        <v>-2226</v>
      </c>
    </row>
    <row r="118" spans="1:11" hidden="1" x14ac:dyDescent="0.2">
      <c r="A118" s="2" t="s">
        <v>762</v>
      </c>
      <c r="B118" s="2">
        <f>+B109</f>
        <v>48464</v>
      </c>
      <c r="C118" s="189">
        <v>0.1406</v>
      </c>
      <c r="D118" s="2">
        <f>+C118*B118</f>
        <v>6814.0384000000004</v>
      </c>
      <c r="F118" s="3"/>
      <c r="G118" s="3"/>
      <c r="H118" s="3"/>
      <c r="I118" s="3"/>
      <c r="J118" s="3"/>
      <c r="K118" s="2">
        <f t="shared" si="3"/>
        <v>0</v>
      </c>
    </row>
    <row r="119" spans="1:11" hidden="1" x14ac:dyDescent="0.2">
      <c r="A119" s="2" t="s">
        <v>765</v>
      </c>
      <c r="B119" s="2">
        <f>+B110</f>
        <v>1116196</v>
      </c>
      <c r="C119" s="67">
        <v>0.32990000000000003</v>
      </c>
      <c r="D119" s="2">
        <f>+C119*B119</f>
        <v>368233.06040000002</v>
      </c>
      <c r="F119" s="126"/>
      <c r="G119" s="126"/>
      <c r="H119" s="126"/>
      <c r="I119" s="126"/>
      <c r="J119" s="126"/>
      <c r="K119" s="2">
        <f t="shared" si="3"/>
        <v>0</v>
      </c>
    </row>
    <row r="120" spans="1:11" hidden="1" x14ac:dyDescent="0.2">
      <c r="A120" s="2" t="s">
        <v>766</v>
      </c>
      <c r="B120" s="2">
        <f>+B111</f>
        <v>2374979.3809523811</v>
      </c>
      <c r="C120" s="67">
        <v>0.32990000000000003</v>
      </c>
      <c r="D120" s="2">
        <f>+C120*B120</f>
        <v>783505.69777619059</v>
      </c>
      <c r="F120" s="3"/>
      <c r="G120" s="3"/>
      <c r="H120" s="3"/>
      <c r="I120" s="3"/>
      <c r="J120" s="3"/>
      <c r="K120" s="2">
        <f t="shared" si="3"/>
        <v>0</v>
      </c>
    </row>
    <row r="121" spans="1:11" hidden="1" x14ac:dyDescent="0.2">
      <c r="A121" s="2" t="s">
        <v>767</v>
      </c>
      <c r="B121" s="2">
        <f>+B112</f>
        <v>226166.92857142855</v>
      </c>
      <c r="C121" s="67">
        <v>0.32990000000000003</v>
      </c>
      <c r="D121" s="2">
        <f>+C121*B121</f>
        <v>74612.469735714287</v>
      </c>
      <c r="F121" s="3"/>
      <c r="G121" s="3"/>
      <c r="H121" s="3"/>
      <c r="I121" s="3"/>
      <c r="J121" s="3"/>
      <c r="K121" s="2">
        <f t="shared" si="3"/>
        <v>0</v>
      </c>
    </row>
    <row r="122" spans="1:11" hidden="1" x14ac:dyDescent="0.2">
      <c r="A122" s="2" t="s">
        <v>451</v>
      </c>
      <c r="B122" s="2">
        <f>+B114</f>
        <v>469239.83134920633</v>
      </c>
      <c r="C122" s="67">
        <v>0.32990000000000003</v>
      </c>
      <c r="D122" s="17">
        <f>+C122*B122</f>
        <v>154802.22036210319</v>
      </c>
      <c r="F122" s="3"/>
      <c r="G122" s="3"/>
      <c r="H122" s="3"/>
      <c r="I122" s="3"/>
      <c r="J122" s="3"/>
      <c r="K122" s="2">
        <f t="shared" si="3"/>
        <v>0</v>
      </c>
    </row>
    <row r="123" spans="1:11" hidden="1" x14ac:dyDescent="0.2">
      <c r="A123" s="2" t="s">
        <v>1073</v>
      </c>
      <c r="C123" s="67"/>
      <c r="D123" s="2">
        <f>SUM(D118:D122)</f>
        <v>1387967.4866740084</v>
      </c>
      <c r="F123" s="3"/>
      <c r="G123" s="3"/>
      <c r="H123" s="3"/>
      <c r="I123" s="3"/>
      <c r="J123" s="3"/>
      <c r="K123" s="2">
        <f t="shared" si="3"/>
        <v>0</v>
      </c>
    </row>
    <row r="124" spans="1:11" x14ac:dyDescent="0.2">
      <c r="C124" s="67"/>
      <c r="F124" s="3"/>
      <c r="G124" s="3"/>
      <c r="H124" s="3"/>
      <c r="I124" s="3"/>
      <c r="J124" s="3"/>
      <c r="K124" s="2">
        <f t="shared" si="3"/>
        <v>0</v>
      </c>
    </row>
    <row r="125" spans="1:11" ht="13.5" x14ac:dyDescent="0.25">
      <c r="A125" s="43" t="s">
        <v>832</v>
      </c>
      <c r="C125" s="67"/>
      <c r="E125" s="2">
        <v>770307</v>
      </c>
      <c r="F125" s="3">
        <v>888750</v>
      </c>
      <c r="G125" s="3">
        <v>955500</v>
      </c>
      <c r="H125" s="3">
        <v>955500</v>
      </c>
      <c r="I125" s="3">
        <v>927000</v>
      </c>
      <c r="J125" s="3">
        <v>927000</v>
      </c>
      <c r="K125" s="2">
        <f t="shared" si="3"/>
        <v>28500</v>
      </c>
    </row>
    <row r="126" spans="1:11" hidden="1" x14ac:dyDescent="0.2">
      <c r="A126" s="2" t="s">
        <v>1562</v>
      </c>
      <c r="B126" s="2">
        <f>32+4</f>
        <v>36</v>
      </c>
      <c r="C126" s="2">
        <v>19000</v>
      </c>
      <c r="D126" s="2">
        <f>+B126*C126-4000</f>
        <v>680000</v>
      </c>
      <c r="F126" s="3"/>
      <c r="G126" s="3"/>
      <c r="H126" s="3"/>
      <c r="I126" s="3"/>
      <c r="J126" s="3"/>
      <c r="K126" s="2">
        <f t="shared" si="3"/>
        <v>0</v>
      </c>
    </row>
    <row r="127" spans="1:11" ht="12.6" hidden="1" customHeight="1" x14ac:dyDescent="0.2">
      <c r="A127" s="2" t="s">
        <v>1563</v>
      </c>
      <c r="B127" s="2">
        <v>9</v>
      </c>
      <c r="C127" s="2">
        <v>19000</v>
      </c>
      <c r="D127" s="2">
        <f>+B127*C127</f>
        <v>171000</v>
      </c>
      <c r="F127" s="3"/>
      <c r="G127" s="3"/>
      <c r="H127" s="3"/>
      <c r="I127" s="3"/>
      <c r="J127" s="3"/>
      <c r="K127" s="2">
        <f t="shared" si="3"/>
        <v>0</v>
      </c>
    </row>
    <row r="128" spans="1:11" ht="12.6" hidden="1" customHeight="1" x14ac:dyDescent="0.35">
      <c r="A128" s="2" t="s">
        <v>265</v>
      </c>
      <c r="B128" s="2">
        <v>4</v>
      </c>
      <c r="C128" s="2">
        <v>19000</v>
      </c>
      <c r="D128" s="10">
        <f>+B128*C128</f>
        <v>76000</v>
      </c>
      <c r="F128" s="3"/>
      <c r="G128" s="3"/>
      <c r="H128" s="3"/>
      <c r="I128" s="3"/>
      <c r="J128" s="3"/>
      <c r="K128" s="2">
        <f t="shared" si="3"/>
        <v>0</v>
      </c>
    </row>
    <row r="129" spans="1:11" ht="12.6" hidden="1" customHeight="1" x14ac:dyDescent="0.2">
      <c r="A129" s="2" t="s">
        <v>683</v>
      </c>
      <c r="D129" s="2">
        <f>SUM(D126:D128)</f>
        <v>927000</v>
      </c>
      <c r="F129" s="3"/>
      <c r="G129" s="3"/>
      <c r="H129" s="3"/>
      <c r="I129" s="3"/>
      <c r="J129" s="3"/>
      <c r="K129" s="2">
        <f t="shared" si="3"/>
        <v>0</v>
      </c>
    </row>
    <row r="130" spans="1:11" ht="12.6" customHeight="1" x14ac:dyDescent="0.2">
      <c r="F130" s="3"/>
      <c r="G130" s="3"/>
      <c r="H130" s="3"/>
      <c r="I130" s="3"/>
      <c r="J130" s="3"/>
      <c r="K130" s="2">
        <f t="shared" si="3"/>
        <v>0</v>
      </c>
    </row>
    <row r="131" spans="1:11" ht="12.6" customHeight="1" x14ac:dyDescent="0.25">
      <c r="A131" s="43" t="s">
        <v>833</v>
      </c>
      <c r="E131" s="2">
        <v>45239</v>
      </c>
      <c r="F131" s="3">
        <v>57820</v>
      </c>
      <c r="G131" s="3">
        <v>62288</v>
      </c>
      <c r="H131" s="3">
        <v>62288</v>
      </c>
      <c r="I131" s="3">
        <v>62288</v>
      </c>
      <c r="J131" s="3">
        <v>62288</v>
      </c>
      <c r="K131" s="2">
        <f t="shared" si="3"/>
        <v>0</v>
      </c>
    </row>
    <row r="132" spans="1:11" ht="12.6" hidden="1" customHeight="1" x14ac:dyDescent="0.2">
      <c r="A132" s="2" t="s">
        <v>264</v>
      </c>
      <c r="B132" s="2">
        <f>41+4</f>
        <v>45</v>
      </c>
      <c r="C132" s="2">
        <v>1375</v>
      </c>
      <c r="D132" s="2">
        <f>+B132*C132</f>
        <v>61875</v>
      </c>
      <c r="F132" s="3"/>
      <c r="G132" s="3"/>
      <c r="H132" s="3"/>
      <c r="I132" s="3"/>
      <c r="J132" s="3"/>
      <c r="K132" s="2">
        <f t="shared" si="3"/>
        <v>0</v>
      </c>
    </row>
    <row r="133" spans="1:11" ht="12.6" hidden="1" customHeight="1" x14ac:dyDescent="0.2">
      <c r="A133" s="2" t="s">
        <v>265</v>
      </c>
      <c r="B133" s="2">
        <v>4</v>
      </c>
      <c r="C133" s="2">
        <v>1375</v>
      </c>
      <c r="D133" s="2">
        <f>+B133*C133</f>
        <v>5500</v>
      </c>
      <c r="F133" s="3"/>
      <c r="G133" s="3"/>
      <c r="H133" s="3"/>
      <c r="I133" s="3"/>
      <c r="J133" s="3"/>
      <c r="K133" s="2">
        <f t="shared" si="3"/>
        <v>0</v>
      </c>
    </row>
    <row r="134" spans="1:11" ht="12.6" hidden="1" customHeight="1" x14ac:dyDescent="0.2">
      <c r="A134" s="2" t="s">
        <v>198</v>
      </c>
      <c r="D134" s="17">
        <f>+C133*-0.1*37</f>
        <v>-5087.5</v>
      </c>
      <c r="F134" s="3"/>
      <c r="G134" s="3"/>
      <c r="H134" s="3"/>
      <c r="I134" s="3"/>
      <c r="J134" s="3"/>
      <c r="K134" s="2">
        <f t="shared" si="3"/>
        <v>0</v>
      </c>
    </row>
    <row r="135" spans="1:11" ht="12.6" hidden="1" customHeight="1" x14ac:dyDescent="0.2">
      <c r="A135" s="236" t="s">
        <v>683</v>
      </c>
      <c r="D135" s="2">
        <f>SUM(D132:D134)</f>
        <v>62287.5</v>
      </c>
      <c r="F135" s="3"/>
      <c r="G135" s="3"/>
      <c r="H135" s="3"/>
      <c r="I135" s="3"/>
      <c r="J135" s="3"/>
      <c r="K135" s="2">
        <f t="shared" ref="K135:K165" si="5">+H135-I135</f>
        <v>0</v>
      </c>
    </row>
    <row r="136" spans="1:11" ht="12.6" customHeight="1" x14ac:dyDescent="0.2">
      <c r="F136" s="3"/>
      <c r="G136" s="3"/>
      <c r="H136" s="3"/>
      <c r="I136" s="3"/>
      <c r="J136" s="3"/>
      <c r="K136" s="2">
        <f t="shared" si="5"/>
        <v>0</v>
      </c>
    </row>
    <row r="137" spans="1:11" ht="13.5" x14ac:dyDescent="0.25">
      <c r="A137" s="43" t="s">
        <v>834</v>
      </c>
      <c r="E137" s="2">
        <v>3039</v>
      </c>
      <c r="F137" s="3">
        <v>2875</v>
      </c>
      <c r="G137" s="3">
        <v>3015</v>
      </c>
      <c r="H137" s="3">
        <v>3015</v>
      </c>
      <c r="I137" s="3">
        <v>3015</v>
      </c>
      <c r="J137" s="3">
        <v>3015</v>
      </c>
      <c r="K137" s="2">
        <f t="shared" si="5"/>
        <v>0</v>
      </c>
    </row>
    <row r="138" spans="1:11" hidden="1" x14ac:dyDescent="0.2">
      <c r="A138" s="2" t="s">
        <v>194</v>
      </c>
      <c r="B138" s="2">
        <v>4</v>
      </c>
      <c r="C138" s="2">
        <v>135</v>
      </c>
      <c r="D138" s="2">
        <f>+C138*B138</f>
        <v>540</v>
      </c>
      <c r="F138" s="3"/>
      <c r="G138" s="3"/>
      <c r="H138" s="3"/>
      <c r="I138" s="3"/>
      <c r="J138" s="3"/>
      <c r="K138" s="2">
        <f t="shared" si="5"/>
        <v>0</v>
      </c>
    </row>
    <row r="139" spans="1:11" hidden="1" x14ac:dyDescent="0.2">
      <c r="A139" s="2" t="s">
        <v>1524</v>
      </c>
      <c r="B139" s="2">
        <v>9</v>
      </c>
      <c r="C139" s="2">
        <v>135</v>
      </c>
      <c r="D139" s="2">
        <f>+C139*B139</f>
        <v>1215</v>
      </c>
      <c r="F139" s="3"/>
      <c r="G139" s="3"/>
      <c r="H139" s="3"/>
      <c r="I139" s="3"/>
      <c r="J139" s="3"/>
      <c r="K139" s="2">
        <f t="shared" si="5"/>
        <v>0</v>
      </c>
    </row>
    <row r="140" spans="1:11" ht="15" hidden="1" x14ac:dyDescent="0.35">
      <c r="A140" s="2" t="s">
        <v>1819</v>
      </c>
      <c r="B140" s="2">
        <f>32+4</f>
        <v>36</v>
      </c>
      <c r="C140" s="2">
        <v>35</v>
      </c>
      <c r="D140" s="10">
        <f>+B140*C140</f>
        <v>1260</v>
      </c>
      <c r="F140" s="3"/>
      <c r="G140" s="3"/>
      <c r="H140" s="3"/>
      <c r="I140" s="3"/>
      <c r="J140" s="3"/>
      <c r="K140" s="2">
        <f t="shared" si="5"/>
        <v>0</v>
      </c>
    </row>
    <row r="141" spans="1:11" hidden="1" x14ac:dyDescent="0.2">
      <c r="A141" s="2" t="s">
        <v>1073</v>
      </c>
      <c r="D141" s="2">
        <f>SUM(D138:D140)</f>
        <v>3015</v>
      </c>
      <c r="F141" s="3"/>
      <c r="G141" s="3"/>
      <c r="H141" s="3"/>
      <c r="I141" s="3"/>
      <c r="J141" s="3"/>
      <c r="K141" s="2">
        <f t="shared" si="5"/>
        <v>0</v>
      </c>
    </row>
    <row r="142" spans="1:11" x14ac:dyDescent="0.2">
      <c r="F142" s="3"/>
      <c r="G142" s="3"/>
      <c r="H142" s="3"/>
      <c r="I142" s="3"/>
      <c r="J142" s="3"/>
      <c r="K142" s="2">
        <f t="shared" si="5"/>
        <v>0</v>
      </c>
    </row>
    <row r="143" spans="1:11" ht="13.5" x14ac:dyDescent="0.25">
      <c r="A143" s="43" t="s">
        <v>182</v>
      </c>
      <c r="E143" s="2">
        <v>24731</v>
      </c>
      <c r="F143" s="3">
        <v>24750</v>
      </c>
      <c r="G143" s="3">
        <v>25725</v>
      </c>
      <c r="H143" s="3">
        <v>25725</v>
      </c>
      <c r="I143" s="3">
        <v>25725</v>
      </c>
      <c r="J143" s="3">
        <v>25725</v>
      </c>
      <c r="K143" s="2">
        <f t="shared" si="5"/>
        <v>0</v>
      </c>
    </row>
    <row r="144" spans="1:11" hidden="1" x14ac:dyDescent="0.2">
      <c r="A144" s="2" t="s">
        <v>194</v>
      </c>
      <c r="B144" s="2">
        <v>4</v>
      </c>
      <c r="C144" s="2">
        <v>525</v>
      </c>
      <c r="D144" s="2">
        <f>+C144*B144</f>
        <v>2100</v>
      </c>
      <c r="F144" s="3"/>
      <c r="G144" s="3"/>
      <c r="H144" s="3"/>
      <c r="I144" s="3"/>
      <c r="J144" s="3"/>
      <c r="K144" s="2">
        <f t="shared" si="5"/>
        <v>0</v>
      </c>
    </row>
    <row r="145" spans="1:11" ht="15" hidden="1" x14ac:dyDescent="0.35">
      <c r="A145" s="2" t="s">
        <v>1220</v>
      </c>
      <c r="B145" s="2">
        <f>41+4</f>
        <v>45</v>
      </c>
      <c r="C145" s="2">
        <v>525</v>
      </c>
      <c r="D145" s="10">
        <f>+C145*B145</f>
        <v>23625</v>
      </c>
      <c r="F145" s="3"/>
      <c r="G145" s="3"/>
      <c r="H145" s="3"/>
      <c r="I145" s="3"/>
      <c r="J145" s="3"/>
      <c r="K145" s="2">
        <f t="shared" si="5"/>
        <v>0</v>
      </c>
    </row>
    <row r="146" spans="1:11" hidden="1" x14ac:dyDescent="0.2">
      <c r="A146" s="2" t="s">
        <v>1073</v>
      </c>
      <c r="D146" s="2">
        <f>SUM(D144:D145)</f>
        <v>25725</v>
      </c>
      <c r="F146" s="3"/>
      <c r="G146" s="3"/>
      <c r="H146" s="3"/>
      <c r="I146" s="3"/>
      <c r="J146" s="3"/>
      <c r="K146" s="2">
        <f t="shared" si="5"/>
        <v>0</v>
      </c>
    </row>
    <row r="147" spans="1:11" x14ac:dyDescent="0.2">
      <c r="F147" s="3"/>
      <c r="G147" s="3"/>
      <c r="H147" s="3"/>
      <c r="I147" s="3"/>
      <c r="J147" s="3"/>
      <c r="K147" s="2">
        <f t="shared" si="5"/>
        <v>0</v>
      </c>
    </row>
    <row r="148" spans="1:11" ht="13.5" x14ac:dyDescent="0.25">
      <c r="A148" s="43" t="s">
        <v>252</v>
      </c>
      <c r="E148" s="2">
        <v>212490</v>
      </c>
      <c r="F148" s="3">
        <v>252744</v>
      </c>
      <c r="G148" s="3">
        <v>275754</v>
      </c>
      <c r="H148" s="3">
        <v>275754</v>
      </c>
      <c r="I148" s="3">
        <v>276218</v>
      </c>
      <c r="J148" s="3">
        <v>276218</v>
      </c>
      <c r="K148" s="2">
        <f t="shared" si="5"/>
        <v>-464</v>
      </c>
    </row>
    <row r="149" spans="1:11" hidden="1" x14ac:dyDescent="0.2">
      <c r="A149" s="41" t="s">
        <v>762</v>
      </c>
      <c r="B149" s="2">
        <f>+D9</f>
        <v>48464</v>
      </c>
      <c r="C149" s="13">
        <v>1.74E-3</v>
      </c>
      <c r="D149" s="2">
        <f t="shared" ref="D149:D154" si="6">+C149*B149</f>
        <v>84.327359999999999</v>
      </c>
      <c r="F149" s="3"/>
      <c r="G149" s="3"/>
      <c r="H149" s="3"/>
      <c r="I149" s="3"/>
      <c r="J149" s="3"/>
      <c r="K149" s="2">
        <f t="shared" si="5"/>
        <v>0</v>
      </c>
    </row>
    <row r="150" spans="1:11" hidden="1" x14ac:dyDescent="0.2">
      <c r="A150" s="41" t="s">
        <v>1271</v>
      </c>
      <c r="B150" s="2">
        <f>+D28</f>
        <v>1116196</v>
      </c>
      <c r="C150" s="13">
        <v>6.4399999999999999E-2</v>
      </c>
      <c r="D150" s="2">
        <f t="shared" si="6"/>
        <v>71883.022400000002</v>
      </c>
      <c r="F150" s="3"/>
      <c r="G150" s="3"/>
      <c r="H150" s="3"/>
      <c r="I150" s="3"/>
      <c r="J150" s="3"/>
      <c r="K150" s="2">
        <f t="shared" si="5"/>
        <v>0</v>
      </c>
    </row>
    <row r="151" spans="1:11" hidden="1" x14ac:dyDescent="0.2">
      <c r="A151" s="41" t="s">
        <v>688</v>
      </c>
      <c r="B151" s="2">
        <f>+D70</f>
        <v>2374979.3809523811</v>
      </c>
      <c r="C151" s="13">
        <v>6.4399999999999999E-2</v>
      </c>
      <c r="D151" s="2">
        <f t="shared" si="6"/>
        <v>152948.67213333334</v>
      </c>
      <c r="F151" s="3"/>
      <c r="G151" s="3"/>
      <c r="H151" s="3"/>
      <c r="I151" s="3"/>
      <c r="J151" s="3"/>
      <c r="K151" s="2">
        <f t="shared" si="5"/>
        <v>0</v>
      </c>
    </row>
    <row r="152" spans="1:11" hidden="1" x14ac:dyDescent="0.2">
      <c r="A152" s="41" t="s">
        <v>1605</v>
      </c>
      <c r="B152" s="2">
        <f>+B121</f>
        <v>226166.92857142855</v>
      </c>
      <c r="C152" s="13">
        <v>6.4399999999999999E-2</v>
      </c>
      <c r="D152" s="2">
        <f t="shared" si="6"/>
        <v>14565.150199999998</v>
      </c>
      <c r="F152" s="3"/>
      <c r="G152" s="3"/>
      <c r="H152" s="3"/>
      <c r="I152" s="3"/>
      <c r="J152" s="3"/>
      <c r="K152" s="2">
        <f t="shared" si="5"/>
        <v>0</v>
      </c>
    </row>
    <row r="153" spans="1:11" hidden="1" x14ac:dyDescent="0.2">
      <c r="A153" s="41" t="s">
        <v>155</v>
      </c>
      <c r="B153" s="2">
        <f>+D94</f>
        <v>101303.67999999999</v>
      </c>
      <c r="C153" s="13">
        <v>6.4399999999999999E-2</v>
      </c>
      <c r="D153" s="2">
        <f t="shared" si="6"/>
        <v>6523.9569919999994</v>
      </c>
      <c r="F153" s="3"/>
      <c r="G153" s="3"/>
      <c r="H153" s="3"/>
      <c r="I153" s="3"/>
      <c r="J153" s="3"/>
      <c r="K153" s="2">
        <f t="shared" si="5"/>
        <v>0</v>
      </c>
    </row>
    <row r="154" spans="1:11" ht="15" hidden="1" x14ac:dyDescent="0.35">
      <c r="A154" s="41" t="s">
        <v>1606</v>
      </c>
      <c r="B154" s="2">
        <f>+B122</f>
        <v>469239.83134920633</v>
      </c>
      <c r="C154" s="13">
        <v>6.4399999999999999E-2</v>
      </c>
      <c r="D154" s="10">
        <f t="shared" si="6"/>
        <v>30219.045138888887</v>
      </c>
      <c r="F154" s="3"/>
      <c r="G154" s="3"/>
      <c r="H154" s="3"/>
      <c r="I154" s="3"/>
      <c r="J154" s="3"/>
      <c r="K154" s="2">
        <f t="shared" si="5"/>
        <v>0</v>
      </c>
    </row>
    <row r="155" spans="1:11" hidden="1" x14ac:dyDescent="0.2">
      <c r="A155" s="2" t="s">
        <v>1073</v>
      </c>
      <c r="C155" s="13"/>
      <c r="D155" s="2">
        <f>SUM(D149:D154)-6</f>
        <v>276218.17422422225</v>
      </c>
      <c r="F155" s="3"/>
      <c r="G155" s="3"/>
      <c r="H155" s="3"/>
      <c r="I155" s="3"/>
      <c r="J155" s="3"/>
      <c r="K155" s="2">
        <f t="shared" si="5"/>
        <v>0</v>
      </c>
    </row>
    <row r="156" spans="1:11" x14ac:dyDescent="0.2">
      <c r="F156" s="3"/>
      <c r="G156" s="3"/>
      <c r="H156" s="3"/>
      <c r="I156" s="3"/>
      <c r="J156" s="3"/>
      <c r="K156" s="2">
        <f t="shared" si="5"/>
        <v>0</v>
      </c>
    </row>
    <row r="157" spans="1:11" ht="13.5" x14ac:dyDescent="0.25">
      <c r="A157" s="43" t="s">
        <v>120</v>
      </c>
      <c r="E157" s="2">
        <v>1107</v>
      </c>
      <c r="F157" s="3">
        <v>1121</v>
      </c>
      <c r="G157" s="3">
        <v>1199</v>
      </c>
      <c r="H157" s="3">
        <v>1199</v>
      </c>
      <c r="I157" s="3">
        <v>1200</v>
      </c>
      <c r="J157" s="3">
        <v>1200</v>
      </c>
      <c r="K157" s="2">
        <f t="shared" si="5"/>
        <v>-1</v>
      </c>
    </row>
    <row r="158" spans="1:11" hidden="1" x14ac:dyDescent="0.2">
      <c r="A158" s="41" t="s">
        <v>286</v>
      </c>
      <c r="B158" s="2">
        <v>1</v>
      </c>
      <c r="C158" s="2">
        <v>20</v>
      </c>
      <c r="D158" s="2">
        <f>ROUND(B158*C158,0)</f>
        <v>20</v>
      </c>
      <c r="F158" s="3"/>
      <c r="G158" s="3"/>
      <c r="H158" s="3"/>
      <c r="I158" s="3"/>
      <c r="J158" s="3"/>
      <c r="K158" s="2">
        <f t="shared" si="5"/>
        <v>0</v>
      </c>
    </row>
    <row r="159" spans="1:11" hidden="1" x14ac:dyDescent="0.2">
      <c r="A159" s="41" t="s">
        <v>287</v>
      </c>
      <c r="B159" s="2">
        <v>12</v>
      </c>
      <c r="C159" s="2">
        <v>20</v>
      </c>
      <c r="D159" s="2">
        <f t="shared" ref="D159:D164" si="7">ROUND(B159*C159,0)</f>
        <v>240</v>
      </c>
      <c r="F159" s="3"/>
      <c r="G159" s="3"/>
      <c r="H159" s="3"/>
      <c r="I159" s="3"/>
      <c r="J159" s="3"/>
      <c r="K159" s="2">
        <f t="shared" si="5"/>
        <v>0</v>
      </c>
    </row>
    <row r="160" spans="1:11" hidden="1" x14ac:dyDescent="0.2">
      <c r="A160" s="41" t="s">
        <v>288</v>
      </c>
      <c r="B160" s="2">
        <f>32+4</f>
        <v>36</v>
      </c>
      <c r="C160" s="2">
        <v>20</v>
      </c>
      <c r="D160" s="2">
        <f t="shared" si="7"/>
        <v>720</v>
      </c>
      <c r="F160" s="3"/>
      <c r="G160" s="3"/>
      <c r="H160" s="3"/>
      <c r="I160" s="3"/>
      <c r="J160" s="3"/>
      <c r="K160" s="2">
        <f t="shared" si="5"/>
        <v>0</v>
      </c>
    </row>
    <row r="161" spans="1:11" hidden="1" x14ac:dyDescent="0.2">
      <c r="A161" s="2" t="s">
        <v>289</v>
      </c>
      <c r="B161" s="2">
        <v>2</v>
      </c>
      <c r="C161" s="2">
        <v>20</v>
      </c>
      <c r="D161" s="2">
        <f t="shared" si="7"/>
        <v>40</v>
      </c>
      <c r="F161" s="3"/>
      <c r="G161" s="3"/>
      <c r="H161" s="3"/>
      <c r="I161" s="3"/>
      <c r="J161" s="3"/>
      <c r="K161" s="2">
        <f t="shared" si="5"/>
        <v>0</v>
      </c>
    </row>
    <row r="162" spans="1:11" hidden="1" x14ac:dyDescent="0.2">
      <c r="A162" s="2" t="s">
        <v>713</v>
      </c>
      <c r="B162" s="2">
        <v>1</v>
      </c>
      <c r="C162" s="2">
        <v>20</v>
      </c>
      <c r="D162" s="2">
        <f t="shared" si="7"/>
        <v>20</v>
      </c>
      <c r="F162" s="3"/>
      <c r="G162" s="3"/>
      <c r="H162" s="3"/>
      <c r="I162" s="3"/>
      <c r="J162" s="3"/>
      <c r="K162" s="2">
        <f t="shared" si="5"/>
        <v>0</v>
      </c>
    </row>
    <row r="163" spans="1:11" hidden="1" x14ac:dyDescent="0.2">
      <c r="A163" s="41" t="s">
        <v>85</v>
      </c>
      <c r="B163" s="2">
        <v>1</v>
      </c>
      <c r="C163" s="2">
        <v>20</v>
      </c>
      <c r="D163" s="2">
        <f t="shared" si="7"/>
        <v>20</v>
      </c>
      <c r="F163" s="3"/>
      <c r="G163" s="3"/>
      <c r="H163" s="3"/>
      <c r="I163" s="3"/>
      <c r="J163" s="3"/>
      <c r="K163" s="2">
        <f t="shared" si="5"/>
        <v>0</v>
      </c>
    </row>
    <row r="164" spans="1:11" ht="15" hidden="1" x14ac:dyDescent="0.35">
      <c r="A164" s="41" t="s">
        <v>1309</v>
      </c>
      <c r="B164" s="2">
        <f>+D94-D91</f>
        <v>100133.68</v>
      </c>
      <c r="C164" s="13">
        <v>1.4E-3</v>
      </c>
      <c r="D164" s="10">
        <f t="shared" si="7"/>
        <v>140</v>
      </c>
      <c r="F164" s="3"/>
      <c r="G164" s="3"/>
      <c r="H164" s="3"/>
      <c r="I164" s="3"/>
      <c r="J164" s="3"/>
      <c r="K164" s="2">
        <f t="shared" si="5"/>
        <v>0</v>
      </c>
    </row>
    <row r="165" spans="1:11" hidden="1" x14ac:dyDescent="0.2">
      <c r="A165" s="2" t="s">
        <v>1073</v>
      </c>
      <c r="D165" s="2">
        <f>SUM(D158:D164)</f>
        <v>1200</v>
      </c>
      <c r="F165" s="3"/>
      <c r="G165" s="3"/>
      <c r="H165" s="3"/>
      <c r="I165" s="3"/>
      <c r="J165" s="3"/>
      <c r="K165" s="2">
        <f t="shared" si="5"/>
        <v>0</v>
      </c>
    </row>
    <row r="166" spans="1:11" x14ac:dyDescent="0.2">
      <c r="F166" s="3"/>
      <c r="G166" s="3"/>
      <c r="H166" s="3"/>
      <c r="I166" s="3"/>
      <c r="J166" s="3"/>
    </row>
    <row r="167" spans="1:11" ht="12.6" customHeight="1" x14ac:dyDescent="0.2">
      <c r="B167" s="87"/>
    </row>
    <row r="168" spans="1:11" ht="13.5" x14ac:dyDescent="0.25">
      <c r="A168" s="43" t="s">
        <v>1310</v>
      </c>
      <c r="E168" s="2">
        <v>4823</v>
      </c>
      <c r="F168" s="3">
        <v>5300</v>
      </c>
      <c r="G168" s="3">
        <v>5300</v>
      </c>
      <c r="H168" s="3">
        <v>5300</v>
      </c>
      <c r="I168" s="3">
        <v>5300</v>
      </c>
      <c r="J168" s="3">
        <v>5300</v>
      </c>
    </row>
    <row r="169" spans="1:11" x14ac:dyDescent="0.2">
      <c r="A169" s="2" t="s">
        <v>1896</v>
      </c>
      <c r="D169" s="2">
        <v>4500</v>
      </c>
      <c r="F169" s="3"/>
      <c r="G169" s="3"/>
      <c r="H169" s="3"/>
      <c r="I169" s="3"/>
      <c r="J169" s="3"/>
    </row>
    <row r="170" spans="1:11" ht="15" x14ac:dyDescent="0.35">
      <c r="A170" s="2" t="s">
        <v>1897</v>
      </c>
      <c r="D170" s="10">
        <v>800</v>
      </c>
      <c r="F170" s="3"/>
      <c r="G170" s="3"/>
      <c r="H170" s="3"/>
      <c r="I170" s="3"/>
      <c r="J170" s="3"/>
    </row>
    <row r="171" spans="1:11" x14ac:dyDescent="0.2">
      <c r="A171" s="23" t="s">
        <v>1073</v>
      </c>
      <c r="D171" s="2">
        <f>SUM(D169:D170)</f>
        <v>5300</v>
      </c>
      <c r="F171" s="3"/>
      <c r="G171" s="3"/>
      <c r="H171" s="3"/>
      <c r="I171" s="3"/>
      <c r="J171" s="3"/>
    </row>
    <row r="172" spans="1:11" x14ac:dyDescent="0.2">
      <c r="F172" s="3"/>
      <c r="G172" s="3"/>
      <c r="H172" s="3"/>
      <c r="I172" s="3"/>
      <c r="J172" s="3"/>
    </row>
    <row r="173" spans="1:11" ht="13.5" x14ac:dyDescent="0.25">
      <c r="A173" s="43" t="s">
        <v>1231</v>
      </c>
      <c r="E173" s="2">
        <v>5742</v>
      </c>
      <c r="F173" s="3">
        <v>1800</v>
      </c>
      <c r="G173" s="243">
        <v>6800</v>
      </c>
      <c r="H173" s="3">
        <v>6800</v>
      </c>
      <c r="I173" s="3">
        <v>6800</v>
      </c>
      <c r="J173" s="3">
        <v>6800</v>
      </c>
    </row>
    <row r="174" spans="1:11" x14ac:dyDescent="0.2">
      <c r="A174" s="2" t="s">
        <v>1898</v>
      </c>
      <c r="D174" s="2">
        <v>1800</v>
      </c>
      <c r="F174" s="3"/>
      <c r="G174" s="3"/>
      <c r="H174" s="3"/>
      <c r="I174" s="3"/>
      <c r="J174" s="3"/>
    </row>
    <row r="175" spans="1:11" ht="15" x14ac:dyDescent="0.35">
      <c r="A175" s="244" t="s">
        <v>2106</v>
      </c>
      <c r="D175" s="245">
        <v>5000</v>
      </c>
      <c r="F175" s="3"/>
      <c r="G175" s="3"/>
      <c r="H175" s="3"/>
      <c r="I175" s="3"/>
      <c r="J175" s="3"/>
    </row>
    <row r="176" spans="1:11" x14ac:dyDescent="0.2">
      <c r="A176" s="244" t="s">
        <v>1073</v>
      </c>
      <c r="D176" s="246">
        <f>SUM(D174:D175)</f>
        <v>6800</v>
      </c>
      <c r="F176" s="3"/>
      <c r="G176" s="3"/>
      <c r="H176" s="3"/>
      <c r="I176" s="3"/>
      <c r="J176" s="3"/>
    </row>
    <row r="177" spans="1:10" x14ac:dyDescent="0.2">
      <c r="A177" s="244"/>
      <c r="D177" s="246"/>
      <c r="F177" s="3"/>
      <c r="G177" s="3"/>
      <c r="H177" s="3"/>
      <c r="I177" s="3"/>
      <c r="J177" s="3"/>
    </row>
    <row r="178" spans="1:10" ht="15" x14ac:dyDescent="0.35">
      <c r="A178" s="43" t="s">
        <v>188</v>
      </c>
      <c r="D178" s="10"/>
      <c r="E178" s="2">
        <v>36674</v>
      </c>
      <c r="F178" s="3">
        <v>37790</v>
      </c>
      <c r="G178" s="3">
        <v>41590</v>
      </c>
      <c r="H178" s="3">
        <v>41590</v>
      </c>
      <c r="I178" s="3">
        <v>41590</v>
      </c>
      <c r="J178" s="3">
        <v>41590</v>
      </c>
    </row>
    <row r="179" spans="1:10" x14ac:dyDescent="0.2">
      <c r="A179" s="2" t="s">
        <v>1313</v>
      </c>
      <c r="B179" s="2">
        <v>14</v>
      </c>
      <c r="C179" s="2">
        <v>1400</v>
      </c>
      <c r="D179" s="2">
        <f t="shared" ref="D179:D186" si="8">C179*B179</f>
        <v>19600</v>
      </c>
      <c r="F179" s="3"/>
      <c r="G179" s="3"/>
      <c r="H179" s="3"/>
      <c r="I179" s="3"/>
      <c r="J179" s="3"/>
    </row>
    <row r="180" spans="1:10" x14ac:dyDescent="0.2">
      <c r="A180" s="177" t="s">
        <v>1728</v>
      </c>
      <c r="B180" s="177">
        <v>18</v>
      </c>
      <c r="C180" s="177">
        <v>240</v>
      </c>
      <c r="D180" s="177">
        <f t="shared" si="8"/>
        <v>4320</v>
      </c>
      <c r="F180" s="258" t="s">
        <v>2107</v>
      </c>
      <c r="G180" s="258"/>
      <c r="H180" s="3"/>
      <c r="I180" s="3"/>
      <c r="J180" s="3"/>
    </row>
    <row r="181" spans="1:10" x14ac:dyDescent="0.2">
      <c r="A181" s="177" t="s">
        <v>1535</v>
      </c>
      <c r="B181" s="177">
        <v>26</v>
      </c>
      <c r="C181" s="177">
        <v>120</v>
      </c>
      <c r="D181" s="177">
        <f t="shared" si="8"/>
        <v>3120</v>
      </c>
      <c r="F181" s="3"/>
      <c r="G181" s="3"/>
      <c r="H181" s="3"/>
      <c r="I181" s="3"/>
      <c r="J181" s="3"/>
    </row>
    <row r="182" spans="1:10" x14ac:dyDescent="0.2">
      <c r="A182" s="177" t="s">
        <v>1536</v>
      </c>
      <c r="B182" s="177">
        <v>10</v>
      </c>
      <c r="C182" s="177">
        <v>400</v>
      </c>
      <c r="D182" s="177">
        <f t="shared" si="8"/>
        <v>4000</v>
      </c>
      <c r="F182" s="3"/>
      <c r="G182" s="3"/>
      <c r="H182" s="3"/>
      <c r="I182" s="3"/>
      <c r="J182" s="3"/>
    </row>
    <row r="183" spans="1:10" x14ac:dyDescent="0.2">
      <c r="A183" s="2" t="s">
        <v>1400</v>
      </c>
      <c r="B183" s="2">
        <v>1</v>
      </c>
      <c r="C183" s="2">
        <v>550</v>
      </c>
      <c r="D183" s="177">
        <f t="shared" si="8"/>
        <v>550</v>
      </c>
      <c r="F183" s="3"/>
      <c r="G183" s="3"/>
      <c r="H183" s="3"/>
      <c r="I183" s="3"/>
      <c r="J183" s="3"/>
    </row>
    <row r="184" spans="1:10" x14ac:dyDescent="0.2">
      <c r="A184" s="2" t="s">
        <v>1729</v>
      </c>
      <c r="B184" s="2">
        <v>1</v>
      </c>
      <c r="C184" s="2">
        <v>700</v>
      </c>
      <c r="D184" s="177">
        <f t="shared" si="8"/>
        <v>700</v>
      </c>
      <c r="F184" s="3"/>
      <c r="G184" s="3"/>
      <c r="H184" s="3"/>
      <c r="I184" s="3"/>
      <c r="J184" s="3"/>
    </row>
    <row r="185" spans="1:10" x14ac:dyDescent="0.2">
      <c r="A185" s="2" t="s">
        <v>1617</v>
      </c>
      <c r="B185" s="2">
        <v>10</v>
      </c>
      <c r="C185" s="2">
        <v>80</v>
      </c>
      <c r="D185" s="177">
        <f t="shared" si="8"/>
        <v>800</v>
      </c>
      <c r="F185" s="3"/>
      <c r="G185" s="3"/>
      <c r="H185" s="3"/>
      <c r="I185" s="3"/>
      <c r="J185" s="3"/>
    </row>
    <row r="186" spans="1:10" x14ac:dyDescent="0.2">
      <c r="A186" s="2" t="s">
        <v>1672</v>
      </c>
      <c r="B186" s="2">
        <v>2</v>
      </c>
      <c r="C186" s="2">
        <v>400</v>
      </c>
      <c r="D186" s="177">
        <f t="shared" si="8"/>
        <v>800</v>
      </c>
      <c r="F186" s="3"/>
      <c r="G186" s="3"/>
      <c r="H186" s="3"/>
      <c r="I186" s="3"/>
      <c r="J186" s="3"/>
    </row>
    <row r="187" spans="1:10" x14ac:dyDescent="0.2">
      <c r="A187" s="2" t="s">
        <v>1314</v>
      </c>
      <c r="D187" s="2">
        <v>5700</v>
      </c>
      <c r="F187" s="3"/>
      <c r="G187" s="3"/>
      <c r="H187" s="3"/>
      <c r="I187" s="3"/>
      <c r="J187" s="3"/>
    </row>
    <row r="188" spans="1:10" ht="15" x14ac:dyDescent="0.35">
      <c r="A188" s="2" t="s">
        <v>1899</v>
      </c>
      <c r="C188" s="10"/>
      <c r="D188" s="31">
        <v>2000</v>
      </c>
      <c r="F188" s="3"/>
      <c r="G188" s="3"/>
      <c r="H188" s="3"/>
      <c r="I188" s="3"/>
      <c r="J188" s="3"/>
    </row>
    <row r="189" spans="1:10" x14ac:dyDescent="0.2">
      <c r="A189" s="23" t="s">
        <v>1073</v>
      </c>
      <c r="D189" s="2">
        <f>SUM(D179:D188)</f>
        <v>41590</v>
      </c>
      <c r="F189" s="3"/>
      <c r="G189" s="3"/>
      <c r="H189" s="3"/>
      <c r="I189" s="3"/>
      <c r="J189" s="3"/>
    </row>
    <row r="190" spans="1:10" x14ac:dyDescent="0.2">
      <c r="F190" s="3"/>
      <c r="G190" s="3"/>
      <c r="H190" s="3"/>
      <c r="I190" s="3"/>
      <c r="J190" s="3"/>
    </row>
    <row r="191" spans="1:10" ht="13.5" x14ac:dyDescent="0.25">
      <c r="A191" s="43" t="s">
        <v>714</v>
      </c>
      <c r="E191" s="2">
        <v>65173</v>
      </c>
      <c r="F191" s="3">
        <v>94640</v>
      </c>
      <c r="G191" s="3">
        <v>108500</v>
      </c>
      <c r="H191" s="3">
        <v>108500</v>
      </c>
      <c r="I191" s="3">
        <v>108500</v>
      </c>
      <c r="J191" s="3">
        <v>108500</v>
      </c>
    </row>
    <row r="192" spans="1:10" x14ac:dyDescent="0.2">
      <c r="A192" s="1" t="s">
        <v>806</v>
      </c>
      <c r="B192" s="7" t="s">
        <v>214</v>
      </c>
      <c r="C192" s="7" t="s">
        <v>1401</v>
      </c>
      <c r="D192" s="7"/>
      <c r="F192" s="3"/>
      <c r="G192" s="3"/>
      <c r="H192" s="3"/>
      <c r="I192" s="3"/>
      <c r="J192" s="3"/>
    </row>
    <row r="193" spans="1:10" x14ac:dyDescent="0.2">
      <c r="A193" s="2" t="s">
        <v>1900</v>
      </c>
      <c r="B193" s="2">
        <v>3</v>
      </c>
      <c r="C193" s="2">
        <v>900</v>
      </c>
      <c r="D193" s="2">
        <f>C193*B193</f>
        <v>2700</v>
      </c>
      <c r="E193" s="2">
        <v>3</v>
      </c>
      <c r="F193" s="3"/>
      <c r="G193" s="3"/>
      <c r="H193" s="3"/>
      <c r="I193" s="3"/>
      <c r="J193" s="3"/>
    </row>
    <row r="194" spans="1:10" x14ac:dyDescent="0.2">
      <c r="A194" s="2" t="s">
        <v>1566</v>
      </c>
      <c r="B194" s="2">
        <v>9</v>
      </c>
      <c r="C194" s="2">
        <v>900</v>
      </c>
      <c r="D194" s="177">
        <f t="shared" ref="D194:D205" si="9">C194*B194</f>
        <v>8100</v>
      </c>
      <c r="E194" s="2">
        <v>9</v>
      </c>
      <c r="F194" s="3"/>
      <c r="G194" s="3"/>
      <c r="H194" s="3"/>
      <c r="I194" s="3"/>
      <c r="J194" s="3"/>
    </row>
    <row r="195" spans="1:10" x14ac:dyDescent="0.2">
      <c r="A195" s="2" t="s">
        <v>1623</v>
      </c>
      <c r="B195" s="2">
        <v>36</v>
      </c>
      <c r="C195" s="2">
        <v>850</v>
      </c>
      <c r="D195" s="177">
        <f t="shared" si="9"/>
        <v>30600</v>
      </c>
      <c r="E195" s="2">
        <v>28</v>
      </c>
      <c r="F195" s="3"/>
      <c r="G195" s="3"/>
      <c r="H195" s="3"/>
      <c r="I195" s="3"/>
      <c r="J195" s="3"/>
    </row>
    <row r="196" spans="1:10" x14ac:dyDescent="0.2">
      <c r="A196" s="2" t="s">
        <v>1901</v>
      </c>
      <c r="B196" s="2">
        <v>1</v>
      </c>
      <c r="C196" s="2">
        <v>300</v>
      </c>
      <c r="D196" s="177">
        <f t="shared" si="9"/>
        <v>300</v>
      </c>
      <c r="E196" s="2">
        <v>1</v>
      </c>
      <c r="F196" s="3"/>
      <c r="G196" s="3"/>
      <c r="H196" s="3"/>
      <c r="I196" s="3"/>
      <c r="J196" s="3"/>
    </row>
    <row r="197" spans="1:10" x14ac:dyDescent="0.2">
      <c r="A197" s="42" t="s">
        <v>215</v>
      </c>
      <c r="B197" s="2">
        <v>2</v>
      </c>
      <c r="C197" s="2">
        <v>250</v>
      </c>
      <c r="D197" s="177">
        <f t="shared" si="9"/>
        <v>500</v>
      </c>
      <c r="E197" s="2">
        <v>4</v>
      </c>
      <c r="F197" s="3"/>
      <c r="G197" s="3"/>
      <c r="H197" s="3"/>
      <c r="I197" s="3"/>
      <c r="J197" s="3"/>
    </row>
    <row r="198" spans="1:10" x14ac:dyDescent="0.2">
      <c r="A198" s="2" t="s">
        <v>1902</v>
      </c>
      <c r="B198" s="2">
        <v>14</v>
      </c>
      <c r="C198" s="2">
        <v>650</v>
      </c>
      <c r="D198" s="177">
        <f t="shared" si="9"/>
        <v>9100</v>
      </c>
      <c r="E198" s="2">
        <v>5</v>
      </c>
      <c r="F198" s="3"/>
      <c r="G198" s="3"/>
      <c r="H198" s="3"/>
      <c r="I198" s="3"/>
      <c r="J198" s="3"/>
    </row>
    <row r="199" spans="1:10" x14ac:dyDescent="0.2">
      <c r="A199" s="2" t="s">
        <v>1618</v>
      </c>
      <c r="B199" s="2">
        <v>12</v>
      </c>
      <c r="C199" s="2">
        <v>2900</v>
      </c>
      <c r="D199" s="177">
        <f t="shared" si="9"/>
        <v>34800</v>
      </c>
      <c r="E199" s="2">
        <v>12</v>
      </c>
      <c r="F199" s="3"/>
      <c r="G199" s="3"/>
      <c r="H199" s="3"/>
      <c r="I199" s="3"/>
      <c r="J199" s="3"/>
    </row>
    <row r="200" spans="1:10" x14ac:dyDescent="0.2">
      <c r="A200" s="2" t="s">
        <v>1903</v>
      </c>
      <c r="B200" s="2">
        <v>3</v>
      </c>
      <c r="C200" s="2">
        <v>2900</v>
      </c>
      <c r="D200" s="177">
        <f t="shared" si="9"/>
        <v>8700</v>
      </c>
      <c r="E200" s="2">
        <v>5</v>
      </c>
      <c r="F200" s="3"/>
      <c r="G200" s="3"/>
      <c r="H200" s="3"/>
      <c r="I200" s="3"/>
      <c r="J200" s="3"/>
    </row>
    <row r="201" spans="1:10" x14ac:dyDescent="0.2">
      <c r="A201" s="177" t="s">
        <v>1904</v>
      </c>
      <c r="B201" s="177">
        <v>3</v>
      </c>
      <c r="C201" s="177">
        <v>1200</v>
      </c>
      <c r="D201" s="177">
        <f t="shared" si="9"/>
        <v>3600</v>
      </c>
      <c r="E201" s="177">
        <v>5</v>
      </c>
      <c r="F201" s="3"/>
      <c r="G201" s="3"/>
      <c r="H201" s="3"/>
      <c r="I201" s="3"/>
      <c r="J201" s="3"/>
    </row>
    <row r="202" spans="1:10" x14ac:dyDescent="0.2">
      <c r="A202" s="2" t="s">
        <v>1361</v>
      </c>
      <c r="B202" s="2">
        <v>10</v>
      </c>
      <c r="C202" s="2">
        <v>250</v>
      </c>
      <c r="D202" s="177">
        <f t="shared" si="9"/>
        <v>2500</v>
      </c>
      <c r="E202" s="2">
        <v>10</v>
      </c>
      <c r="F202" s="3"/>
      <c r="G202" s="3"/>
      <c r="H202" s="3"/>
      <c r="I202" s="3"/>
      <c r="J202" s="3"/>
    </row>
    <row r="203" spans="1:10" x14ac:dyDescent="0.2">
      <c r="A203" s="2" t="s">
        <v>1820</v>
      </c>
      <c r="B203" s="2">
        <v>1</v>
      </c>
      <c r="C203" s="2">
        <v>3000</v>
      </c>
      <c r="D203" s="177">
        <f t="shared" si="9"/>
        <v>3000</v>
      </c>
      <c r="E203" s="2">
        <v>1</v>
      </c>
      <c r="F203" s="3"/>
      <c r="G203" s="3"/>
      <c r="H203" s="3"/>
      <c r="I203" s="3"/>
      <c r="J203" s="3"/>
    </row>
    <row r="204" spans="1:10" x14ac:dyDescent="0.2">
      <c r="A204" s="2" t="s">
        <v>1905</v>
      </c>
      <c r="B204" s="2">
        <v>4</v>
      </c>
      <c r="C204" s="2">
        <v>600</v>
      </c>
      <c r="D204" s="177">
        <f t="shared" si="9"/>
        <v>2400</v>
      </c>
      <c r="E204" s="2">
        <v>4</v>
      </c>
      <c r="F204" s="3"/>
      <c r="G204" s="3"/>
      <c r="H204" s="3"/>
      <c r="I204" s="3"/>
      <c r="J204" s="3"/>
    </row>
    <row r="205" spans="1:10" ht="15" x14ac:dyDescent="0.35">
      <c r="A205" s="2" t="s">
        <v>1906</v>
      </c>
      <c r="B205" s="2">
        <v>22</v>
      </c>
      <c r="C205" s="2">
        <v>100</v>
      </c>
      <c r="D205" s="247">
        <f t="shared" si="9"/>
        <v>2200</v>
      </c>
      <c r="E205" s="2">
        <v>1</v>
      </c>
      <c r="F205" s="3"/>
      <c r="G205" s="3"/>
      <c r="H205" s="3"/>
      <c r="I205" s="3"/>
      <c r="J205" s="3"/>
    </row>
    <row r="206" spans="1:10" x14ac:dyDescent="0.2">
      <c r="A206" s="23" t="s">
        <v>1073</v>
      </c>
      <c r="D206" s="2">
        <f>SUM(D193:D205)</f>
        <v>108500</v>
      </c>
      <c r="F206" s="3"/>
      <c r="G206" s="3"/>
      <c r="H206" s="3"/>
      <c r="I206" s="3"/>
      <c r="J206" s="3"/>
    </row>
    <row r="207" spans="1:10" x14ac:dyDescent="0.2">
      <c r="F207" s="3"/>
      <c r="G207" s="3"/>
      <c r="H207" s="3"/>
      <c r="I207" s="3"/>
      <c r="J207" s="3"/>
    </row>
    <row r="208" spans="1:10" ht="13.5" x14ac:dyDescent="0.25">
      <c r="A208" s="43" t="s">
        <v>807</v>
      </c>
      <c r="E208" s="2">
        <v>519</v>
      </c>
      <c r="F208" s="3">
        <v>425</v>
      </c>
      <c r="G208" s="3">
        <v>425</v>
      </c>
      <c r="H208" s="3">
        <v>425</v>
      </c>
      <c r="I208" s="3">
        <v>425</v>
      </c>
      <c r="J208" s="3">
        <v>425</v>
      </c>
    </row>
    <row r="209" spans="1:10" x14ac:dyDescent="0.2">
      <c r="A209" s="2" t="s">
        <v>1907</v>
      </c>
      <c r="D209" s="2">
        <v>425</v>
      </c>
      <c r="F209" s="3"/>
      <c r="G209" s="3"/>
      <c r="H209" s="3"/>
      <c r="I209" s="3"/>
      <c r="J209" s="3"/>
    </row>
    <row r="210" spans="1:10" x14ac:dyDescent="0.2">
      <c r="A210" s="23"/>
      <c r="F210" s="3"/>
      <c r="G210" s="3"/>
      <c r="H210" s="3"/>
      <c r="I210" s="3"/>
      <c r="J210" s="3"/>
    </row>
    <row r="211" spans="1:10" ht="13.5" x14ac:dyDescent="0.25">
      <c r="A211" s="43" t="s">
        <v>552</v>
      </c>
      <c r="E211" s="2">
        <v>281</v>
      </c>
      <c r="F211" s="3">
        <v>200</v>
      </c>
      <c r="G211" s="3">
        <v>300</v>
      </c>
      <c r="H211" s="3">
        <v>300</v>
      </c>
      <c r="I211" s="3">
        <v>300</v>
      </c>
      <c r="J211" s="3">
        <v>300</v>
      </c>
    </row>
    <row r="212" spans="1:10" x14ac:dyDescent="0.2">
      <c r="A212" s="2" t="s">
        <v>1335</v>
      </c>
      <c r="B212" s="2" t="s">
        <v>345</v>
      </c>
      <c r="D212" s="2">
        <v>300</v>
      </c>
      <c r="F212" s="3"/>
      <c r="G212" s="3"/>
      <c r="H212" s="3"/>
      <c r="I212" s="3"/>
      <c r="J212" s="3"/>
    </row>
    <row r="213" spans="1:10" x14ac:dyDescent="0.2">
      <c r="F213" s="3"/>
      <c r="G213" s="3"/>
      <c r="H213" s="3"/>
      <c r="I213" s="3"/>
      <c r="J213" s="3"/>
    </row>
    <row r="214" spans="1:10" ht="13.5" x14ac:dyDescent="0.25">
      <c r="A214" s="43" t="s">
        <v>821</v>
      </c>
      <c r="C214" s="4"/>
      <c r="E214" s="2">
        <v>28013</v>
      </c>
      <c r="F214" s="3">
        <v>27950</v>
      </c>
      <c r="G214" s="3">
        <v>29000</v>
      </c>
      <c r="H214" s="3">
        <v>29000</v>
      </c>
      <c r="I214" s="3">
        <v>29000</v>
      </c>
      <c r="J214" s="3">
        <v>29000</v>
      </c>
    </row>
    <row r="215" spans="1:10" x14ac:dyDescent="0.2">
      <c r="A215" s="2" t="s">
        <v>318</v>
      </c>
      <c r="C215" s="11"/>
      <c r="D215" s="2">
        <v>1500</v>
      </c>
      <c r="F215" s="3"/>
      <c r="G215" s="3"/>
      <c r="H215" s="3"/>
      <c r="I215" s="3"/>
      <c r="J215" s="3"/>
    </row>
    <row r="216" spans="1:10" x14ac:dyDescent="0.2">
      <c r="A216" s="2" t="s">
        <v>88</v>
      </c>
      <c r="C216" s="11"/>
      <c r="D216" s="2">
        <v>5900</v>
      </c>
      <c r="F216" s="3"/>
      <c r="G216" s="3"/>
      <c r="H216" s="3"/>
      <c r="I216" s="3"/>
      <c r="J216" s="3"/>
    </row>
    <row r="217" spans="1:10" ht="15" x14ac:dyDescent="0.35">
      <c r="A217" s="2" t="s">
        <v>89</v>
      </c>
      <c r="B217" s="10"/>
      <c r="C217" s="11"/>
      <c r="D217" s="10">
        <v>21600</v>
      </c>
      <c r="F217" s="3"/>
      <c r="G217" s="3"/>
      <c r="H217" s="3"/>
      <c r="I217" s="3"/>
      <c r="J217" s="3"/>
    </row>
    <row r="218" spans="1:10" x14ac:dyDescent="0.2">
      <c r="A218" s="23" t="s">
        <v>1073</v>
      </c>
      <c r="B218" s="1"/>
      <c r="C218" s="11"/>
      <c r="D218" s="2">
        <f>SUM(D215:D217)</f>
        <v>29000</v>
      </c>
      <c r="F218" s="3"/>
      <c r="G218" s="3"/>
      <c r="H218" s="3"/>
      <c r="I218" s="3"/>
      <c r="J218" s="3"/>
    </row>
    <row r="219" spans="1:10" x14ac:dyDescent="0.2">
      <c r="C219" s="11"/>
      <c r="F219" s="3"/>
      <c r="G219" s="3"/>
      <c r="H219" s="3"/>
      <c r="I219" s="3"/>
      <c r="J219" s="3"/>
    </row>
    <row r="220" spans="1:10" ht="13.5" x14ac:dyDescent="0.25">
      <c r="A220" s="43" t="s">
        <v>883</v>
      </c>
      <c r="C220" s="32"/>
      <c r="E220" s="2">
        <v>13409</v>
      </c>
      <c r="F220" s="3">
        <v>17000</v>
      </c>
      <c r="G220" s="3">
        <v>15900</v>
      </c>
      <c r="H220" s="3">
        <v>15900</v>
      </c>
      <c r="I220" s="3">
        <v>15900</v>
      </c>
      <c r="J220" s="3">
        <v>15900</v>
      </c>
    </row>
    <row r="221" spans="1:10" x14ac:dyDescent="0.2">
      <c r="A221" s="2" t="s">
        <v>318</v>
      </c>
      <c r="C221" s="11"/>
      <c r="D221" s="2">
        <v>2900</v>
      </c>
      <c r="F221" s="3"/>
      <c r="G221" s="3"/>
      <c r="H221" s="3"/>
      <c r="I221" s="3"/>
      <c r="J221" s="3"/>
    </row>
    <row r="222" spans="1:10" x14ac:dyDescent="0.2">
      <c r="A222" s="2" t="s">
        <v>88</v>
      </c>
      <c r="C222" s="11"/>
      <c r="D222" s="2">
        <v>2100</v>
      </c>
      <c r="F222" s="3"/>
      <c r="G222" s="3"/>
      <c r="H222" s="3"/>
      <c r="I222" s="3"/>
      <c r="J222" s="3"/>
    </row>
    <row r="223" spans="1:10" ht="15" x14ac:dyDescent="0.35">
      <c r="A223" s="2" t="s">
        <v>89</v>
      </c>
      <c r="C223" s="11"/>
      <c r="D223" s="10">
        <v>10900</v>
      </c>
      <c r="F223" s="3"/>
      <c r="G223" s="3"/>
      <c r="H223" s="3"/>
      <c r="I223" s="3"/>
      <c r="J223" s="3"/>
    </row>
    <row r="224" spans="1:10" x14ac:dyDescent="0.2">
      <c r="A224" s="23" t="s">
        <v>1073</v>
      </c>
      <c r="D224" s="2">
        <f>SUM(D221:D223)</f>
        <v>15900</v>
      </c>
      <c r="F224" s="3"/>
      <c r="G224" s="3"/>
      <c r="H224" s="3"/>
      <c r="I224" s="3"/>
      <c r="J224" s="3"/>
    </row>
    <row r="225" spans="1:10" x14ac:dyDescent="0.2">
      <c r="C225" s="11"/>
      <c r="F225" s="3"/>
      <c r="G225" s="3"/>
      <c r="H225" s="3"/>
      <c r="I225" s="3"/>
      <c r="J225" s="3"/>
    </row>
    <row r="226" spans="1:10" ht="13.5" x14ac:dyDescent="0.25">
      <c r="A226" s="43" t="s">
        <v>1103</v>
      </c>
      <c r="C226" s="11"/>
      <c r="E226" s="2">
        <v>2577</v>
      </c>
      <c r="F226" s="3">
        <v>2800</v>
      </c>
      <c r="G226" s="3">
        <v>2700</v>
      </c>
      <c r="H226" s="3">
        <v>2700</v>
      </c>
      <c r="I226" s="3">
        <v>2700</v>
      </c>
      <c r="J226" s="3">
        <v>2700</v>
      </c>
    </row>
    <row r="227" spans="1:10" x14ac:dyDescent="0.2">
      <c r="A227" s="2" t="s">
        <v>284</v>
      </c>
      <c r="C227" s="11"/>
      <c r="D227" s="2">
        <v>2700</v>
      </c>
      <c r="F227" s="3"/>
      <c r="G227" s="3"/>
      <c r="H227" s="3"/>
      <c r="I227" s="3"/>
      <c r="J227" s="3"/>
    </row>
    <row r="228" spans="1:10" x14ac:dyDescent="0.2">
      <c r="C228" s="11"/>
      <c r="F228" s="3"/>
      <c r="G228" s="3"/>
      <c r="H228" s="3"/>
      <c r="I228" s="3"/>
      <c r="J228" s="3"/>
    </row>
    <row r="229" spans="1:10" ht="13.5" x14ac:dyDescent="0.25">
      <c r="A229" s="43" t="s">
        <v>1104</v>
      </c>
      <c r="C229" s="11"/>
      <c r="E229" s="2">
        <v>813</v>
      </c>
      <c r="F229" s="3">
        <v>912</v>
      </c>
      <c r="G229" s="3">
        <v>912</v>
      </c>
      <c r="H229" s="3">
        <v>912</v>
      </c>
      <c r="I229" s="3">
        <v>912</v>
      </c>
      <c r="J229" s="3">
        <v>912</v>
      </c>
    </row>
    <row r="230" spans="1:10" x14ac:dyDescent="0.2">
      <c r="A230" s="2" t="s">
        <v>318</v>
      </c>
      <c r="C230" s="11"/>
      <c r="D230" s="2">
        <v>304</v>
      </c>
      <c r="F230" s="3"/>
      <c r="G230" s="3"/>
      <c r="H230" s="3"/>
      <c r="I230" s="3"/>
      <c r="J230" s="3"/>
    </row>
    <row r="231" spans="1:10" x14ac:dyDescent="0.2">
      <c r="A231" s="2" t="s">
        <v>88</v>
      </c>
      <c r="C231" s="11"/>
      <c r="D231" s="2">
        <v>304</v>
      </c>
      <c r="F231" s="3"/>
      <c r="G231" s="3"/>
      <c r="H231" s="3"/>
      <c r="I231" s="3"/>
      <c r="J231" s="3"/>
    </row>
    <row r="232" spans="1:10" ht="15" x14ac:dyDescent="0.35">
      <c r="A232" s="2" t="s">
        <v>89</v>
      </c>
      <c r="C232" s="11"/>
      <c r="D232" s="10">
        <v>304</v>
      </c>
      <c r="F232" s="3"/>
      <c r="G232" s="3"/>
      <c r="H232" s="3"/>
      <c r="I232" s="3"/>
      <c r="J232" s="3"/>
    </row>
    <row r="233" spans="1:10" x14ac:dyDescent="0.2">
      <c r="A233" s="23" t="s">
        <v>1073</v>
      </c>
      <c r="C233" s="11"/>
      <c r="D233" s="2">
        <f>SUM(D230:D232)</f>
        <v>912</v>
      </c>
      <c r="F233" s="3"/>
      <c r="G233" s="3"/>
      <c r="H233" s="3"/>
      <c r="I233" s="3"/>
      <c r="J233" s="3"/>
    </row>
    <row r="234" spans="1:10" x14ac:dyDescent="0.2">
      <c r="C234" s="11"/>
      <c r="F234" s="3"/>
      <c r="G234" s="3"/>
      <c r="H234" s="3"/>
      <c r="I234" s="3"/>
      <c r="J234" s="3"/>
    </row>
    <row r="235" spans="1:10" ht="13.5" x14ac:dyDescent="0.25">
      <c r="A235" s="43" t="s">
        <v>1105</v>
      </c>
      <c r="B235" s="4" t="s">
        <v>524</v>
      </c>
      <c r="C235" s="32" t="s">
        <v>525</v>
      </c>
      <c r="D235" s="4" t="s">
        <v>1073</v>
      </c>
      <c r="E235" s="2">
        <v>30789</v>
      </c>
      <c r="F235" s="3">
        <v>36875</v>
      </c>
      <c r="G235" s="3">
        <v>39780</v>
      </c>
      <c r="H235" s="3">
        <v>39780</v>
      </c>
      <c r="I235" s="3">
        <v>39780</v>
      </c>
      <c r="J235" s="3">
        <v>39780</v>
      </c>
    </row>
    <row r="236" spans="1:10" x14ac:dyDescent="0.2">
      <c r="A236" s="2" t="s">
        <v>1106</v>
      </c>
      <c r="B236" s="2">
        <v>12600</v>
      </c>
      <c r="C236" s="11">
        <v>2.75</v>
      </c>
      <c r="D236" s="2">
        <f>+C236*B236</f>
        <v>34650</v>
      </c>
      <c r="F236" s="3"/>
      <c r="G236" s="3"/>
      <c r="H236" s="3"/>
      <c r="I236" s="3"/>
      <c r="J236" s="3"/>
    </row>
    <row r="237" spans="1:10" ht="15" x14ac:dyDescent="0.35">
      <c r="A237" s="2" t="s">
        <v>285</v>
      </c>
      <c r="B237" s="2">
        <v>1800</v>
      </c>
      <c r="C237" s="11">
        <v>2.85</v>
      </c>
      <c r="D237" s="10">
        <f>+C237*B237</f>
        <v>5130</v>
      </c>
      <c r="F237" s="3"/>
      <c r="G237" s="3"/>
      <c r="H237" s="3"/>
      <c r="I237" s="3"/>
      <c r="J237" s="3"/>
    </row>
    <row r="238" spans="1:10" x14ac:dyDescent="0.2">
      <c r="A238" s="23" t="s">
        <v>1073</v>
      </c>
      <c r="C238" s="11"/>
      <c r="D238" s="2">
        <f>SUM(D236:D237)</f>
        <v>39780</v>
      </c>
      <c r="F238" s="3"/>
      <c r="G238" s="3"/>
      <c r="H238" s="3"/>
      <c r="I238" s="3"/>
      <c r="J238" s="3"/>
    </row>
    <row r="239" spans="1:10" x14ac:dyDescent="0.2">
      <c r="A239" s="23"/>
      <c r="C239" s="11"/>
      <c r="F239" s="3"/>
      <c r="G239" s="3"/>
      <c r="H239" s="3"/>
      <c r="I239" s="3"/>
      <c r="J239" s="3"/>
    </row>
    <row r="240" spans="1:10" x14ac:dyDescent="0.2">
      <c r="F240" s="3"/>
      <c r="G240" s="3"/>
      <c r="H240" s="3"/>
      <c r="I240" s="3"/>
      <c r="J240" s="3"/>
    </row>
    <row r="241" spans="1:10" ht="13.5" x14ac:dyDescent="0.25">
      <c r="A241" s="43" t="s">
        <v>461</v>
      </c>
      <c r="E241" s="2">
        <v>21767</v>
      </c>
      <c r="F241" s="3">
        <v>15231</v>
      </c>
      <c r="G241" s="3">
        <v>20810</v>
      </c>
      <c r="H241" s="3">
        <v>20810</v>
      </c>
      <c r="I241" s="3">
        <v>20810</v>
      </c>
      <c r="J241" s="3">
        <v>20810</v>
      </c>
    </row>
    <row r="242" spans="1:10" x14ac:dyDescent="0.2">
      <c r="A242" s="2" t="s">
        <v>1488</v>
      </c>
      <c r="D242" s="2">
        <v>5500</v>
      </c>
      <c r="F242" s="3"/>
      <c r="G242" s="3"/>
      <c r="H242" s="3"/>
      <c r="I242" s="3"/>
      <c r="J242" s="3"/>
    </row>
    <row r="243" spans="1:10" x14ac:dyDescent="0.2">
      <c r="A243" s="2" t="s">
        <v>1402</v>
      </c>
      <c r="B243" s="2">
        <v>2</v>
      </c>
      <c r="C243" s="2">
        <v>165</v>
      </c>
      <c r="D243" s="2">
        <f t="shared" ref="D243:D248" si="10">C243*B243</f>
        <v>330</v>
      </c>
      <c r="F243" s="3"/>
      <c r="G243" s="3"/>
      <c r="H243" s="3"/>
      <c r="I243" s="3"/>
      <c r="J243" s="3"/>
    </row>
    <row r="244" spans="1:10" x14ac:dyDescent="0.2">
      <c r="A244" s="2" t="s">
        <v>1992</v>
      </c>
      <c r="B244" s="2">
        <v>1</v>
      </c>
      <c r="C244" s="2">
        <v>6400</v>
      </c>
      <c r="D244" s="2">
        <f t="shared" si="10"/>
        <v>6400</v>
      </c>
      <c r="F244" s="3"/>
      <c r="G244" s="3"/>
      <c r="H244" s="3"/>
      <c r="I244" s="3"/>
      <c r="J244" s="3"/>
    </row>
    <row r="245" spans="1:10" x14ac:dyDescent="0.2">
      <c r="A245" s="2" t="s">
        <v>1908</v>
      </c>
      <c r="B245" s="2">
        <v>3</v>
      </c>
      <c r="C245" s="2">
        <v>1020</v>
      </c>
      <c r="D245" s="2">
        <f t="shared" si="10"/>
        <v>3060</v>
      </c>
      <c r="F245" s="3"/>
      <c r="G245" s="3"/>
      <c r="H245" s="3"/>
      <c r="I245" s="3"/>
      <c r="J245" s="3"/>
    </row>
    <row r="246" spans="1:10" x14ac:dyDescent="0.2">
      <c r="A246" s="2" t="s">
        <v>1909</v>
      </c>
      <c r="B246" s="2">
        <v>2</v>
      </c>
      <c r="C246" s="2">
        <v>480</v>
      </c>
      <c r="D246" s="2">
        <f t="shared" si="10"/>
        <v>960</v>
      </c>
      <c r="F246" s="3"/>
      <c r="G246" s="3"/>
      <c r="H246" s="3"/>
      <c r="I246" s="3"/>
      <c r="J246" s="3"/>
    </row>
    <row r="247" spans="1:10" x14ac:dyDescent="0.2">
      <c r="A247" s="2" t="s">
        <v>1910</v>
      </c>
      <c r="B247" s="2">
        <v>12</v>
      </c>
      <c r="C247" s="2">
        <v>300</v>
      </c>
      <c r="D247" s="2">
        <f t="shared" si="10"/>
        <v>3600</v>
      </c>
      <c r="F247" s="3"/>
      <c r="G247" s="3"/>
      <c r="H247" s="3"/>
      <c r="I247" s="3"/>
      <c r="J247" s="3"/>
    </row>
    <row r="248" spans="1:10" ht="15" x14ac:dyDescent="0.35">
      <c r="A248" s="2" t="s">
        <v>1911</v>
      </c>
      <c r="B248" s="2">
        <v>2</v>
      </c>
      <c r="C248" s="2">
        <v>480</v>
      </c>
      <c r="D248" s="10">
        <f t="shared" si="10"/>
        <v>960</v>
      </c>
      <c r="F248" s="3"/>
      <c r="G248" s="3"/>
      <c r="H248" s="3"/>
      <c r="I248" s="3"/>
      <c r="J248" s="3"/>
    </row>
    <row r="249" spans="1:10" x14ac:dyDescent="0.2">
      <c r="A249" s="23" t="s">
        <v>1073</v>
      </c>
      <c r="D249" s="2">
        <f>SUM(D242:D248)</f>
        <v>20810</v>
      </c>
      <c r="F249" s="3"/>
      <c r="G249" s="3"/>
      <c r="H249" s="3"/>
      <c r="I249" s="3"/>
      <c r="J249" s="3"/>
    </row>
    <row r="250" spans="1:10" x14ac:dyDescent="0.2">
      <c r="F250" s="3"/>
      <c r="G250" s="3"/>
      <c r="H250" s="3"/>
      <c r="I250" s="3"/>
      <c r="J250" s="3"/>
    </row>
    <row r="251" spans="1:10" ht="13.5" x14ac:dyDescent="0.25">
      <c r="A251" s="43" t="s">
        <v>920</v>
      </c>
      <c r="B251" s="7"/>
      <c r="C251" s="7"/>
      <c r="D251" s="7"/>
      <c r="E251" s="2">
        <v>5815</v>
      </c>
      <c r="F251" s="3">
        <v>9181</v>
      </c>
      <c r="G251" s="3">
        <v>9181</v>
      </c>
      <c r="H251" s="3">
        <v>9181</v>
      </c>
      <c r="I251" s="3">
        <v>9181</v>
      </c>
      <c r="J251" s="3">
        <v>9181</v>
      </c>
    </row>
    <row r="252" spans="1:10" x14ac:dyDescent="0.2">
      <c r="A252" s="2" t="s">
        <v>1301</v>
      </c>
      <c r="B252" s="2">
        <v>55</v>
      </c>
      <c r="C252" s="2">
        <v>28</v>
      </c>
      <c r="D252" s="2">
        <f>C252*B252</f>
        <v>1540</v>
      </c>
      <c r="F252" s="3"/>
      <c r="G252" s="3"/>
      <c r="H252" s="3"/>
      <c r="I252" s="3"/>
      <c r="J252" s="3"/>
    </row>
    <row r="253" spans="1:10" x14ac:dyDescent="0.2">
      <c r="A253" s="2" t="s">
        <v>1228</v>
      </c>
      <c r="B253" s="2">
        <v>3</v>
      </c>
      <c r="C253" s="2">
        <v>300</v>
      </c>
      <c r="D253" s="2">
        <f t="shared" ref="D253:D259" si="11">C253*B253</f>
        <v>900</v>
      </c>
      <c r="F253" s="3"/>
      <c r="G253" s="3"/>
      <c r="H253" s="3"/>
      <c r="I253" s="3"/>
      <c r="J253" s="3"/>
    </row>
    <row r="254" spans="1:10" x14ac:dyDescent="0.2">
      <c r="A254" s="2" t="s">
        <v>327</v>
      </c>
      <c r="B254" s="2">
        <v>2</v>
      </c>
      <c r="C254" s="2">
        <v>100</v>
      </c>
      <c r="D254" s="2">
        <f t="shared" si="11"/>
        <v>200</v>
      </c>
      <c r="F254" s="3"/>
      <c r="G254" s="3"/>
      <c r="H254" s="3"/>
      <c r="I254" s="3"/>
      <c r="J254" s="3"/>
    </row>
    <row r="255" spans="1:10" x14ac:dyDescent="0.2">
      <c r="A255" s="2" t="s">
        <v>328</v>
      </c>
      <c r="B255" s="2">
        <v>1</v>
      </c>
      <c r="C255" s="2">
        <v>180</v>
      </c>
      <c r="D255" s="2">
        <f t="shared" si="11"/>
        <v>180</v>
      </c>
      <c r="F255" s="3"/>
      <c r="G255" s="3"/>
      <c r="H255" s="3"/>
      <c r="I255" s="3"/>
      <c r="J255" s="3"/>
    </row>
    <row r="256" spans="1:10" x14ac:dyDescent="0.2">
      <c r="A256" s="2" t="s">
        <v>1912</v>
      </c>
      <c r="B256" s="2">
        <v>1</v>
      </c>
      <c r="C256" s="2">
        <v>2300</v>
      </c>
      <c r="D256" s="2">
        <f t="shared" si="11"/>
        <v>2300</v>
      </c>
      <c r="F256" s="3"/>
      <c r="G256" s="3"/>
      <c r="H256" s="3"/>
      <c r="I256" s="3"/>
      <c r="J256" s="3"/>
    </row>
    <row r="257" spans="1:10" x14ac:dyDescent="0.2">
      <c r="A257" s="2" t="s">
        <v>1913</v>
      </c>
      <c r="B257" s="2">
        <v>1</v>
      </c>
      <c r="C257" s="2">
        <v>150</v>
      </c>
      <c r="D257" s="2">
        <f t="shared" si="11"/>
        <v>150</v>
      </c>
      <c r="F257" s="3"/>
      <c r="G257" s="3"/>
      <c r="H257" s="3"/>
      <c r="I257" s="3"/>
      <c r="J257" s="3"/>
    </row>
    <row r="258" spans="1:10" x14ac:dyDescent="0.2">
      <c r="A258" s="2" t="s">
        <v>1914</v>
      </c>
      <c r="B258" s="2">
        <v>1</v>
      </c>
      <c r="C258" s="2">
        <v>3411</v>
      </c>
      <c r="D258" s="2">
        <f t="shared" si="11"/>
        <v>3411</v>
      </c>
      <c r="F258" s="3"/>
      <c r="G258" s="3"/>
      <c r="H258" s="3"/>
      <c r="I258" s="3"/>
      <c r="J258" s="3"/>
    </row>
    <row r="259" spans="1:10" ht="15" x14ac:dyDescent="0.35">
      <c r="A259" s="2" t="s">
        <v>34</v>
      </c>
      <c r="B259" s="2">
        <v>1</v>
      </c>
      <c r="C259" s="2">
        <v>500</v>
      </c>
      <c r="D259" s="10">
        <f t="shared" si="11"/>
        <v>500</v>
      </c>
      <c r="F259" s="3"/>
      <c r="G259" s="3"/>
      <c r="H259" s="3"/>
      <c r="I259" s="3"/>
      <c r="J259" s="3"/>
    </row>
    <row r="260" spans="1:10" x14ac:dyDescent="0.2">
      <c r="A260" s="23" t="s">
        <v>1073</v>
      </c>
      <c r="D260" s="2">
        <f>SUM(D252:D259)</f>
        <v>9181</v>
      </c>
      <c r="F260" s="3"/>
      <c r="G260" s="3"/>
      <c r="H260" s="3"/>
      <c r="I260" s="3"/>
      <c r="J260" s="3"/>
    </row>
    <row r="261" spans="1:10" x14ac:dyDescent="0.2">
      <c r="F261" s="3"/>
      <c r="G261" s="3"/>
      <c r="H261" s="3"/>
      <c r="I261" s="3"/>
      <c r="J261" s="3"/>
    </row>
    <row r="262" spans="1:10" ht="13.5" x14ac:dyDescent="0.25">
      <c r="A262" s="43" t="s">
        <v>559</v>
      </c>
      <c r="E262" s="2">
        <v>44333</v>
      </c>
      <c r="F262" s="3">
        <v>46409</v>
      </c>
      <c r="G262" s="3">
        <v>53935</v>
      </c>
      <c r="H262" s="3">
        <v>53935</v>
      </c>
      <c r="I262" s="3">
        <v>53935</v>
      </c>
      <c r="J262" s="3">
        <v>53935</v>
      </c>
    </row>
    <row r="263" spans="1:10" x14ac:dyDescent="0.2">
      <c r="A263" s="2" t="s">
        <v>906</v>
      </c>
      <c r="D263" s="2">
        <v>53935</v>
      </c>
      <c r="F263" s="3"/>
      <c r="G263" s="3"/>
      <c r="H263" s="3"/>
      <c r="I263" s="3"/>
      <c r="J263" s="3"/>
    </row>
    <row r="264" spans="1:10" x14ac:dyDescent="0.2">
      <c r="F264" s="3"/>
      <c r="G264" s="3"/>
      <c r="H264" s="3"/>
      <c r="I264" s="3"/>
      <c r="J264" s="3"/>
    </row>
    <row r="265" spans="1:10" ht="13.5" x14ac:dyDescent="0.25">
      <c r="A265" s="43" t="s">
        <v>1128</v>
      </c>
      <c r="B265" s="18"/>
      <c r="C265" s="18"/>
      <c r="D265" s="18"/>
      <c r="E265" s="2">
        <v>279</v>
      </c>
      <c r="F265" s="3">
        <v>2250</v>
      </c>
      <c r="G265" s="3">
        <v>2250</v>
      </c>
      <c r="H265" s="3">
        <v>2250</v>
      </c>
      <c r="I265" s="3">
        <v>2250</v>
      </c>
      <c r="J265" s="3">
        <v>2250</v>
      </c>
    </row>
    <row r="266" spans="1:10" x14ac:dyDescent="0.2">
      <c r="A266" s="105" t="s">
        <v>1915</v>
      </c>
      <c r="B266" s="2">
        <v>1</v>
      </c>
      <c r="C266" s="2">
        <v>250</v>
      </c>
      <c r="D266" s="2">
        <v>2250</v>
      </c>
      <c r="F266" s="3"/>
      <c r="G266" s="3"/>
      <c r="H266" s="3"/>
      <c r="I266" s="3"/>
      <c r="J266" s="3"/>
    </row>
    <row r="267" spans="1:10" x14ac:dyDescent="0.2">
      <c r="A267" s="2" t="s">
        <v>345</v>
      </c>
      <c r="F267" s="3"/>
      <c r="G267" s="3"/>
      <c r="H267" s="3"/>
      <c r="I267" s="3"/>
      <c r="J267" s="3"/>
    </row>
    <row r="268" spans="1:10" ht="13.5" x14ac:dyDescent="0.25">
      <c r="A268" s="43" t="s">
        <v>1129</v>
      </c>
      <c r="B268" s="7"/>
      <c r="C268" s="7"/>
      <c r="D268" s="7"/>
      <c r="E268" s="2">
        <v>18229</v>
      </c>
      <c r="F268" s="3">
        <v>18500</v>
      </c>
      <c r="G268" s="3">
        <v>18500</v>
      </c>
      <c r="H268" s="3">
        <v>18500</v>
      </c>
      <c r="I268" s="3">
        <v>18500</v>
      </c>
      <c r="J268" s="3">
        <v>18500</v>
      </c>
    </row>
    <row r="269" spans="1:10" x14ac:dyDescent="0.2">
      <c r="A269" s="42" t="s">
        <v>1916</v>
      </c>
      <c r="C269" s="7"/>
      <c r="D269" s="7">
        <v>18500</v>
      </c>
      <c r="F269" s="3"/>
      <c r="G269" s="3"/>
      <c r="H269" s="3"/>
      <c r="I269" s="3"/>
      <c r="J269" s="3"/>
    </row>
    <row r="270" spans="1:10" x14ac:dyDescent="0.2">
      <c r="C270" s="7"/>
      <c r="D270" s="7"/>
      <c r="F270" s="3"/>
      <c r="G270" s="3"/>
      <c r="H270" s="3"/>
      <c r="I270" s="3"/>
      <c r="J270" s="3"/>
    </row>
    <row r="271" spans="1:10" ht="13.5" x14ac:dyDescent="0.25">
      <c r="A271" s="43" t="s">
        <v>570</v>
      </c>
      <c r="E271" s="2">
        <v>6482</v>
      </c>
      <c r="F271" s="3">
        <v>7300</v>
      </c>
      <c r="G271" s="3">
        <v>7300</v>
      </c>
      <c r="H271" s="3">
        <v>7300</v>
      </c>
      <c r="I271" s="3">
        <v>7300</v>
      </c>
      <c r="J271" s="3">
        <v>7300</v>
      </c>
    </row>
    <row r="272" spans="1:10" x14ac:dyDescent="0.2">
      <c r="A272" s="2" t="s">
        <v>1917</v>
      </c>
      <c r="D272" s="2">
        <v>7300</v>
      </c>
      <c r="F272" s="3"/>
      <c r="G272" s="3"/>
      <c r="H272" s="3"/>
      <c r="I272" s="3"/>
      <c r="J272" s="3"/>
    </row>
    <row r="273" spans="1:10" x14ac:dyDescent="0.2">
      <c r="A273" s="2" t="s">
        <v>1918</v>
      </c>
      <c r="F273" s="3"/>
      <c r="G273" s="3"/>
      <c r="H273" s="3"/>
      <c r="I273" s="3"/>
      <c r="J273" s="3"/>
    </row>
    <row r="274" spans="1:10" x14ac:dyDescent="0.2">
      <c r="F274" s="3"/>
      <c r="G274" s="3"/>
      <c r="H274" s="3"/>
      <c r="I274" s="3"/>
      <c r="J274" s="3"/>
    </row>
    <row r="275" spans="1:10" ht="13.5" x14ac:dyDescent="0.25">
      <c r="A275" s="43" t="s">
        <v>237</v>
      </c>
      <c r="D275" s="2">
        <v>100000</v>
      </c>
      <c r="E275" s="2">
        <v>110204</v>
      </c>
      <c r="F275" s="3">
        <v>97500</v>
      </c>
      <c r="G275" s="3">
        <v>100000</v>
      </c>
      <c r="H275" s="3">
        <v>100000</v>
      </c>
      <c r="I275" s="3">
        <v>100000</v>
      </c>
      <c r="J275" s="3">
        <v>100000</v>
      </c>
    </row>
    <row r="276" spans="1:10" x14ac:dyDescent="0.2">
      <c r="A276" s="2" t="s">
        <v>472</v>
      </c>
      <c r="F276" s="3"/>
      <c r="G276" s="3"/>
      <c r="H276" s="3"/>
      <c r="I276" s="3"/>
      <c r="J276" s="3"/>
    </row>
    <row r="277" spans="1:10" x14ac:dyDescent="0.2">
      <c r="A277" s="2" t="s">
        <v>82</v>
      </c>
      <c r="F277" s="3"/>
      <c r="G277" s="3"/>
      <c r="H277" s="3"/>
      <c r="I277" s="3"/>
      <c r="J277" s="3"/>
    </row>
    <row r="278" spans="1:10" x14ac:dyDescent="0.2">
      <c r="A278" s="2" t="s">
        <v>1919</v>
      </c>
      <c r="F278" s="3"/>
      <c r="G278" s="3"/>
      <c r="H278" s="3"/>
      <c r="I278" s="3"/>
      <c r="J278" s="3"/>
    </row>
    <row r="279" spans="1:10" x14ac:dyDescent="0.2">
      <c r="F279" s="3"/>
      <c r="G279" s="3"/>
      <c r="H279" s="3"/>
      <c r="I279" s="3"/>
      <c r="J279" s="3"/>
    </row>
    <row r="280" spans="1:10" ht="13.5" x14ac:dyDescent="0.25">
      <c r="A280" s="43" t="s">
        <v>238</v>
      </c>
      <c r="B280" s="18"/>
      <c r="C280" s="18"/>
      <c r="D280" s="18"/>
      <c r="E280" s="2">
        <v>4642</v>
      </c>
      <c r="F280" s="3">
        <v>6000</v>
      </c>
      <c r="G280" s="3">
        <v>6500</v>
      </c>
      <c r="H280" s="3">
        <v>6500</v>
      </c>
      <c r="I280" s="3">
        <v>6500</v>
      </c>
      <c r="J280" s="3">
        <v>6500</v>
      </c>
    </row>
    <row r="281" spans="1:10" x14ac:dyDescent="0.2">
      <c r="A281" s="2" t="s">
        <v>1164</v>
      </c>
      <c r="D281" s="2">
        <v>1500</v>
      </c>
      <c r="F281" s="3"/>
      <c r="G281" s="3"/>
      <c r="H281" s="3"/>
      <c r="I281" s="3"/>
      <c r="J281" s="3"/>
    </row>
    <row r="282" spans="1:10" x14ac:dyDescent="0.2">
      <c r="A282" s="2" t="s">
        <v>1330</v>
      </c>
      <c r="D282" s="2">
        <v>3500</v>
      </c>
      <c r="F282" s="3"/>
      <c r="G282" s="3"/>
      <c r="H282" s="3"/>
      <c r="I282" s="3"/>
      <c r="J282" s="3"/>
    </row>
    <row r="283" spans="1:10" ht="15" x14ac:dyDescent="0.35">
      <c r="A283" s="2" t="s">
        <v>1920</v>
      </c>
      <c r="C283" s="10"/>
      <c r="D283" s="10">
        <v>1500</v>
      </c>
      <c r="F283" s="3"/>
      <c r="G283" s="3"/>
      <c r="H283" s="3"/>
      <c r="I283" s="3"/>
      <c r="J283" s="3"/>
    </row>
    <row r="284" spans="1:10" x14ac:dyDescent="0.2">
      <c r="A284" s="23" t="s">
        <v>1073</v>
      </c>
      <c r="D284" s="2">
        <f>SUM(D281:D283)</f>
        <v>6500</v>
      </c>
      <c r="F284" s="3"/>
      <c r="G284" s="3"/>
      <c r="H284" s="3"/>
      <c r="I284" s="3"/>
      <c r="J284" s="3"/>
    </row>
    <row r="285" spans="1:10" x14ac:dyDescent="0.2">
      <c r="F285" s="3"/>
      <c r="G285" s="3"/>
      <c r="H285" s="3"/>
      <c r="I285" s="3"/>
      <c r="J285" s="3"/>
    </row>
    <row r="286" spans="1:10" ht="13.5" x14ac:dyDescent="0.25">
      <c r="A286" s="43" t="s">
        <v>610</v>
      </c>
      <c r="B286" s="7"/>
      <c r="C286" s="7"/>
      <c r="D286" s="7"/>
      <c r="E286" s="2">
        <v>1831</v>
      </c>
      <c r="F286" s="3">
        <v>5400</v>
      </c>
      <c r="G286" s="3">
        <v>5400</v>
      </c>
      <c r="H286" s="3">
        <v>5400</v>
      </c>
      <c r="I286" s="3">
        <v>5400</v>
      </c>
      <c r="J286" s="3">
        <v>5400</v>
      </c>
    </row>
    <row r="287" spans="1:10" x14ac:dyDescent="0.2">
      <c r="A287" s="2" t="s">
        <v>1921</v>
      </c>
      <c r="F287" s="3"/>
      <c r="G287" s="3"/>
      <c r="H287" s="3"/>
      <c r="I287" s="3"/>
      <c r="J287" s="3"/>
    </row>
    <row r="288" spans="1:10" ht="15" x14ac:dyDescent="0.35">
      <c r="A288" s="2" t="s">
        <v>1922</v>
      </c>
      <c r="C288" s="10"/>
      <c r="D288" s="2">
        <v>5400</v>
      </c>
      <c r="F288" s="3"/>
      <c r="G288" s="3"/>
      <c r="H288" s="3"/>
      <c r="I288" s="3"/>
      <c r="J288" s="3"/>
    </row>
    <row r="289" spans="1:10" x14ac:dyDescent="0.2">
      <c r="A289" s="23"/>
      <c r="F289" s="3"/>
      <c r="G289" s="3"/>
      <c r="H289" s="3"/>
      <c r="I289" s="3"/>
      <c r="J289" s="3"/>
    </row>
    <row r="290" spans="1:10" ht="13.5" x14ac:dyDescent="0.25">
      <c r="A290" s="43" t="s">
        <v>239</v>
      </c>
      <c r="E290" s="2">
        <v>9357</v>
      </c>
      <c r="F290" s="3">
        <v>17920</v>
      </c>
      <c r="G290" s="3">
        <v>17920</v>
      </c>
      <c r="H290" s="3">
        <v>17920</v>
      </c>
      <c r="I290" s="3">
        <v>17920</v>
      </c>
      <c r="J290" s="3">
        <v>17920</v>
      </c>
    </row>
    <row r="291" spans="1:10" x14ac:dyDescent="0.2">
      <c r="B291" s="7"/>
      <c r="C291" s="7"/>
      <c r="D291" s="7"/>
      <c r="F291" s="3"/>
      <c r="G291" s="3"/>
      <c r="H291" s="3"/>
      <c r="I291" s="3"/>
      <c r="J291" s="3"/>
    </row>
    <row r="292" spans="1:10" x14ac:dyDescent="0.2">
      <c r="A292" s="2" t="s">
        <v>1923</v>
      </c>
      <c r="B292" s="2">
        <v>1</v>
      </c>
      <c r="C292" s="2">
        <v>7200</v>
      </c>
      <c r="D292" s="2">
        <f>C292*B292</f>
        <v>7200</v>
      </c>
      <c r="F292" s="3"/>
      <c r="G292" s="3"/>
      <c r="H292" s="3"/>
      <c r="I292" s="3"/>
      <c r="J292" s="3"/>
    </row>
    <row r="293" spans="1:10" x14ac:dyDescent="0.2">
      <c r="A293" s="2" t="s">
        <v>1924</v>
      </c>
      <c r="B293" s="2">
        <v>0</v>
      </c>
      <c r="C293" s="2">
        <v>50</v>
      </c>
      <c r="D293" s="2">
        <f>C293*B293</f>
        <v>0</v>
      </c>
      <c r="F293" s="3"/>
      <c r="G293" s="3"/>
      <c r="H293" s="3"/>
      <c r="I293" s="3"/>
      <c r="J293" s="3"/>
    </row>
    <row r="294" spans="1:10" x14ac:dyDescent="0.2">
      <c r="A294" s="2" t="s">
        <v>1315</v>
      </c>
      <c r="B294" s="2">
        <v>1</v>
      </c>
      <c r="C294" s="2">
        <v>1500</v>
      </c>
      <c r="D294" s="2">
        <f>C294*B294</f>
        <v>1500</v>
      </c>
      <c r="F294" s="3"/>
      <c r="G294" s="3"/>
      <c r="H294" s="3"/>
      <c r="I294" s="3"/>
      <c r="J294" s="3"/>
    </row>
    <row r="295" spans="1:10" x14ac:dyDescent="0.2">
      <c r="A295" s="2" t="s">
        <v>1925</v>
      </c>
      <c r="B295" s="2">
        <v>4</v>
      </c>
      <c r="C295" s="2">
        <v>550</v>
      </c>
      <c r="D295" s="2">
        <v>4620</v>
      </c>
      <c r="F295" s="3"/>
      <c r="G295" s="3"/>
      <c r="H295" s="3"/>
      <c r="I295" s="3"/>
      <c r="J295" s="3"/>
    </row>
    <row r="296" spans="1:10" x14ac:dyDescent="0.2">
      <c r="A296" s="2" t="s">
        <v>1730</v>
      </c>
      <c r="B296" s="2">
        <v>3</v>
      </c>
      <c r="C296" s="2">
        <v>200</v>
      </c>
      <c r="D296" s="2">
        <f>C296*B296</f>
        <v>600</v>
      </c>
      <c r="F296" s="3"/>
      <c r="G296" s="3"/>
      <c r="H296" s="3"/>
      <c r="I296" s="3"/>
      <c r="J296" s="3"/>
    </row>
    <row r="297" spans="1:10" ht="15" x14ac:dyDescent="0.35">
      <c r="A297" s="2" t="s">
        <v>1926</v>
      </c>
      <c r="B297" s="2">
        <v>1</v>
      </c>
      <c r="C297" s="2">
        <v>4000</v>
      </c>
      <c r="D297" s="10">
        <f>C297*B297</f>
        <v>4000</v>
      </c>
      <c r="F297" s="3"/>
      <c r="G297" s="3"/>
      <c r="H297" s="3"/>
      <c r="I297" s="3"/>
      <c r="J297" s="3"/>
    </row>
    <row r="298" spans="1:10" x14ac:dyDescent="0.2">
      <c r="A298" s="23" t="s">
        <v>1073</v>
      </c>
      <c r="D298" s="2">
        <f>SUM(D292:D297)</f>
        <v>17920</v>
      </c>
      <c r="F298" s="3"/>
      <c r="G298" s="3"/>
      <c r="H298" s="3"/>
      <c r="I298" s="3"/>
      <c r="J298" s="3"/>
    </row>
    <row r="299" spans="1:10" x14ac:dyDescent="0.2">
      <c r="F299" s="3"/>
      <c r="G299" s="3"/>
      <c r="H299" s="3"/>
      <c r="I299" s="3"/>
      <c r="J299" s="3"/>
    </row>
    <row r="300" spans="1:10" ht="13.5" x14ac:dyDescent="0.25">
      <c r="A300" s="43" t="s">
        <v>240</v>
      </c>
      <c r="B300" s="7"/>
      <c r="C300" s="7"/>
      <c r="D300" s="7"/>
      <c r="E300" s="2">
        <v>66353</v>
      </c>
      <c r="F300" s="3">
        <v>67800</v>
      </c>
      <c r="G300" s="3">
        <v>70177</v>
      </c>
      <c r="H300" s="3">
        <v>70177</v>
      </c>
      <c r="I300" s="3">
        <v>70177</v>
      </c>
      <c r="J300" s="3">
        <v>70177</v>
      </c>
    </row>
    <row r="301" spans="1:10" ht="13.5" x14ac:dyDescent="0.25">
      <c r="A301" s="44" t="s">
        <v>1331</v>
      </c>
      <c r="B301" s="7"/>
      <c r="C301" s="7"/>
      <c r="D301" s="7"/>
      <c r="F301" s="3"/>
      <c r="G301" s="3"/>
      <c r="H301" s="3"/>
      <c r="I301" s="3"/>
      <c r="J301" s="3"/>
    </row>
    <row r="302" spans="1:10" x14ac:dyDescent="0.2">
      <c r="A302" s="41" t="s">
        <v>776</v>
      </c>
      <c r="B302" s="2">
        <v>1</v>
      </c>
      <c r="C302" s="2">
        <v>12000</v>
      </c>
      <c r="D302" s="2">
        <f>B302*C302</f>
        <v>12000</v>
      </c>
      <c r="F302" s="3"/>
      <c r="G302" s="3"/>
      <c r="H302" s="3"/>
      <c r="I302" s="3"/>
      <c r="J302" s="3"/>
    </row>
    <row r="303" spans="1:10" x14ac:dyDescent="0.2">
      <c r="A303" s="41" t="s">
        <v>777</v>
      </c>
      <c r="B303" s="2">
        <v>1</v>
      </c>
      <c r="C303" s="2">
        <v>2500</v>
      </c>
      <c r="D303" s="2">
        <f>C303*B303</f>
        <v>2500</v>
      </c>
      <c r="F303" s="3"/>
      <c r="G303" s="3"/>
      <c r="H303" s="3"/>
      <c r="I303" s="3"/>
      <c r="J303" s="3"/>
    </row>
    <row r="304" spans="1:10" ht="13.5" x14ac:dyDescent="0.25">
      <c r="A304" s="44" t="s">
        <v>1316</v>
      </c>
      <c r="D304" s="2">
        <f t="shared" ref="D304:D314" si="12">C304*B304</f>
        <v>0</v>
      </c>
      <c r="F304" s="3"/>
      <c r="G304" s="3"/>
      <c r="H304" s="3"/>
      <c r="I304" s="3"/>
      <c r="J304" s="3"/>
    </row>
    <row r="305" spans="1:10" x14ac:dyDescent="0.2">
      <c r="A305" s="2" t="s">
        <v>2108</v>
      </c>
      <c r="B305" s="2">
        <v>1</v>
      </c>
      <c r="C305" s="2">
        <v>17132</v>
      </c>
      <c r="D305" s="2">
        <f t="shared" si="12"/>
        <v>17132</v>
      </c>
      <c r="F305" s="3"/>
      <c r="G305" s="3"/>
      <c r="H305" s="3"/>
      <c r="I305" s="3"/>
      <c r="J305" s="3"/>
    </row>
    <row r="306" spans="1:10" x14ac:dyDescent="0.2">
      <c r="A306" s="2" t="s">
        <v>1927</v>
      </c>
      <c r="B306" s="2">
        <v>14</v>
      </c>
      <c r="C306" s="2">
        <v>30</v>
      </c>
      <c r="D306" s="2">
        <f t="shared" si="12"/>
        <v>420</v>
      </c>
      <c r="F306" s="3"/>
      <c r="G306" s="3"/>
      <c r="H306" s="3"/>
      <c r="I306" s="3"/>
      <c r="J306" s="3"/>
    </row>
    <row r="307" spans="1:10" x14ac:dyDescent="0.2">
      <c r="A307" s="2" t="s">
        <v>1928</v>
      </c>
      <c r="B307" s="2">
        <v>25</v>
      </c>
      <c r="C307" s="2">
        <v>25</v>
      </c>
      <c r="D307" s="2">
        <f t="shared" si="12"/>
        <v>625</v>
      </c>
      <c r="F307" s="3"/>
      <c r="G307" s="3"/>
      <c r="H307" s="3"/>
      <c r="I307" s="3"/>
      <c r="J307" s="3"/>
    </row>
    <row r="308" spans="1:10" x14ac:dyDescent="0.2">
      <c r="A308" s="2" t="s">
        <v>1929</v>
      </c>
      <c r="B308" s="2">
        <v>20</v>
      </c>
      <c r="C308" s="2">
        <v>140</v>
      </c>
      <c r="D308" s="2">
        <f t="shared" si="12"/>
        <v>2800</v>
      </c>
      <c r="F308" s="3"/>
      <c r="G308" s="3"/>
      <c r="H308" s="3"/>
      <c r="I308" s="3"/>
      <c r="J308" s="3"/>
    </row>
    <row r="309" spans="1:10" x14ac:dyDescent="0.2">
      <c r="A309" s="2" t="s">
        <v>1619</v>
      </c>
      <c r="B309" s="2">
        <v>3</v>
      </c>
      <c r="C309" s="2">
        <v>1800</v>
      </c>
      <c r="D309" s="2">
        <f t="shared" si="12"/>
        <v>5400</v>
      </c>
      <c r="F309" s="3"/>
      <c r="G309" s="3"/>
      <c r="H309" s="3"/>
      <c r="I309" s="3"/>
      <c r="J309" s="3"/>
    </row>
    <row r="310" spans="1:10" x14ac:dyDescent="0.2">
      <c r="A310" s="42" t="s">
        <v>1622</v>
      </c>
      <c r="B310" s="2">
        <v>1</v>
      </c>
      <c r="C310" s="2">
        <v>11800</v>
      </c>
      <c r="D310" s="2">
        <f>C310*B310</f>
        <v>11800</v>
      </c>
      <c r="F310" s="3"/>
      <c r="G310" s="3"/>
      <c r="H310" s="3"/>
      <c r="I310" s="3"/>
      <c r="J310" s="3"/>
    </row>
    <row r="311" spans="1:10" ht="13.5" x14ac:dyDescent="0.25">
      <c r="A311" s="44" t="s">
        <v>1145</v>
      </c>
      <c r="D311" s="2">
        <f t="shared" si="12"/>
        <v>0</v>
      </c>
      <c r="F311" s="3"/>
      <c r="G311" s="3"/>
      <c r="H311" s="3"/>
      <c r="I311" s="3"/>
      <c r="J311" s="3"/>
    </row>
    <row r="312" spans="1:10" x14ac:dyDescent="0.2">
      <c r="A312" s="2" t="s">
        <v>1362</v>
      </c>
      <c r="B312" s="2">
        <v>28</v>
      </c>
      <c r="C312" s="2">
        <v>375</v>
      </c>
      <c r="D312" s="2">
        <f t="shared" si="12"/>
        <v>10500</v>
      </c>
      <c r="F312" s="3"/>
      <c r="G312" s="3"/>
      <c r="H312" s="3"/>
      <c r="I312" s="3"/>
      <c r="J312" s="3"/>
    </row>
    <row r="313" spans="1:10" x14ac:dyDescent="0.2">
      <c r="A313" s="2" t="s">
        <v>1930</v>
      </c>
      <c r="B313" s="2">
        <v>9</v>
      </c>
      <c r="C313" s="2">
        <v>500</v>
      </c>
      <c r="D313" s="2">
        <f t="shared" si="12"/>
        <v>4500</v>
      </c>
      <c r="F313" s="3"/>
      <c r="G313" s="3"/>
      <c r="H313" s="3"/>
      <c r="I313" s="3"/>
      <c r="J313" s="3"/>
    </row>
    <row r="314" spans="1:10" ht="13.5" x14ac:dyDescent="0.25">
      <c r="A314" s="44" t="s">
        <v>1931</v>
      </c>
      <c r="D314" s="2">
        <f t="shared" si="12"/>
        <v>0</v>
      </c>
      <c r="F314" s="3"/>
      <c r="G314" s="3"/>
      <c r="H314" s="3"/>
      <c r="I314" s="3"/>
      <c r="J314" s="3"/>
    </row>
    <row r="315" spans="1:10" x14ac:dyDescent="0.2">
      <c r="A315" s="2" t="s">
        <v>1932</v>
      </c>
      <c r="F315" s="3"/>
      <c r="G315" s="3"/>
      <c r="H315" s="3"/>
      <c r="I315" s="3"/>
      <c r="J315" s="3"/>
    </row>
    <row r="316" spans="1:10" ht="15" x14ac:dyDescent="0.35">
      <c r="A316" s="2" t="s">
        <v>1933</v>
      </c>
      <c r="B316" s="2">
        <v>1</v>
      </c>
      <c r="C316" s="2">
        <v>2500</v>
      </c>
      <c r="D316" s="10">
        <v>2500</v>
      </c>
      <c r="F316" s="3"/>
      <c r="G316" s="3"/>
      <c r="H316" s="3"/>
      <c r="I316" s="3"/>
      <c r="J316" s="3"/>
    </row>
    <row r="317" spans="1:10" x14ac:dyDescent="0.2">
      <c r="A317" s="23" t="s">
        <v>1073</v>
      </c>
      <c r="D317" s="2">
        <f>SUM(D302:D316)</f>
        <v>70177</v>
      </c>
      <c r="F317" s="3"/>
      <c r="G317" s="3"/>
      <c r="H317" s="3"/>
      <c r="I317" s="3"/>
      <c r="J317" s="3"/>
    </row>
    <row r="318" spans="1:10" x14ac:dyDescent="0.2">
      <c r="F318" s="3"/>
      <c r="G318" s="3"/>
      <c r="H318" s="3"/>
      <c r="I318" s="3"/>
      <c r="J318" s="3"/>
    </row>
    <row r="319" spans="1:10" ht="13.5" x14ac:dyDescent="0.25">
      <c r="A319" s="43" t="s">
        <v>1222</v>
      </c>
      <c r="E319" s="2">
        <v>1500</v>
      </c>
      <c r="F319" s="3">
        <v>6750</v>
      </c>
      <c r="G319" s="3">
        <v>6750</v>
      </c>
      <c r="H319" s="3">
        <v>6750</v>
      </c>
      <c r="I319" s="3">
        <v>6750</v>
      </c>
      <c r="J319" s="3">
        <v>6750</v>
      </c>
    </row>
    <row r="320" spans="1:10" x14ac:dyDescent="0.2">
      <c r="A320" s="2" t="s">
        <v>1934</v>
      </c>
      <c r="B320" s="2">
        <v>1</v>
      </c>
      <c r="C320" s="2">
        <v>2000</v>
      </c>
      <c r="D320" s="2">
        <f>C320*B320</f>
        <v>2000</v>
      </c>
      <c r="F320" s="3"/>
      <c r="G320" s="3"/>
      <c r="H320" s="3"/>
      <c r="I320" s="3"/>
      <c r="J320" s="3"/>
    </row>
    <row r="321" spans="1:10" x14ac:dyDescent="0.2">
      <c r="A321" s="2" t="s">
        <v>1620</v>
      </c>
      <c r="B321" s="2">
        <v>2</v>
      </c>
      <c r="C321" s="2">
        <v>750</v>
      </c>
      <c r="D321" s="2">
        <f>C321*B321</f>
        <v>1500</v>
      </c>
      <c r="F321" s="3"/>
      <c r="G321" s="3"/>
      <c r="H321" s="3"/>
      <c r="I321" s="3"/>
      <c r="J321" s="3"/>
    </row>
    <row r="322" spans="1:10" x14ac:dyDescent="0.2">
      <c r="A322" s="2" t="s">
        <v>1935</v>
      </c>
      <c r="B322" s="2">
        <v>50</v>
      </c>
      <c r="C322" s="2">
        <v>35</v>
      </c>
      <c r="D322" s="2">
        <f>C322*B322</f>
        <v>1750</v>
      </c>
      <c r="F322" s="3"/>
      <c r="G322" s="3"/>
      <c r="H322" s="3"/>
      <c r="I322" s="3"/>
      <c r="J322" s="3"/>
    </row>
    <row r="323" spans="1:10" ht="15" x14ac:dyDescent="0.35">
      <c r="A323" s="2" t="s">
        <v>1597</v>
      </c>
      <c r="D323" s="28">
        <v>1500</v>
      </c>
      <c r="F323" s="3"/>
      <c r="G323" s="3"/>
      <c r="H323" s="3"/>
      <c r="I323" s="3"/>
      <c r="J323" s="3"/>
    </row>
    <row r="324" spans="1:10" x14ac:dyDescent="0.2">
      <c r="A324" s="23" t="s">
        <v>1073</v>
      </c>
      <c r="D324" s="2">
        <f>SUM(D320:D323)</f>
        <v>6750</v>
      </c>
      <c r="F324" s="3"/>
      <c r="G324" s="3"/>
      <c r="H324" s="3"/>
      <c r="I324" s="3"/>
      <c r="J324" s="3"/>
    </row>
    <row r="325" spans="1:10" x14ac:dyDescent="0.2">
      <c r="A325" s="23"/>
      <c r="F325" s="3"/>
      <c r="G325" s="3"/>
      <c r="H325" s="3"/>
      <c r="I325" s="3"/>
      <c r="J325" s="3"/>
    </row>
    <row r="326" spans="1:10" ht="13.5" x14ac:dyDescent="0.25">
      <c r="A326" s="43" t="s">
        <v>557</v>
      </c>
      <c r="B326" s="7"/>
      <c r="C326" s="7"/>
      <c r="D326" s="7"/>
      <c r="E326" s="2">
        <v>5710</v>
      </c>
      <c r="F326" s="3">
        <v>7330</v>
      </c>
      <c r="G326" s="3">
        <v>7330</v>
      </c>
      <c r="H326" s="3">
        <v>7330</v>
      </c>
      <c r="I326" s="3">
        <v>7330</v>
      </c>
      <c r="J326" s="3">
        <v>7330</v>
      </c>
    </row>
    <row r="327" spans="1:10" x14ac:dyDescent="0.2">
      <c r="A327" s="2" t="s">
        <v>1199</v>
      </c>
      <c r="B327" s="2">
        <v>1</v>
      </c>
      <c r="C327" s="2">
        <v>430</v>
      </c>
      <c r="D327" s="2">
        <f>C327*B327</f>
        <v>430</v>
      </c>
      <c r="F327" s="3"/>
      <c r="G327" s="3"/>
      <c r="H327" s="3"/>
      <c r="I327" s="3"/>
      <c r="J327" s="3"/>
    </row>
    <row r="328" spans="1:10" x14ac:dyDescent="0.2">
      <c r="A328" s="2" t="s">
        <v>1821</v>
      </c>
      <c r="B328" s="2">
        <v>2</v>
      </c>
      <c r="C328" s="2">
        <v>200</v>
      </c>
      <c r="D328" s="2">
        <f>C328*B328</f>
        <v>400</v>
      </c>
      <c r="F328" s="3"/>
      <c r="G328" s="3"/>
      <c r="H328" s="3"/>
      <c r="I328" s="3"/>
      <c r="J328" s="3"/>
    </row>
    <row r="329" spans="1:10" x14ac:dyDescent="0.2">
      <c r="A329" s="177" t="s">
        <v>1731</v>
      </c>
      <c r="B329" s="177">
        <v>1</v>
      </c>
      <c r="C329" s="177">
        <v>2000</v>
      </c>
      <c r="D329" s="2">
        <f>C329*B329</f>
        <v>2000</v>
      </c>
      <c r="F329" s="3"/>
      <c r="G329" s="3"/>
      <c r="H329" s="3"/>
      <c r="I329" s="3"/>
      <c r="J329" s="3"/>
    </row>
    <row r="330" spans="1:10" x14ac:dyDescent="0.2">
      <c r="A330" s="2" t="s">
        <v>1822</v>
      </c>
      <c r="B330" s="1">
        <v>5</v>
      </c>
      <c r="C330" s="7">
        <v>300</v>
      </c>
      <c r="D330" s="2">
        <f>C330*B330</f>
        <v>1500</v>
      </c>
      <c r="F330" s="3"/>
      <c r="G330" s="3"/>
      <c r="H330" s="3"/>
      <c r="I330" s="3"/>
      <c r="J330" s="3"/>
    </row>
    <row r="331" spans="1:10" ht="15" x14ac:dyDescent="0.35">
      <c r="A331" s="2" t="s">
        <v>542</v>
      </c>
      <c r="B331" s="2">
        <v>1</v>
      </c>
      <c r="C331" s="2">
        <v>3000</v>
      </c>
      <c r="D331" s="10">
        <f>C331*B331</f>
        <v>3000</v>
      </c>
      <c r="F331" s="3"/>
      <c r="G331" s="3"/>
      <c r="H331" s="3"/>
      <c r="I331" s="3"/>
      <c r="J331" s="3"/>
    </row>
    <row r="332" spans="1:10" x14ac:dyDescent="0.2">
      <c r="A332" s="23" t="s">
        <v>1073</v>
      </c>
      <c r="D332" s="2">
        <f>SUM(D327:D331)</f>
        <v>7330</v>
      </c>
      <c r="F332" s="3"/>
      <c r="G332" s="3"/>
      <c r="H332" s="3"/>
      <c r="I332" s="3"/>
      <c r="J332" s="3"/>
    </row>
    <row r="333" spans="1:10" x14ac:dyDescent="0.2">
      <c r="F333" s="3"/>
      <c r="G333" s="3"/>
      <c r="H333" s="3"/>
      <c r="I333" s="3"/>
      <c r="J333" s="3"/>
    </row>
    <row r="334" spans="1:10" ht="13.5" x14ac:dyDescent="0.25">
      <c r="A334" s="43" t="s">
        <v>802</v>
      </c>
      <c r="E334" s="2">
        <v>0</v>
      </c>
      <c r="F334" s="3">
        <v>0</v>
      </c>
      <c r="G334" s="3"/>
      <c r="H334" s="3">
        <v>0</v>
      </c>
      <c r="I334" s="3">
        <v>0</v>
      </c>
      <c r="J334" s="3">
        <v>0</v>
      </c>
    </row>
    <row r="335" spans="1:10" x14ac:dyDescent="0.2">
      <c r="A335" s="2" t="s">
        <v>1936</v>
      </c>
      <c r="B335" s="2">
        <v>0</v>
      </c>
      <c r="C335" s="2">
        <v>3800</v>
      </c>
      <c r="D335" s="2">
        <f>C335*B335</f>
        <v>0</v>
      </c>
      <c r="F335" s="3"/>
      <c r="G335" s="3"/>
      <c r="H335" s="3"/>
      <c r="I335" s="3"/>
      <c r="J335" s="3"/>
    </row>
    <row r="336" spans="1:10" x14ac:dyDescent="0.2">
      <c r="F336" s="3"/>
      <c r="G336" s="3"/>
      <c r="H336" s="3"/>
      <c r="I336" s="3"/>
      <c r="J336" s="3"/>
    </row>
    <row r="337" spans="1:10" ht="13.5" x14ac:dyDescent="0.25">
      <c r="A337" s="43" t="s">
        <v>464</v>
      </c>
      <c r="E337" s="2">
        <v>0</v>
      </c>
      <c r="F337" s="3">
        <v>700</v>
      </c>
      <c r="G337" s="3">
        <v>700</v>
      </c>
      <c r="H337" s="3">
        <v>700</v>
      </c>
      <c r="I337" s="3">
        <v>700</v>
      </c>
      <c r="J337" s="3">
        <v>700</v>
      </c>
    </row>
    <row r="338" spans="1:10" x14ac:dyDescent="0.2">
      <c r="A338" s="2" t="s">
        <v>1937</v>
      </c>
      <c r="B338" s="2">
        <v>1</v>
      </c>
      <c r="C338" s="2">
        <v>700</v>
      </c>
      <c r="D338" s="2">
        <f>C338*B338</f>
        <v>700</v>
      </c>
      <c r="F338" s="3"/>
      <c r="G338" s="3"/>
      <c r="H338" s="3"/>
      <c r="I338" s="3"/>
      <c r="J338" s="3"/>
    </row>
    <row r="339" spans="1:10" x14ac:dyDescent="0.2">
      <c r="F339" s="3"/>
      <c r="G339" s="3"/>
      <c r="H339" s="3"/>
      <c r="I339" s="3"/>
      <c r="J339" s="3"/>
    </row>
    <row r="340" spans="1:10" ht="13.5" x14ac:dyDescent="0.25">
      <c r="A340" s="43" t="s">
        <v>465</v>
      </c>
      <c r="B340" s="7"/>
      <c r="C340" s="7"/>
      <c r="D340" s="7"/>
      <c r="E340" s="2">
        <v>8315</v>
      </c>
      <c r="F340" s="3">
        <v>21665</v>
      </c>
      <c r="G340" s="3">
        <v>21665</v>
      </c>
      <c r="H340" s="3">
        <v>21665</v>
      </c>
      <c r="I340" s="3">
        <v>21665</v>
      </c>
      <c r="J340" s="3">
        <v>21665</v>
      </c>
    </row>
    <row r="341" spans="1:10" x14ac:dyDescent="0.2">
      <c r="A341" s="2" t="s">
        <v>2109</v>
      </c>
      <c r="B341" s="2">
        <v>1</v>
      </c>
      <c r="C341" s="2">
        <v>16500</v>
      </c>
      <c r="D341" s="2">
        <f>+C341*B341</f>
        <v>16500</v>
      </c>
      <c r="F341" s="3"/>
      <c r="G341" s="3"/>
      <c r="H341" s="3"/>
      <c r="I341" s="3"/>
      <c r="J341" s="3"/>
    </row>
    <row r="342" spans="1:10" x14ac:dyDescent="0.2">
      <c r="A342" s="2" t="s">
        <v>1938</v>
      </c>
      <c r="B342" s="2">
        <v>4</v>
      </c>
      <c r="C342" s="2">
        <v>650</v>
      </c>
      <c r="D342" s="2">
        <f>PRODUCT(B342,C342)</f>
        <v>2600</v>
      </c>
      <c r="F342" s="3"/>
      <c r="G342" s="3"/>
      <c r="H342" s="3"/>
      <c r="I342" s="3"/>
      <c r="J342" s="3"/>
    </row>
    <row r="343" spans="1:10" ht="15" x14ac:dyDescent="0.35">
      <c r="A343" s="2" t="s">
        <v>1939</v>
      </c>
      <c r="B343" s="2">
        <v>19</v>
      </c>
      <c r="C343" s="2">
        <v>135</v>
      </c>
      <c r="D343" s="10">
        <f>PRODUCT(B343,C343)</f>
        <v>2565</v>
      </c>
      <c r="F343" s="3"/>
      <c r="G343" s="3"/>
      <c r="H343" s="3"/>
      <c r="I343" s="3"/>
      <c r="J343" s="3"/>
    </row>
    <row r="344" spans="1:10" x14ac:dyDescent="0.2">
      <c r="A344" s="23" t="s">
        <v>1073</v>
      </c>
      <c r="D344" s="2">
        <f>SUM(D341:D343)</f>
        <v>21665</v>
      </c>
      <c r="F344" s="3"/>
      <c r="G344" s="3"/>
      <c r="H344" s="3"/>
      <c r="I344" s="3"/>
      <c r="J344" s="3"/>
    </row>
    <row r="345" spans="1:10" x14ac:dyDescent="0.2">
      <c r="F345" s="3"/>
      <c r="G345" s="3"/>
      <c r="H345" s="3"/>
      <c r="I345" s="3"/>
      <c r="J345" s="3"/>
    </row>
    <row r="346" spans="1:10" ht="13.5" x14ac:dyDescent="0.25">
      <c r="A346" s="43" t="s">
        <v>466</v>
      </c>
      <c r="B346" s="7"/>
      <c r="C346" s="7"/>
      <c r="D346" s="7"/>
      <c r="E346" s="2">
        <v>29502</v>
      </c>
      <c r="F346" s="3">
        <v>1400</v>
      </c>
      <c r="G346" s="3">
        <v>1400</v>
      </c>
      <c r="H346" s="3">
        <v>1400</v>
      </c>
      <c r="I346" s="3">
        <v>1400</v>
      </c>
      <c r="J346" s="3">
        <v>1400</v>
      </c>
    </row>
    <row r="347" spans="1:10" ht="13.5" x14ac:dyDescent="0.25">
      <c r="A347" s="43" t="s">
        <v>677</v>
      </c>
      <c r="B347" s="7"/>
      <c r="C347" s="7"/>
      <c r="D347" s="7"/>
      <c r="F347" s="3"/>
      <c r="G347" s="3"/>
      <c r="H347" s="3"/>
      <c r="I347" s="3"/>
      <c r="J347" s="3"/>
    </row>
    <row r="348" spans="1:10" ht="15" x14ac:dyDescent="0.35">
      <c r="A348" s="2" t="s">
        <v>1940</v>
      </c>
      <c r="B348" s="2">
        <v>1</v>
      </c>
      <c r="C348" s="7">
        <v>1400</v>
      </c>
      <c r="D348" s="8">
        <f>C348*B348</f>
        <v>1400</v>
      </c>
      <c r="F348" s="3"/>
      <c r="G348" s="3"/>
      <c r="H348" s="3"/>
      <c r="I348" s="3"/>
      <c r="J348" s="3"/>
    </row>
    <row r="349" spans="1:10" ht="15" x14ac:dyDescent="0.35">
      <c r="C349" s="7"/>
      <c r="D349" s="8"/>
      <c r="F349" s="3"/>
      <c r="G349" s="3"/>
      <c r="H349" s="3"/>
      <c r="I349" s="3"/>
      <c r="J349" s="3"/>
    </row>
    <row r="350" spans="1:10" ht="13.5" x14ac:dyDescent="0.25">
      <c r="A350" s="43" t="s">
        <v>1979</v>
      </c>
      <c r="B350" s="7"/>
      <c r="C350" s="7"/>
      <c r="D350" s="7"/>
      <c r="E350" s="2">
        <v>155000</v>
      </c>
      <c r="F350" s="3">
        <v>0</v>
      </c>
      <c r="G350" s="3">
        <v>0</v>
      </c>
      <c r="H350" s="3">
        <v>0</v>
      </c>
      <c r="I350" s="3">
        <v>0</v>
      </c>
      <c r="J350" s="3">
        <v>0</v>
      </c>
    </row>
    <row r="351" spans="1:10" ht="15" x14ac:dyDescent="0.35">
      <c r="C351" s="7"/>
      <c r="D351" s="8"/>
      <c r="F351" s="3"/>
      <c r="G351" s="3"/>
      <c r="H351" s="3"/>
      <c r="I351" s="3"/>
      <c r="J351" s="3"/>
    </row>
    <row r="352" spans="1:10" x14ac:dyDescent="0.2">
      <c r="A352" s="23" t="s">
        <v>1073</v>
      </c>
      <c r="C352" s="7"/>
      <c r="D352" s="7"/>
      <c r="F352" s="3"/>
      <c r="G352" s="3"/>
      <c r="H352" s="3"/>
      <c r="I352" s="3"/>
      <c r="J352" s="3"/>
    </row>
    <row r="353" spans="1:10" x14ac:dyDescent="0.2">
      <c r="A353" s="35"/>
      <c r="B353" s="38"/>
      <c r="C353" s="3"/>
      <c r="D353" s="3"/>
      <c r="F353" s="3"/>
      <c r="G353" s="3"/>
      <c r="H353" s="3"/>
      <c r="I353" s="3"/>
      <c r="J353" s="3"/>
    </row>
    <row r="354" spans="1:10" ht="13.5" x14ac:dyDescent="0.25">
      <c r="A354" s="43" t="s">
        <v>872</v>
      </c>
      <c r="B354" s="7"/>
      <c r="C354" s="7"/>
      <c r="D354" s="7"/>
      <c r="E354" s="2">
        <v>6658</v>
      </c>
      <c r="F354" s="3">
        <v>6500</v>
      </c>
      <c r="G354" s="3">
        <v>6500</v>
      </c>
      <c r="H354" s="3">
        <v>6500</v>
      </c>
      <c r="I354" s="3">
        <v>6500</v>
      </c>
      <c r="J354" s="3">
        <v>6500</v>
      </c>
    </row>
    <row r="355" spans="1:10" x14ac:dyDescent="0.2">
      <c r="A355" s="2" t="s">
        <v>1941</v>
      </c>
      <c r="B355" s="2">
        <v>2</v>
      </c>
      <c r="C355" s="2">
        <v>1250</v>
      </c>
      <c r="D355" s="2">
        <f>C355*B355</f>
        <v>2500</v>
      </c>
      <c r="F355" s="3"/>
      <c r="G355" s="3"/>
      <c r="H355" s="3"/>
      <c r="I355" s="3"/>
      <c r="J355" s="3"/>
    </row>
    <row r="356" spans="1:10" ht="15" x14ac:dyDescent="0.35">
      <c r="A356" s="2" t="s">
        <v>1942</v>
      </c>
      <c r="B356" s="2">
        <v>1</v>
      </c>
      <c r="C356" s="2">
        <v>4000</v>
      </c>
      <c r="D356" s="10">
        <v>4000</v>
      </c>
      <c r="F356" s="3"/>
      <c r="G356" s="3"/>
      <c r="H356" s="3"/>
      <c r="I356" s="3"/>
      <c r="J356" s="3"/>
    </row>
    <row r="357" spans="1:10" x14ac:dyDescent="0.2">
      <c r="A357" s="23" t="s">
        <v>1073</v>
      </c>
      <c r="D357" s="2">
        <f>SUM(D355:D356)</f>
        <v>6500</v>
      </c>
      <c r="F357" s="3"/>
      <c r="G357" s="3"/>
      <c r="H357" s="3"/>
      <c r="I357" s="3"/>
      <c r="J357" s="3"/>
    </row>
    <row r="358" spans="1:10" x14ac:dyDescent="0.2">
      <c r="A358" s="41"/>
      <c r="F358" s="3"/>
      <c r="G358" s="3"/>
      <c r="H358" s="3"/>
      <c r="I358" s="3"/>
      <c r="J358" s="3"/>
    </row>
    <row r="359" spans="1:10" ht="13.5" x14ac:dyDescent="0.25">
      <c r="A359" s="43" t="s">
        <v>873</v>
      </c>
      <c r="B359" s="7"/>
      <c r="C359" s="7"/>
      <c r="D359" s="7"/>
      <c r="E359" s="2">
        <v>3982</v>
      </c>
      <c r="F359" s="3">
        <v>17800</v>
      </c>
      <c r="G359" s="3">
        <v>62800</v>
      </c>
      <c r="H359" s="3">
        <v>54000</v>
      </c>
      <c r="I359" s="3">
        <v>54000</v>
      </c>
      <c r="J359" s="3">
        <v>54000</v>
      </c>
    </row>
    <row r="360" spans="1:10" x14ac:dyDescent="0.2">
      <c r="A360" s="2" t="s">
        <v>1943</v>
      </c>
      <c r="B360" s="2">
        <v>1</v>
      </c>
      <c r="C360" s="2">
        <v>18000</v>
      </c>
      <c r="D360" s="2">
        <v>18000</v>
      </c>
      <c r="F360" s="3"/>
      <c r="G360" s="3"/>
      <c r="H360" s="3"/>
      <c r="I360" s="3"/>
      <c r="J360" s="3"/>
    </row>
    <row r="361" spans="1:10" ht="15" x14ac:dyDescent="0.35">
      <c r="A361" s="2" t="s">
        <v>2110</v>
      </c>
      <c r="B361" s="2">
        <v>4</v>
      </c>
      <c r="C361" s="2">
        <v>9000</v>
      </c>
      <c r="D361" s="10">
        <f>C361*B361</f>
        <v>36000</v>
      </c>
      <c r="F361" s="3"/>
      <c r="G361" s="3"/>
      <c r="H361" s="3"/>
      <c r="I361" s="3"/>
      <c r="J361" s="3"/>
    </row>
    <row r="362" spans="1:10" x14ac:dyDescent="0.2">
      <c r="D362" s="2">
        <f>SUM(D360:D361)</f>
        <v>54000</v>
      </c>
      <c r="F362" s="3"/>
      <c r="G362" s="3"/>
      <c r="H362" s="3"/>
      <c r="I362" s="3"/>
      <c r="J362" s="3"/>
    </row>
    <row r="363" spans="1:10" x14ac:dyDescent="0.2">
      <c r="F363" s="3"/>
      <c r="G363" s="3"/>
      <c r="H363" s="3"/>
      <c r="I363" s="3"/>
      <c r="J363" s="3"/>
    </row>
    <row r="364" spans="1:10" ht="13.5" x14ac:dyDescent="0.25">
      <c r="A364" s="43" t="s">
        <v>1012</v>
      </c>
      <c r="B364" s="18"/>
      <c r="C364" s="18"/>
      <c r="D364" s="18"/>
      <c r="E364" s="2">
        <v>5937</v>
      </c>
      <c r="F364" s="3">
        <v>9038</v>
      </c>
      <c r="G364" s="3">
        <v>9038</v>
      </c>
      <c r="H364" s="3">
        <v>9038</v>
      </c>
      <c r="I364" s="3">
        <v>9038</v>
      </c>
      <c r="J364" s="3">
        <v>9038</v>
      </c>
    </row>
    <row r="365" spans="1:10" x14ac:dyDescent="0.2">
      <c r="A365" s="177" t="s">
        <v>1944</v>
      </c>
      <c r="B365" s="177">
        <v>0</v>
      </c>
      <c r="C365" s="178">
        <v>4100</v>
      </c>
      <c r="D365" s="178">
        <f>C365*B365</f>
        <v>0</v>
      </c>
      <c r="F365" s="3"/>
      <c r="G365" s="3"/>
      <c r="H365" s="3"/>
      <c r="I365" s="3"/>
      <c r="J365" s="3"/>
    </row>
    <row r="366" spans="1:10" x14ac:dyDescent="0.2">
      <c r="A366" s="177" t="s">
        <v>1823</v>
      </c>
      <c r="B366" s="177">
        <v>4</v>
      </c>
      <c r="C366" s="178">
        <v>1072</v>
      </c>
      <c r="D366" s="178">
        <f>C366*B366</f>
        <v>4288</v>
      </c>
      <c r="F366" s="3"/>
      <c r="G366" s="3"/>
      <c r="H366" s="3"/>
      <c r="I366" s="3"/>
      <c r="J366" s="3"/>
    </row>
    <row r="367" spans="1:10" ht="15" x14ac:dyDescent="0.35">
      <c r="A367" s="2" t="s">
        <v>1945</v>
      </c>
      <c r="B367" s="2">
        <v>1</v>
      </c>
      <c r="C367" s="7">
        <v>4750</v>
      </c>
      <c r="D367" s="8">
        <f>C367*B367</f>
        <v>4750</v>
      </c>
      <c r="F367" s="3"/>
      <c r="G367" s="3"/>
      <c r="H367" s="3"/>
      <c r="I367" s="3"/>
      <c r="J367" s="3"/>
    </row>
    <row r="368" spans="1:10" x14ac:dyDescent="0.2">
      <c r="A368" s="23" t="s">
        <v>1073</v>
      </c>
      <c r="D368" s="2">
        <f>SUM(D365:D367)</f>
        <v>9038</v>
      </c>
      <c r="F368" s="3"/>
      <c r="G368" s="3"/>
      <c r="H368" s="3"/>
      <c r="I368" s="3"/>
      <c r="J368" s="3"/>
    </row>
    <row r="369" spans="1:10" x14ac:dyDescent="0.2">
      <c r="A369" s="23"/>
      <c r="F369" s="3"/>
      <c r="G369" s="3"/>
      <c r="H369" s="3"/>
      <c r="I369" s="3"/>
      <c r="J369" s="3"/>
    </row>
    <row r="370" spans="1:10" ht="13.5" x14ac:dyDescent="0.25">
      <c r="A370" s="43" t="s">
        <v>3</v>
      </c>
      <c r="B370" s="18"/>
      <c r="C370" s="18"/>
      <c r="D370" s="18"/>
      <c r="F370" s="3"/>
      <c r="G370" s="3"/>
      <c r="H370" s="3"/>
      <c r="I370" s="3"/>
      <c r="J370" s="3"/>
    </row>
    <row r="371" spans="1:10" x14ac:dyDescent="0.2">
      <c r="A371" s="2" t="s">
        <v>484</v>
      </c>
      <c r="D371" s="2">
        <v>400000</v>
      </c>
      <c r="F371" s="3"/>
      <c r="G371" s="3"/>
      <c r="H371" s="3"/>
      <c r="I371" s="3"/>
      <c r="J371" s="2">
        <v>400000</v>
      </c>
    </row>
    <row r="372" spans="1:10" ht="15" x14ac:dyDescent="0.35">
      <c r="A372" s="2" t="s">
        <v>27</v>
      </c>
      <c r="C372" s="10"/>
      <c r="D372" s="10">
        <v>115000</v>
      </c>
      <c r="F372" s="3"/>
      <c r="G372" s="3"/>
      <c r="H372" s="3"/>
      <c r="I372" s="3"/>
      <c r="J372" s="10">
        <v>115000</v>
      </c>
    </row>
    <row r="373" spans="1:10" x14ac:dyDescent="0.2">
      <c r="A373" s="2" t="s">
        <v>1073</v>
      </c>
      <c r="D373" s="2">
        <f>SUM(D371:D372)</f>
        <v>515000</v>
      </c>
      <c r="F373" s="3"/>
      <c r="G373" s="3"/>
      <c r="H373" s="3"/>
      <c r="I373" s="3"/>
      <c r="J373" s="2">
        <f>SUM(J371:J372)</f>
        <v>515000</v>
      </c>
    </row>
    <row r="374" spans="1:10" x14ac:dyDescent="0.2">
      <c r="F374" s="3"/>
      <c r="G374" s="3"/>
      <c r="H374" s="3"/>
      <c r="I374" s="3"/>
      <c r="J374" s="3"/>
    </row>
    <row r="375" spans="1:10" x14ac:dyDescent="0.2">
      <c r="G375" s="3"/>
      <c r="H375" s="3"/>
      <c r="I375" s="3"/>
      <c r="J375" s="3"/>
    </row>
    <row r="376" spans="1:10" x14ac:dyDescent="0.2">
      <c r="A376" s="1" t="s">
        <v>1151</v>
      </c>
      <c r="E376" s="2">
        <f>SUM(E1:E374)</f>
        <v>6761864</v>
      </c>
      <c r="F376" s="2">
        <f>SUM(F1:F374)</f>
        <v>7140828</v>
      </c>
      <c r="G376" s="3">
        <f>SUM(G1:G374)</f>
        <v>7788472</v>
      </c>
      <c r="H376" s="3">
        <f>SUM(H1:H374)</f>
        <v>7779672</v>
      </c>
      <c r="I376" s="3">
        <f>SUM(I1:I374)</f>
        <v>7761553</v>
      </c>
      <c r="J376" s="3">
        <f>SUM(J1:J372)</f>
        <v>8276553</v>
      </c>
    </row>
    <row r="377" spans="1:10" x14ac:dyDescent="0.2">
      <c r="G377" s="3"/>
      <c r="H377" s="3"/>
      <c r="I377" s="3"/>
      <c r="J377" s="3"/>
    </row>
    <row r="378" spans="1:10" x14ac:dyDescent="0.2">
      <c r="A378" s="2" t="s">
        <v>1671</v>
      </c>
      <c r="E378" s="2">
        <f t="shared" ref="E378:J378" si="13">SUM(E6:E167)</f>
        <v>6067067</v>
      </c>
      <c r="F378" s="2">
        <f t="shared" si="13"/>
        <v>6550462</v>
      </c>
      <c r="G378" s="3">
        <f t="shared" si="13"/>
        <v>7109109</v>
      </c>
      <c r="H378" s="3">
        <f t="shared" si="13"/>
        <v>7109109</v>
      </c>
      <c r="I378" s="3">
        <f t="shared" si="13"/>
        <v>7090990</v>
      </c>
      <c r="J378" s="3">
        <f t="shared" si="13"/>
        <v>7090990</v>
      </c>
    </row>
    <row r="379" spans="1:10" x14ac:dyDescent="0.2">
      <c r="A379" s="2" t="s">
        <v>1317</v>
      </c>
      <c r="E379" s="2">
        <f t="shared" ref="E379:J379" si="14">SUM(E168:E341)</f>
        <v>493718</v>
      </c>
      <c r="F379" s="2">
        <f t="shared" si="14"/>
        <v>555628</v>
      </c>
      <c r="G379" s="3">
        <f t="shared" si="14"/>
        <v>599625</v>
      </c>
      <c r="H379" s="3">
        <f t="shared" si="14"/>
        <v>599625</v>
      </c>
      <c r="I379" s="3">
        <f t="shared" si="14"/>
        <v>599625</v>
      </c>
      <c r="J379" s="3">
        <f t="shared" si="14"/>
        <v>599625</v>
      </c>
    </row>
    <row r="380" spans="1:10" ht="15" x14ac:dyDescent="0.35">
      <c r="A380" s="2" t="s">
        <v>1318</v>
      </c>
      <c r="E380" s="10">
        <f>SUM(E346:E374)</f>
        <v>201079</v>
      </c>
      <c r="F380" s="10">
        <f>SUM(F346:F374)</f>
        <v>34738</v>
      </c>
      <c r="G380" s="28">
        <f>SUM(G346:G374)</f>
        <v>79738</v>
      </c>
      <c r="H380" s="28">
        <f>SUM(H346:H374)</f>
        <v>70938</v>
      </c>
      <c r="I380" s="28">
        <f>SUM(I346:I374)</f>
        <v>70938</v>
      </c>
      <c r="J380" s="28">
        <f>SUM(J346:J372)</f>
        <v>585938</v>
      </c>
    </row>
    <row r="381" spans="1:10" x14ac:dyDescent="0.2">
      <c r="A381" s="2" t="s">
        <v>1073</v>
      </c>
      <c r="E381" s="2">
        <f t="shared" ref="E381:G381" si="15">SUM(E378:E380)</f>
        <v>6761864</v>
      </c>
      <c r="F381" s="2">
        <f t="shared" si="15"/>
        <v>7140828</v>
      </c>
      <c r="G381" s="3">
        <f t="shared" si="15"/>
        <v>7788472</v>
      </c>
      <c r="H381" s="3">
        <f t="shared" ref="H381:J381" si="16">SUM(H378:H380)</f>
        <v>7779672</v>
      </c>
      <c r="I381" s="3">
        <f t="shared" ref="I381" si="17">SUM(I378:I380)</f>
        <v>7761553</v>
      </c>
      <c r="J381" s="3">
        <f t="shared" si="16"/>
        <v>8276553</v>
      </c>
    </row>
    <row r="382" spans="1:10" x14ac:dyDescent="0.2">
      <c r="G382" s="183"/>
      <c r="J382" s="183"/>
    </row>
    <row r="383" spans="1:10" x14ac:dyDescent="0.2">
      <c r="G383" s="183"/>
      <c r="J383" s="183"/>
    </row>
    <row r="384" spans="1:10" x14ac:dyDescent="0.2">
      <c r="G384" s="183"/>
      <c r="J384" s="183"/>
    </row>
    <row r="385" spans="7:10" x14ac:dyDescent="0.2">
      <c r="G385" s="183"/>
      <c r="J385" s="2">
        <f>+J381-I381</f>
        <v>515000</v>
      </c>
    </row>
    <row r="386" spans="7:10" x14ac:dyDescent="0.2">
      <c r="G386" s="183"/>
      <c r="J386" s="183"/>
    </row>
    <row r="387" spans="7:10" x14ac:dyDescent="0.2">
      <c r="G387" s="183"/>
      <c r="J387" s="183"/>
    </row>
    <row r="388" spans="7:10" x14ac:dyDescent="0.2">
      <c r="G388" s="183"/>
      <c r="J388" s="2">
        <v>6659007</v>
      </c>
    </row>
    <row r="389" spans="7:10" x14ac:dyDescent="0.2">
      <c r="G389" s="183"/>
      <c r="J389" s="2">
        <f>+J388-J381</f>
        <v>-1617546</v>
      </c>
    </row>
    <row r="390" spans="7:10" x14ac:dyDescent="0.2">
      <c r="G390" s="183"/>
    </row>
    <row r="391" spans="7:10" x14ac:dyDescent="0.2">
      <c r="G391" s="183"/>
    </row>
    <row r="392" spans="7:10" x14ac:dyDescent="0.2">
      <c r="G392" s="183"/>
    </row>
    <row r="393" spans="7:10" x14ac:dyDescent="0.2">
      <c r="G393" s="183"/>
    </row>
    <row r="394" spans="7:10" x14ac:dyDescent="0.2">
      <c r="G394" s="183"/>
    </row>
    <row r="395" spans="7:10" x14ac:dyDescent="0.2">
      <c r="G395" s="183"/>
    </row>
    <row r="396" spans="7:10" x14ac:dyDescent="0.2">
      <c r="G396" s="183"/>
    </row>
    <row r="397" spans="7:10" x14ac:dyDescent="0.2">
      <c r="G397" s="183"/>
    </row>
    <row r="398" spans="7:10" x14ac:dyDescent="0.2">
      <c r="G398" s="183"/>
    </row>
    <row r="399" spans="7:10" x14ac:dyDescent="0.2">
      <c r="G399" s="183"/>
    </row>
    <row r="400" spans="7:10" x14ac:dyDescent="0.2">
      <c r="G400" s="183"/>
    </row>
    <row r="401" spans="7:7" x14ac:dyDescent="0.2">
      <c r="G401" s="183"/>
    </row>
    <row r="402" spans="7:7" x14ac:dyDescent="0.2">
      <c r="G402" s="183"/>
    </row>
    <row r="403" spans="7:7" x14ac:dyDescent="0.2">
      <c r="G403" s="183"/>
    </row>
    <row r="404" spans="7:7" x14ac:dyDescent="0.2">
      <c r="G404" s="183"/>
    </row>
    <row r="405" spans="7:7" x14ac:dyDescent="0.2">
      <c r="G405" s="183"/>
    </row>
    <row r="406" spans="7:7" x14ac:dyDescent="0.2">
      <c r="G406" s="183"/>
    </row>
    <row r="407" spans="7:7" x14ac:dyDescent="0.2">
      <c r="G407" s="183"/>
    </row>
    <row r="408" spans="7:7" x14ac:dyDescent="0.2">
      <c r="G408" s="183"/>
    </row>
    <row r="409" spans="7:7" x14ac:dyDescent="0.2">
      <c r="G409" s="183"/>
    </row>
    <row r="410" spans="7:7" x14ac:dyDescent="0.2">
      <c r="G410" s="183"/>
    </row>
    <row r="411" spans="7:7" x14ac:dyDescent="0.2">
      <c r="G411" s="183"/>
    </row>
    <row r="412" spans="7:7" x14ac:dyDescent="0.2">
      <c r="G412" s="183"/>
    </row>
    <row r="413" spans="7:7" x14ac:dyDescent="0.2">
      <c r="G413" s="183"/>
    </row>
    <row r="414" spans="7:7" x14ac:dyDescent="0.2">
      <c r="G414" s="183"/>
    </row>
    <row r="415" spans="7:7" x14ac:dyDescent="0.2">
      <c r="G415" s="183"/>
    </row>
    <row r="416" spans="7:7" x14ac:dyDescent="0.2">
      <c r="G416" s="183"/>
    </row>
    <row r="417" spans="7:7" x14ac:dyDescent="0.2">
      <c r="G417" s="183"/>
    </row>
    <row r="418" spans="7:7" x14ac:dyDescent="0.2">
      <c r="G418" s="183"/>
    </row>
    <row r="419" spans="7:7" x14ac:dyDescent="0.2">
      <c r="G419" s="183"/>
    </row>
    <row r="420" spans="7:7" x14ac:dyDescent="0.2">
      <c r="G420" s="183"/>
    </row>
    <row r="421" spans="7:7" x14ac:dyDescent="0.2">
      <c r="G421" s="183"/>
    </row>
    <row r="422" spans="7:7" x14ac:dyDescent="0.2">
      <c r="G422" s="183"/>
    </row>
    <row r="423" spans="7:7" x14ac:dyDescent="0.2">
      <c r="G423" s="183"/>
    </row>
    <row r="424" spans="7:7" x14ac:dyDescent="0.2">
      <c r="G424" s="183"/>
    </row>
    <row r="425" spans="7:7" x14ac:dyDescent="0.2">
      <c r="G425" s="183"/>
    </row>
    <row r="426" spans="7:7" x14ac:dyDescent="0.2">
      <c r="G426" s="183"/>
    </row>
    <row r="427" spans="7:7" x14ac:dyDescent="0.2">
      <c r="G427" s="183"/>
    </row>
    <row r="428" spans="7:7" x14ac:dyDescent="0.2">
      <c r="G428" s="183"/>
    </row>
    <row r="429" spans="7:7" x14ac:dyDescent="0.2">
      <c r="G429" s="183"/>
    </row>
    <row r="430" spans="7:7" x14ac:dyDescent="0.2">
      <c r="G430" s="183"/>
    </row>
    <row r="431" spans="7:7" x14ac:dyDescent="0.2">
      <c r="G431" s="183"/>
    </row>
  </sheetData>
  <sortState ref="A32:E63">
    <sortCondition ref="A32:A63"/>
  </sortState>
  <mergeCells count="2">
    <mergeCell ref="A1:J1"/>
    <mergeCell ref="F180:G180"/>
  </mergeCells>
  <phoneticPr fontId="0" type="noConversion"/>
  <printOptions gridLines="1"/>
  <pageMargins left="0.75" right="0.16" top="0.51" bottom="0.22" header="0.5" footer="0.17"/>
  <pageSetup scale="86" fitToHeight="23" orientation="landscape" r:id="rId1"/>
  <headerFooter alignWithMargins="0"/>
  <rowBreaks count="3" manualBreakCount="3">
    <brk id="89" max="9" man="1"/>
    <brk id="219" max="9" man="1"/>
    <brk id="299" max="9"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L318"/>
  <sheetViews>
    <sheetView view="pageBreakPreview" zoomScale="115" zoomScaleNormal="100" zoomScaleSheetLayoutView="115" workbookViewId="0">
      <pane ySplit="5" topLeftCell="A210" activePane="bottomLeft" state="frozen"/>
      <selection activeCell="D43" sqref="D43"/>
      <selection pane="bottomLeft" activeCell="B277" sqref="B277"/>
    </sheetView>
  </sheetViews>
  <sheetFormatPr defaultColWidth="9.140625" defaultRowHeight="12.75" x14ac:dyDescent="0.2"/>
  <cols>
    <col min="1" max="1" width="53.42578125" style="48" customWidth="1"/>
    <col min="2" max="2" width="10.28515625" style="48" bestFit="1" customWidth="1"/>
    <col min="3" max="3" width="11.42578125" style="48" customWidth="1"/>
    <col min="4" max="4" width="10.42578125" style="48" bestFit="1" customWidth="1"/>
    <col min="5" max="5" width="12.140625" style="48" customWidth="1"/>
    <col min="6" max="6" width="10.85546875" style="48" bestFit="1" customWidth="1"/>
    <col min="7" max="7" width="10.5703125" style="48" customWidth="1"/>
    <col min="8" max="8" width="12" style="48" customWidth="1"/>
    <col min="9" max="9" width="10.28515625" style="48" bestFit="1" customWidth="1"/>
    <col min="10" max="10" width="9.5703125" style="48" customWidth="1"/>
    <col min="11" max="16384" width="9.140625" style="48"/>
  </cols>
  <sheetData>
    <row r="1" spans="1:12" x14ac:dyDescent="0.2">
      <c r="A1" s="254" t="e">
        <f>#REF!</f>
        <v>#REF!</v>
      </c>
      <c r="B1" s="255"/>
      <c r="C1" s="255"/>
      <c r="D1" s="255"/>
      <c r="E1" s="255"/>
      <c r="F1" s="255"/>
      <c r="G1" s="255"/>
      <c r="H1" s="255"/>
      <c r="I1" s="255"/>
      <c r="J1" s="255"/>
    </row>
    <row r="2" spans="1:12" ht="18.75" x14ac:dyDescent="0.3">
      <c r="A2" s="94" t="s">
        <v>1573</v>
      </c>
      <c r="B2" s="94"/>
      <c r="C2" s="94"/>
      <c r="D2" s="94"/>
      <c r="E2" s="94"/>
      <c r="F2" s="94"/>
      <c r="I2" s="3"/>
    </row>
    <row r="3" spans="1:12" x14ac:dyDescent="0.2">
      <c r="B3" s="3"/>
      <c r="C3" s="3"/>
      <c r="D3" s="3"/>
      <c r="E3" s="3"/>
      <c r="F3" s="3"/>
      <c r="I3" s="3"/>
    </row>
    <row r="4" spans="1:12" x14ac:dyDescent="0.2">
      <c r="B4" s="3"/>
      <c r="C4" s="3"/>
      <c r="D4" s="3"/>
      <c r="E4" s="15" t="s">
        <v>204</v>
      </c>
      <c r="F4" s="15" t="s">
        <v>205</v>
      </c>
      <c r="G4" s="15" t="s">
        <v>61</v>
      </c>
      <c r="H4" s="15" t="s">
        <v>358</v>
      </c>
      <c r="I4" s="15" t="s">
        <v>270</v>
      </c>
      <c r="J4" s="15" t="s">
        <v>301</v>
      </c>
    </row>
    <row r="5" spans="1:12" ht="15" x14ac:dyDescent="0.35">
      <c r="B5" s="3"/>
      <c r="C5" s="3"/>
      <c r="D5" s="3"/>
      <c r="E5" s="196" t="s">
        <v>1757</v>
      </c>
      <c r="F5" s="196" t="s">
        <v>1838</v>
      </c>
      <c r="G5" s="196" t="s">
        <v>1977</v>
      </c>
      <c r="H5" s="196" t="s">
        <v>1977</v>
      </c>
      <c r="I5" s="196" t="s">
        <v>1977</v>
      </c>
      <c r="J5" s="196" t="s">
        <v>1977</v>
      </c>
    </row>
    <row r="6" spans="1:12" ht="13.5" x14ac:dyDescent="0.25">
      <c r="A6" s="49" t="s">
        <v>791</v>
      </c>
      <c r="B6" s="3"/>
      <c r="C6" s="3"/>
      <c r="D6" s="3"/>
      <c r="E6" s="3">
        <v>171295</v>
      </c>
      <c r="F6" s="3">
        <v>178733</v>
      </c>
      <c r="G6" s="3">
        <v>178827</v>
      </c>
      <c r="H6" s="3">
        <v>178827</v>
      </c>
      <c r="I6" s="3">
        <v>180231</v>
      </c>
      <c r="J6" s="3">
        <v>180231</v>
      </c>
      <c r="K6" s="3">
        <f t="shared" ref="K6:K69" si="0">+H6-F6</f>
        <v>94</v>
      </c>
      <c r="L6" s="101"/>
    </row>
    <row r="7" spans="1:12" ht="15" x14ac:dyDescent="0.25">
      <c r="A7" s="84" t="s">
        <v>624</v>
      </c>
      <c r="B7" s="2">
        <v>52</v>
      </c>
      <c r="C7" s="3">
        <v>1118</v>
      </c>
      <c r="D7" s="3">
        <f>ROUND(B7*C7,0)</f>
        <v>58136</v>
      </c>
      <c r="E7" s="3"/>
      <c r="F7" s="3"/>
      <c r="G7" s="3"/>
      <c r="H7" s="3"/>
      <c r="I7" s="3"/>
      <c r="J7" s="3"/>
      <c r="K7" s="3">
        <f t="shared" si="0"/>
        <v>0</v>
      </c>
    </row>
    <row r="8" spans="1:12" ht="15" x14ac:dyDescent="0.25">
      <c r="A8" s="84" t="s">
        <v>1696</v>
      </c>
      <c r="B8" s="2">
        <v>52</v>
      </c>
      <c r="C8" s="3">
        <v>773</v>
      </c>
      <c r="D8" s="3">
        <f>ROUND(B8*C8,0)</f>
        <v>40196</v>
      </c>
      <c r="E8" s="3"/>
      <c r="F8" s="3"/>
      <c r="G8" s="3"/>
      <c r="H8" s="3"/>
      <c r="I8" s="3"/>
      <c r="J8" s="3"/>
      <c r="K8" s="3">
        <f t="shared" si="0"/>
        <v>0</v>
      </c>
    </row>
    <row r="9" spans="1:12" ht="15" x14ac:dyDescent="0.25">
      <c r="A9" s="84" t="s">
        <v>1773</v>
      </c>
      <c r="B9" s="2">
        <v>52</v>
      </c>
      <c r="C9" s="3">
        <v>765</v>
      </c>
      <c r="D9" s="3">
        <f>ROUND(B9*C9,0)</f>
        <v>39780</v>
      </c>
      <c r="E9" s="3"/>
      <c r="F9" s="3"/>
      <c r="G9" s="3"/>
      <c r="H9" s="3"/>
      <c r="I9" s="3"/>
      <c r="J9" s="3"/>
      <c r="K9" s="3">
        <f t="shared" si="0"/>
        <v>0</v>
      </c>
    </row>
    <row r="10" spans="1:12" ht="15" x14ac:dyDescent="0.25">
      <c r="A10" s="84" t="s">
        <v>1697</v>
      </c>
      <c r="B10" s="2">
        <v>52</v>
      </c>
      <c r="C10" s="3">
        <v>786</v>
      </c>
      <c r="D10" s="3">
        <f>ROUND(B10*C10,0)</f>
        <v>40872</v>
      </c>
      <c r="E10" s="3"/>
      <c r="F10" s="3"/>
      <c r="G10" s="3"/>
      <c r="H10" s="3"/>
      <c r="I10" s="3"/>
      <c r="J10" s="3"/>
      <c r="K10" s="3">
        <f t="shared" si="0"/>
        <v>0</v>
      </c>
    </row>
    <row r="11" spans="1:12" ht="15" x14ac:dyDescent="0.35">
      <c r="A11" s="48" t="s">
        <v>824</v>
      </c>
      <c r="B11" s="3"/>
      <c r="C11" s="3"/>
      <c r="D11" s="28">
        <v>1247</v>
      </c>
      <c r="E11" s="3"/>
      <c r="F11" s="3"/>
      <c r="G11" s="3"/>
      <c r="H11" s="3"/>
      <c r="I11" s="3"/>
      <c r="J11" s="3"/>
      <c r="K11" s="3">
        <f t="shared" si="0"/>
        <v>0</v>
      </c>
    </row>
    <row r="12" spans="1:12" x14ac:dyDescent="0.2">
      <c r="A12" s="48" t="s">
        <v>1073</v>
      </c>
      <c r="B12" s="3"/>
      <c r="C12" s="3"/>
      <c r="D12" s="3">
        <f>SUM(D7:D11)</f>
        <v>180231</v>
      </c>
      <c r="F12" s="3"/>
      <c r="G12" s="3"/>
      <c r="H12" s="3"/>
      <c r="I12" s="3"/>
      <c r="J12" s="3"/>
      <c r="K12" s="3">
        <f t="shared" si="0"/>
        <v>0</v>
      </c>
    </row>
    <row r="13" spans="1:12" x14ac:dyDescent="0.2">
      <c r="B13" s="3"/>
      <c r="C13" s="3"/>
      <c r="D13" s="3"/>
      <c r="E13" s="3"/>
      <c r="F13" s="3"/>
      <c r="G13" s="3"/>
      <c r="H13" s="3"/>
      <c r="I13" s="3"/>
      <c r="J13" s="3"/>
      <c r="K13" s="3">
        <f t="shared" si="0"/>
        <v>0</v>
      </c>
    </row>
    <row r="14" spans="1:12" ht="13.5" x14ac:dyDescent="0.25">
      <c r="A14" s="49" t="s">
        <v>509</v>
      </c>
      <c r="B14" s="3"/>
      <c r="C14" s="3"/>
      <c r="D14" s="3"/>
      <c r="E14" s="3">
        <v>866093</v>
      </c>
      <c r="F14" s="3">
        <v>916356</v>
      </c>
      <c r="G14" s="3">
        <v>920861</v>
      </c>
      <c r="H14" s="3">
        <v>920821</v>
      </c>
      <c r="I14" s="3">
        <v>926593</v>
      </c>
      <c r="J14" s="3">
        <v>926593</v>
      </c>
      <c r="K14" s="3">
        <f t="shared" si="0"/>
        <v>4465</v>
      </c>
      <c r="L14" s="101"/>
    </row>
    <row r="15" spans="1:12" x14ac:dyDescent="0.2">
      <c r="A15" s="48" t="s">
        <v>305</v>
      </c>
      <c r="B15" s="2">
        <v>52</v>
      </c>
      <c r="C15" s="3">
        <v>2346</v>
      </c>
      <c r="D15" s="3">
        <f t="shared" ref="D15:D24" si="1">ROUND(B15*C15,0)</f>
        <v>121992</v>
      </c>
      <c r="E15" s="3"/>
      <c r="F15" s="3"/>
      <c r="G15" s="3"/>
      <c r="H15" s="3"/>
      <c r="I15" s="3"/>
      <c r="J15" s="3"/>
      <c r="K15" s="3">
        <f t="shared" si="0"/>
        <v>0</v>
      </c>
    </row>
    <row r="16" spans="1:12" x14ac:dyDescent="0.2">
      <c r="A16" s="48" t="s">
        <v>1613</v>
      </c>
      <c r="B16" s="2">
        <v>52</v>
      </c>
      <c r="C16" s="3">
        <v>2238</v>
      </c>
      <c r="D16" s="3">
        <f t="shared" si="1"/>
        <v>116376</v>
      </c>
      <c r="E16" s="3"/>
      <c r="F16" s="3"/>
      <c r="G16" s="3"/>
      <c r="H16" s="3"/>
      <c r="I16" s="3"/>
      <c r="J16" s="3"/>
      <c r="K16" s="3">
        <f t="shared" si="0"/>
        <v>0</v>
      </c>
    </row>
    <row r="17" spans="1:12" x14ac:dyDescent="0.2">
      <c r="A17" s="48" t="s">
        <v>1252</v>
      </c>
      <c r="B17" s="2">
        <v>52</v>
      </c>
      <c r="C17" s="3">
        <v>1730</v>
      </c>
      <c r="D17" s="3">
        <f t="shared" si="1"/>
        <v>89960</v>
      </c>
      <c r="E17" s="3"/>
      <c r="F17" s="3"/>
      <c r="G17" s="3"/>
      <c r="H17" s="3"/>
      <c r="I17" s="3"/>
      <c r="J17" s="3"/>
      <c r="K17" s="3">
        <f t="shared" si="0"/>
        <v>0</v>
      </c>
    </row>
    <row r="18" spans="1:12" ht="15" x14ac:dyDescent="0.25">
      <c r="A18" s="84" t="s">
        <v>394</v>
      </c>
      <c r="B18" s="2">
        <v>52</v>
      </c>
      <c r="C18" s="3">
        <f>1988+39+2</f>
        <v>2029</v>
      </c>
      <c r="D18" s="3">
        <f t="shared" si="1"/>
        <v>105508</v>
      </c>
      <c r="E18" s="84"/>
      <c r="F18" s="3"/>
      <c r="G18" s="3"/>
      <c r="H18" s="3"/>
      <c r="I18" s="3"/>
      <c r="J18" s="3"/>
      <c r="K18" s="3">
        <f t="shared" si="0"/>
        <v>0</v>
      </c>
    </row>
    <row r="19" spans="1:12" ht="15" x14ac:dyDescent="0.25">
      <c r="A19" s="84" t="s">
        <v>394</v>
      </c>
      <c r="B19" s="2">
        <v>52</v>
      </c>
      <c r="C19" s="3">
        <f>1994+39</f>
        <v>2033</v>
      </c>
      <c r="D19" s="3">
        <f t="shared" si="1"/>
        <v>105716</v>
      </c>
      <c r="E19" s="84"/>
      <c r="F19" s="3"/>
      <c r="G19" s="3"/>
      <c r="H19" s="3"/>
      <c r="I19" s="3"/>
      <c r="J19" s="3"/>
      <c r="K19" s="3">
        <f t="shared" si="0"/>
        <v>0</v>
      </c>
    </row>
    <row r="20" spans="1:12" ht="15" x14ac:dyDescent="0.25">
      <c r="A20" s="84" t="s">
        <v>395</v>
      </c>
      <c r="B20" s="2">
        <v>52</v>
      </c>
      <c r="C20" s="3">
        <f>1768+34</f>
        <v>1802</v>
      </c>
      <c r="D20" s="3">
        <f t="shared" si="1"/>
        <v>93704</v>
      </c>
      <c r="E20" s="84"/>
      <c r="F20" s="3"/>
      <c r="G20" s="3"/>
      <c r="H20" s="3"/>
      <c r="I20" s="3"/>
      <c r="J20" s="3"/>
      <c r="K20" s="3">
        <f t="shared" si="0"/>
        <v>0</v>
      </c>
    </row>
    <row r="21" spans="1:12" ht="15" x14ac:dyDescent="0.25">
      <c r="A21" s="84" t="s">
        <v>395</v>
      </c>
      <c r="B21" s="2">
        <v>52</v>
      </c>
      <c r="C21" s="3">
        <f>1741+34</f>
        <v>1775</v>
      </c>
      <c r="D21" s="3">
        <f t="shared" si="1"/>
        <v>92300</v>
      </c>
      <c r="E21" s="84"/>
      <c r="F21" s="3"/>
      <c r="G21" s="3"/>
      <c r="H21" s="3"/>
      <c r="I21" s="3"/>
      <c r="J21" s="3"/>
      <c r="K21" s="3">
        <f t="shared" si="0"/>
        <v>0</v>
      </c>
    </row>
    <row r="22" spans="1:12" ht="15" x14ac:dyDescent="0.25">
      <c r="A22" s="84" t="s">
        <v>395</v>
      </c>
      <c r="B22" s="2">
        <v>52</v>
      </c>
      <c r="C22" s="3">
        <f>1754+34+4</f>
        <v>1792</v>
      </c>
      <c r="D22" s="3">
        <f t="shared" si="1"/>
        <v>93184</v>
      </c>
      <c r="E22" s="84"/>
      <c r="F22" s="3"/>
      <c r="G22" s="3"/>
      <c r="H22" s="3"/>
      <c r="I22" s="3"/>
      <c r="J22" s="3"/>
      <c r="K22" s="3">
        <f t="shared" si="0"/>
        <v>0</v>
      </c>
    </row>
    <row r="23" spans="1:12" ht="15" x14ac:dyDescent="0.25">
      <c r="A23" s="84" t="s">
        <v>395</v>
      </c>
      <c r="B23" s="2">
        <v>52</v>
      </c>
      <c r="C23" s="3">
        <f>1755+34</f>
        <v>1789</v>
      </c>
      <c r="D23" s="3">
        <f t="shared" si="1"/>
        <v>93028</v>
      </c>
      <c r="E23" s="84"/>
      <c r="F23" s="3"/>
      <c r="G23" s="3"/>
      <c r="H23" s="3"/>
      <c r="I23" s="3"/>
      <c r="J23" s="3"/>
      <c r="K23" s="3">
        <f t="shared" si="0"/>
        <v>0</v>
      </c>
    </row>
    <row r="24" spans="1:12" ht="15" x14ac:dyDescent="0.25">
      <c r="A24" s="84" t="s">
        <v>1753</v>
      </c>
      <c r="B24" s="2">
        <v>52</v>
      </c>
      <c r="C24" s="3">
        <v>16</v>
      </c>
      <c r="D24" s="3">
        <f t="shared" si="1"/>
        <v>832</v>
      </c>
      <c r="E24" s="84"/>
      <c r="F24" s="3"/>
      <c r="G24" s="3"/>
      <c r="H24" s="3"/>
      <c r="I24" s="3"/>
      <c r="J24" s="3"/>
      <c r="K24" s="3">
        <f t="shared" si="0"/>
        <v>0</v>
      </c>
    </row>
    <row r="25" spans="1:12" ht="15" x14ac:dyDescent="0.35">
      <c r="A25" s="3" t="s">
        <v>824</v>
      </c>
      <c r="B25" s="3"/>
      <c r="C25" s="3"/>
      <c r="D25" s="28">
        <v>13993</v>
      </c>
      <c r="E25" s="3"/>
      <c r="F25" s="3"/>
      <c r="G25" s="3"/>
      <c r="H25" s="3"/>
      <c r="I25" s="3"/>
      <c r="J25" s="3"/>
      <c r="K25" s="3">
        <f t="shared" si="0"/>
        <v>0</v>
      </c>
    </row>
    <row r="26" spans="1:12" x14ac:dyDescent="0.2">
      <c r="A26" s="3" t="s">
        <v>1073</v>
      </c>
      <c r="B26" s="3"/>
      <c r="C26" s="3"/>
      <c r="D26" s="3">
        <f>SUM(D15:D25)</f>
        <v>926593</v>
      </c>
      <c r="F26" s="3"/>
      <c r="G26" s="3"/>
      <c r="H26" s="3"/>
      <c r="I26" s="3"/>
      <c r="J26" s="3"/>
      <c r="K26" s="3">
        <f t="shared" si="0"/>
        <v>0</v>
      </c>
    </row>
    <row r="27" spans="1:12" x14ac:dyDescent="0.2">
      <c r="A27" s="3"/>
      <c r="B27" s="3"/>
      <c r="C27" s="3"/>
      <c r="D27" s="3"/>
      <c r="E27" s="3"/>
      <c r="F27" s="3"/>
      <c r="G27" s="3"/>
      <c r="H27" s="3"/>
      <c r="I27" s="3"/>
      <c r="J27" s="3"/>
      <c r="K27" s="3">
        <f t="shared" si="0"/>
        <v>0</v>
      </c>
    </row>
    <row r="28" spans="1:12" ht="13.5" x14ac:dyDescent="0.25">
      <c r="A28" s="49" t="s">
        <v>709</v>
      </c>
      <c r="B28" s="3"/>
      <c r="C28" s="3"/>
      <c r="D28" s="3"/>
      <c r="E28" s="3">
        <v>2285629</v>
      </c>
      <c r="F28" s="3">
        <v>2700732</v>
      </c>
      <c r="G28" s="3">
        <v>2712522</v>
      </c>
      <c r="H28" s="3">
        <v>2712522</v>
      </c>
      <c r="I28" s="3">
        <v>2712522</v>
      </c>
      <c r="J28" s="3">
        <v>2712522</v>
      </c>
      <c r="K28" s="3">
        <f t="shared" si="0"/>
        <v>11790</v>
      </c>
      <c r="L28" s="101"/>
    </row>
    <row r="29" spans="1:12" x14ac:dyDescent="0.2">
      <c r="A29" s="220" t="s">
        <v>76</v>
      </c>
      <c r="B29" s="2">
        <v>52</v>
      </c>
      <c r="C29" s="220">
        <f>1461+29+8</f>
        <v>1498</v>
      </c>
      <c r="D29" s="3">
        <f t="shared" ref="D29:D64" si="2">ROUND(B29*C29,0)</f>
        <v>77896</v>
      </c>
      <c r="E29" s="3"/>
      <c r="F29" s="108"/>
      <c r="G29" s="108"/>
      <c r="H29" s="108"/>
      <c r="I29" s="108"/>
      <c r="J29" s="108"/>
      <c r="K29" s="3">
        <f t="shared" si="0"/>
        <v>0</v>
      </c>
    </row>
    <row r="30" spans="1:12" x14ac:dyDescent="0.2">
      <c r="A30" s="220" t="s">
        <v>711</v>
      </c>
      <c r="B30" s="2">
        <v>52</v>
      </c>
      <c r="C30" s="220">
        <f>1469+29</f>
        <v>1498</v>
      </c>
      <c r="D30" s="3">
        <f t="shared" si="2"/>
        <v>77896</v>
      </c>
      <c r="E30" s="3"/>
      <c r="F30" s="102"/>
      <c r="G30" s="102"/>
      <c r="H30" s="102"/>
      <c r="I30" s="102"/>
      <c r="J30" s="102"/>
      <c r="K30" s="3">
        <f t="shared" si="0"/>
        <v>0</v>
      </c>
    </row>
    <row r="31" spans="1:12" x14ac:dyDescent="0.2">
      <c r="A31" s="220" t="s">
        <v>711</v>
      </c>
      <c r="B31" s="2">
        <v>52</v>
      </c>
      <c r="C31" s="220">
        <f>1452+52</f>
        <v>1504</v>
      </c>
      <c r="D31" s="3">
        <f t="shared" si="2"/>
        <v>78208</v>
      </c>
      <c r="E31" s="3"/>
      <c r="F31" s="102"/>
      <c r="G31" s="102"/>
      <c r="H31" s="102"/>
      <c r="I31" s="102"/>
      <c r="J31" s="102"/>
      <c r="K31" s="3">
        <f t="shared" si="0"/>
        <v>0</v>
      </c>
    </row>
    <row r="32" spans="1:12" x14ac:dyDescent="0.2">
      <c r="A32" s="220" t="s">
        <v>711</v>
      </c>
      <c r="B32" s="2">
        <v>52</v>
      </c>
      <c r="C32" s="220">
        <f>1452+52</f>
        <v>1504</v>
      </c>
      <c r="D32" s="3">
        <f t="shared" si="2"/>
        <v>78208</v>
      </c>
      <c r="E32" s="3"/>
      <c r="F32" s="102"/>
      <c r="G32" s="102"/>
      <c r="H32" s="102"/>
      <c r="I32" s="102"/>
      <c r="J32" s="102"/>
      <c r="K32" s="3">
        <f t="shared" si="0"/>
        <v>0</v>
      </c>
    </row>
    <row r="33" spans="1:11" x14ac:dyDescent="0.2">
      <c r="A33" s="220" t="s">
        <v>711</v>
      </c>
      <c r="B33" s="2">
        <v>52</v>
      </c>
      <c r="C33" s="103">
        <f>1476+29</f>
        <v>1505</v>
      </c>
      <c r="D33" s="3">
        <f t="shared" si="2"/>
        <v>78260</v>
      </c>
      <c r="E33" s="3"/>
      <c r="F33" s="102"/>
      <c r="G33" s="102"/>
      <c r="H33" s="102"/>
      <c r="I33" s="102"/>
      <c r="J33" s="102"/>
      <c r="K33" s="3">
        <f t="shared" si="0"/>
        <v>0</v>
      </c>
    </row>
    <row r="34" spans="1:11" x14ac:dyDescent="0.2">
      <c r="A34" s="220" t="s">
        <v>77</v>
      </c>
      <c r="B34" s="2">
        <v>52</v>
      </c>
      <c r="C34" s="220">
        <f>1384+27</f>
        <v>1411</v>
      </c>
      <c r="D34" s="3">
        <f t="shared" si="2"/>
        <v>73372</v>
      </c>
      <c r="E34" s="3"/>
      <c r="F34" s="102"/>
      <c r="G34" s="102"/>
      <c r="H34" s="102"/>
      <c r="I34" s="102"/>
      <c r="J34" s="102"/>
      <c r="K34" s="3">
        <f t="shared" si="0"/>
        <v>0</v>
      </c>
    </row>
    <row r="35" spans="1:11" x14ac:dyDescent="0.2">
      <c r="A35" s="220" t="s">
        <v>77</v>
      </c>
      <c r="B35" s="2">
        <v>52</v>
      </c>
      <c r="C35" s="220">
        <f>1327+74</f>
        <v>1401</v>
      </c>
      <c r="D35" s="3">
        <f t="shared" si="2"/>
        <v>72852</v>
      </c>
      <c r="E35" s="3"/>
      <c r="F35" s="102"/>
      <c r="G35" s="102"/>
      <c r="H35" s="102"/>
      <c r="I35" s="102"/>
      <c r="J35" s="102"/>
      <c r="K35" s="3">
        <f t="shared" si="0"/>
        <v>0</v>
      </c>
    </row>
    <row r="36" spans="1:11" x14ac:dyDescent="0.2">
      <c r="A36" s="220" t="s">
        <v>77</v>
      </c>
      <c r="B36" s="2">
        <v>52</v>
      </c>
      <c r="C36" s="220">
        <f>1310+81</f>
        <v>1391</v>
      </c>
      <c r="D36" s="3">
        <f t="shared" si="2"/>
        <v>72332</v>
      </c>
      <c r="E36" s="3"/>
      <c r="F36" s="102"/>
      <c r="G36" s="102"/>
      <c r="H36" s="102"/>
      <c r="I36" s="102"/>
      <c r="J36" s="102"/>
      <c r="K36" s="3">
        <f t="shared" si="0"/>
        <v>0</v>
      </c>
    </row>
    <row r="37" spans="1:11" x14ac:dyDescent="0.2">
      <c r="A37" s="220" t="s">
        <v>710</v>
      </c>
      <c r="B37" s="2">
        <v>52</v>
      </c>
      <c r="C37" s="220">
        <f>1598+31</f>
        <v>1629</v>
      </c>
      <c r="D37" s="3">
        <f t="shared" si="2"/>
        <v>84708</v>
      </c>
      <c r="E37" s="3"/>
      <c r="F37" s="102"/>
      <c r="G37" s="102"/>
      <c r="H37" s="102"/>
      <c r="I37" s="102"/>
      <c r="J37" s="102"/>
      <c r="K37" s="3">
        <f t="shared" si="0"/>
        <v>0</v>
      </c>
    </row>
    <row r="38" spans="1:11" x14ac:dyDescent="0.2">
      <c r="A38" s="220" t="s">
        <v>710</v>
      </c>
      <c r="B38" s="2">
        <v>52</v>
      </c>
      <c r="C38" s="220">
        <f>1592+31+3</f>
        <v>1626</v>
      </c>
      <c r="D38" s="3">
        <f t="shared" si="2"/>
        <v>84552</v>
      </c>
      <c r="E38" s="3"/>
      <c r="F38" s="102"/>
      <c r="G38" s="102"/>
      <c r="H38" s="102"/>
      <c r="I38" s="102"/>
      <c r="J38" s="102"/>
      <c r="K38" s="3">
        <f t="shared" si="0"/>
        <v>0</v>
      </c>
    </row>
    <row r="39" spans="1:11" x14ac:dyDescent="0.2">
      <c r="A39" s="220" t="s">
        <v>710</v>
      </c>
      <c r="B39" s="2">
        <v>52</v>
      </c>
      <c r="C39" s="220">
        <f>1576+31</f>
        <v>1607</v>
      </c>
      <c r="D39" s="3">
        <f t="shared" si="2"/>
        <v>83564</v>
      </c>
      <c r="E39" s="3"/>
      <c r="F39" s="102"/>
      <c r="G39" s="102"/>
      <c r="H39" s="102"/>
      <c r="I39" s="102"/>
      <c r="J39" s="102"/>
      <c r="K39" s="3">
        <f t="shared" si="0"/>
        <v>0</v>
      </c>
    </row>
    <row r="40" spans="1:11" x14ac:dyDescent="0.2">
      <c r="A40" s="220" t="s">
        <v>710</v>
      </c>
      <c r="B40" s="2">
        <v>52</v>
      </c>
      <c r="C40" s="220">
        <f>1594+31+4</f>
        <v>1629</v>
      </c>
      <c r="D40" s="3">
        <f t="shared" si="2"/>
        <v>84708</v>
      </c>
      <c r="E40" s="3"/>
      <c r="F40" s="102"/>
      <c r="G40" s="102"/>
      <c r="H40" s="102"/>
      <c r="I40" s="102"/>
      <c r="J40" s="102"/>
      <c r="K40" s="3">
        <f t="shared" si="0"/>
        <v>0</v>
      </c>
    </row>
    <row r="41" spans="1:11" x14ac:dyDescent="0.2">
      <c r="A41" s="220" t="s">
        <v>710</v>
      </c>
      <c r="B41" s="2">
        <v>52</v>
      </c>
      <c r="C41" s="220">
        <f>1594+31+8</f>
        <v>1633</v>
      </c>
      <c r="D41" s="3">
        <f t="shared" si="2"/>
        <v>84916</v>
      </c>
      <c r="E41" s="3"/>
      <c r="F41" s="102"/>
      <c r="G41" s="102"/>
      <c r="H41" s="102"/>
      <c r="I41" s="102"/>
      <c r="J41" s="102"/>
      <c r="K41" s="3">
        <f t="shared" si="0"/>
        <v>0</v>
      </c>
    </row>
    <row r="42" spans="1:11" x14ac:dyDescent="0.2">
      <c r="A42" s="220" t="s">
        <v>710</v>
      </c>
      <c r="B42" s="2">
        <v>52</v>
      </c>
      <c r="C42" s="220">
        <f>1524+91</f>
        <v>1615</v>
      </c>
      <c r="D42" s="3">
        <f t="shared" si="2"/>
        <v>83980</v>
      </c>
      <c r="E42" s="3"/>
      <c r="F42" s="102"/>
      <c r="G42" s="102"/>
      <c r="H42" s="102"/>
      <c r="I42" s="102"/>
      <c r="J42" s="102"/>
      <c r="K42" s="3">
        <f t="shared" si="0"/>
        <v>0</v>
      </c>
    </row>
    <row r="43" spans="1:11" x14ac:dyDescent="0.2">
      <c r="A43" s="220" t="s">
        <v>427</v>
      </c>
      <c r="B43" s="2">
        <v>52</v>
      </c>
      <c r="C43" s="220">
        <f>1283+26</f>
        <v>1309</v>
      </c>
      <c r="D43" s="3">
        <f t="shared" si="2"/>
        <v>68068</v>
      </c>
      <c r="E43" s="3"/>
      <c r="F43" s="102"/>
      <c r="G43" s="102"/>
      <c r="H43" s="102"/>
      <c r="I43" s="102"/>
      <c r="J43" s="102"/>
      <c r="K43" s="3">
        <f t="shared" si="0"/>
        <v>0</v>
      </c>
    </row>
    <row r="44" spans="1:11" x14ac:dyDescent="0.2">
      <c r="A44" s="220" t="s">
        <v>427</v>
      </c>
      <c r="B44" s="2">
        <v>52</v>
      </c>
      <c r="C44" s="220">
        <f>1272+36+9</f>
        <v>1317</v>
      </c>
      <c r="D44" s="3">
        <f t="shared" si="2"/>
        <v>68484</v>
      </c>
      <c r="E44" s="3"/>
      <c r="F44" s="102"/>
      <c r="G44" s="102"/>
      <c r="H44" s="102"/>
      <c r="I44" s="102"/>
      <c r="J44" s="102"/>
      <c r="K44" s="3">
        <f t="shared" si="0"/>
        <v>0</v>
      </c>
    </row>
    <row r="45" spans="1:11" x14ac:dyDescent="0.2">
      <c r="A45" s="220" t="s">
        <v>427</v>
      </c>
      <c r="B45" s="2">
        <v>52</v>
      </c>
      <c r="C45" s="220">
        <f>1283+56+17</f>
        <v>1356</v>
      </c>
      <c r="D45" s="3">
        <f t="shared" si="2"/>
        <v>70512</v>
      </c>
      <c r="E45" s="3"/>
      <c r="F45" s="102"/>
      <c r="G45" s="102"/>
      <c r="H45" s="102"/>
      <c r="I45" s="102"/>
      <c r="J45" s="102"/>
      <c r="K45" s="3">
        <f t="shared" si="0"/>
        <v>0</v>
      </c>
    </row>
    <row r="46" spans="1:11" x14ac:dyDescent="0.2">
      <c r="A46" s="220" t="s">
        <v>427</v>
      </c>
      <c r="B46" s="2">
        <v>52</v>
      </c>
      <c r="C46" s="220">
        <f>1194+96</f>
        <v>1290</v>
      </c>
      <c r="D46" s="3">
        <f t="shared" si="2"/>
        <v>67080</v>
      </c>
      <c r="E46" s="3"/>
      <c r="F46" s="102"/>
      <c r="G46" s="102"/>
      <c r="H46" s="102"/>
      <c r="I46" s="102"/>
      <c r="J46" s="102"/>
      <c r="K46" s="3">
        <f t="shared" si="0"/>
        <v>0</v>
      </c>
    </row>
    <row r="47" spans="1:11" x14ac:dyDescent="0.2">
      <c r="A47" s="220" t="s">
        <v>427</v>
      </c>
      <c r="B47" s="2">
        <v>52</v>
      </c>
      <c r="C47" s="103">
        <f>1283+26</f>
        <v>1309</v>
      </c>
      <c r="D47" s="3">
        <f t="shared" si="2"/>
        <v>68068</v>
      </c>
      <c r="E47" s="3"/>
      <c r="F47" s="102"/>
      <c r="G47" s="102"/>
      <c r="H47" s="102"/>
      <c r="I47" s="102"/>
      <c r="J47" s="102"/>
      <c r="K47" s="3">
        <f t="shared" si="0"/>
        <v>0</v>
      </c>
    </row>
    <row r="48" spans="1:11" x14ac:dyDescent="0.2">
      <c r="A48" s="220" t="s">
        <v>427</v>
      </c>
      <c r="B48" s="2">
        <v>52</v>
      </c>
      <c r="C48" s="220">
        <f>1065+130</f>
        <v>1195</v>
      </c>
      <c r="D48" s="3">
        <f t="shared" si="2"/>
        <v>62140</v>
      </c>
      <c r="E48" s="3"/>
      <c r="F48" s="102"/>
      <c r="G48" s="102"/>
      <c r="H48" s="102"/>
      <c r="I48" s="102"/>
      <c r="J48" s="102"/>
      <c r="K48" s="3">
        <f t="shared" si="0"/>
        <v>0</v>
      </c>
    </row>
    <row r="49" spans="1:11" x14ac:dyDescent="0.2">
      <c r="A49" s="220" t="s">
        <v>427</v>
      </c>
      <c r="B49" s="2">
        <v>52</v>
      </c>
      <c r="C49" s="220">
        <f>1283+26</f>
        <v>1309</v>
      </c>
      <c r="D49" s="3">
        <f t="shared" si="2"/>
        <v>68068</v>
      </c>
      <c r="E49" s="3"/>
      <c r="F49" s="102"/>
      <c r="G49" s="102"/>
      <c r="H49" s="102"/>
      <c r="I49" s="102"/>
      <c r="J49" s="102"/>
      <c r="K49" s="3">
        <f t="shared" si="0"/>
        <v>0</v>
      </c>
    </row>
    <row r="50" spans="1:11" x14ac:dyDescent="0.2">
      <c r="A50" s="220" t="s">
        <v>427</v>
      </c>
      <c r="B50" s="2">
        <v>52</v>
      </c>
      <c r="C50" s="220">
        <f>1276+26</f>
        <v>1302</v>
      </c>
      <c r="D50" s="3">
        <f t="shared" si="2"/>
        <v>67704</v>
      </c>
      <c r="E50" s="3"/>
      <c r="F50" s="102"/>
      <c r="G50" s="102"/>
      <c r="H50" s="102"/>
      <c r="I50" s="102"/>
      <c r="J50" s="102"/>
      <c r="K50" s="3">
        <f t="shared" si="0"/>
        <v>0</v>
      </c>
    </row>
    <row r="51" spans="1:11" x14ac:dyDescent="0.2">
      <c r="A51" s="220" t="s">
        <v>427</v>
      </c>
      <c r="B51" s="2">
        <v>52</v>
      </c>
      <c r="C51" s="103">
        <f>1259+50</f>
        <v>1309</v>
      </c>
      <c r="D51" s="3">
        <f t="shared" si="2"/>
        <v>68068</v>
      </c>
      <c r="E51" s="3"/>
      <c r="F51" s="102"/>
      <c r="G51" s="102"/>
      <c r="H51" s="102"/>
      <c r="I51" s="102"/>
      <c r="J51" s="102"/>
      <c r="K51" s="3">
        <f t="shared" si="0"/>
        <v>0</v>
      </c>
    </row>
    <row r="52" spans="1:11" x14ac:dyDescent="0.2">
      <c r="A52" s="220" t="s">
        <v>427</v>
      </c>
      <c r="B52" s="2">
        <v>52</v>
      </c>
      <c r="C52" s="220">
        <f>1276+26+4</f>
        <v>1306</v>
      </c>
      <c r="D52" s="3">
        <f t="shared" si="2"/>
        <v>67912</v>
      </c>
      <c r="E52" s="3"/>
      <c r="F52" s="102"/>
      <c r="G52" s="102"/>
      <c r="H52" s="102"/>
      <c r="I52" s="102"/>
      <c r="J52" s="102"/>
      <c r="K52" s="3">
        <f t="shared" si="0"/>
        <v>0</v>
      </c>
    </row>
    <row r="53" spans="1:11" x14ac:dyDescent="0.2">
      <c r="A53" s="220" t="s">
        <v>427</v>
      </c>
      <c r="B53" s="2">
        <v>52</v>
      </c>
      <c r="C53" s="220">
        <f>1287+36+9</f>
        <v>1332</v>
      </c>
      <c r="D53" s="3">
        <f t="shared" si="2"/>
        <v>69264</v>
      </c>
      <c r="E53" s="3"/>
      <c r="F53" s="102"/>
      <c r="G53" s="102"/>
      <c r="H53" s="102"/>
      <c r="I53" s="102"/>
      <c r="J53" s="102"/>
      <c r="K53" s="3">
        <f t="shared" si="0"/>
        <v>0</v>
      </c>
    </row>
    <row r="54" spans="1:11" x14ac:dyDescent="0.2">
      <c r="A54" s="220" t="s">
        <v>427</v>
      </c>
      <c r="B54" s="2">
        <v>52</v>
      </c>
      <c r="C54" s="220">
        <f>1150+128</f>
        <v>1278</v>
      </c>
      <c r="D54" s="3">
        <f t="shared" si="2"/>
        <v>66456</v>
      </c>
      <c r="E54" s="3"/>
      <c r="F54" s="102"/>
      <c r="G54" s="102"/>
      <c r="H54" s="102"/>
      <c r="I54" s="102"/>
      <c r="J54" s="102"/>
      <c r="K54" s="3">
        <f t="shared" si="0"/>
        <v>0</v>
      </c>
    </row>
    <row r="55" spans="1:11" x14ac:dyDescent="0.2">
      <c r="A55" s="220" t="s">
        <v>427</v>
      </c>
      <c r="B55" s="2">
        <v>52</v>
      </c>
      <c r="C55" s="220">
        <f>1272+26</f>
        <v>1298</v>
      </c>
      <c r="D55" s="3">
        <f t="shared" si="2"/>
        <v>67496</v>
      </c>
      <c r="E55" s="3"/>
      <c r="F55" s="102"/>
      <c r="G55" s="102"/>
      <c r="H55" s="102"/>
      <c r="I55" s="102"/>
      <c r="J55" s="102"/>
      <c r="K55" s="3">
        <f t="shared" si="0"/>
        <v>0</v>
      </c>
    </row>
    <row r="56" spans="1:11" x14ac:dyDescent="0.2">
      <c r="A56" s="220" t="s">
        <v>427</v>
      </c>
      <c r="B56" s="2">
        <v>52</v>
      </c>
      <c r="C56" s="220">
        <f>1276+36+9</f>
        <v>1321</v>
      </c>
      <c r="D56" s="3">
        <f t="shared" si="2"/>
        <v>68692</v>
      </c>
      <c r="E56" s="3"/>
      <c r="F56" s="102"/>
      <c r="G56" s="102"/>
      <c r="H56" s="102"/>
      <c r="I56" s="102"/>
      <c r="J56" s="102"/>
      <c r="K56" s="3">
        <f t="shared" si="0"/>
        <v>0</v>
      </c>
    </row>
    <row r="57" spans="1:11" x14ac:dyDescent="0.2">
      <c r="A57" s="220" t="s">
        <v>427</v>
      </c>
      <c r="B57" s="2">
        <v>52</v>
      </c>
      <c r="C57" s="220">
        <f>1283+56+17</f>
        <v>1356</v>
      </c>
      <c r="D57" s="3">
        <f t="shared" si="2"/>
        <v>70512</v>
      </c>
      <c r="E57" s="3"/>
      <c r="F57" s="102"/>
      <c r="G57" s="102"/>
      <c r="H57" s="102"/>
      <c r="I57" s="102"/>
      <c r="J57" s="102"/>
      <c r="K57" s="3">
        <f t="shared" si="0"/>
        <v>0</v>
      </c>
    </row>
    <row r="58" spans="1:11" x14ac:dyDescent="0.2">
      <c r="A58" s="220" t="s">
        <v>427</v>
      </c>
      <c r="B58" s="2">
        <v>52</v>
      </c>
      <c r="C58" s="220">
        <f>1264+26</f>
        <v>1290</v>
      </c>
      <c r="D58" s="3">
        <f t="shared" si="2"/>
        <v>67080</v>
      </c>
      <c r="E58" s="3"/>
      <c r="F58" s="102"/>
      <c r="G58" s="102"/>
      <c r="H58" s="102"/>
      <c r="I58" s="102"/>
      <c r="J58" s="102"/>
      <c r="K58" s="3">
        <f t="shared" si="0"/>
        <v>0</v>
      </c>
    </row>
    <row r="59" spans="1:11" x14ac:dyDescent="0.2">
      <c r="A59" s="220" t="s">
        <v>1991</v>
      </c>
      <c r="B59" s="2">
        <v>52</v>
      </c>
      <c r="C59" s="220">
        <f>1283+26</f>
        <v>1309</v>
      </c>
      <c r="D59" s="3">
        <f t="shared" si="2"/>
        <v>68068</v>
      </c>
      <c r="E59" s="3"/>
      <c r="F59" s="102"/>
      <c r="G59" s="102"/>
      <c r="H59" s="102"/>
      <c r="I59" s="102"/>
      <c r="J59" s="102"/>
      <c r="K59" s="3">
        <f t="shared" si="0"/>
        <v>0</v>
      </c>
    </row>
    <row r="60" spans="1:11" x14ac:dyDescent="0.2">
      <c r="A60" s="220" t="s">
        <v>1991</v>
      </c>
      <c r="B60" s="2">
        <v>52</v>
      </c>
      <c r="C60" s="220">
        <f>1195</f>
        <v>1195</v>
      </c>
      <c r="D60" s="3">
        <f t="shared" si="2"/>
        <v>62140</v>
      </c>
      <c r="E60" s="3"/>
      <c r="F60" s="102"/>
      <c r="G60" s="102"/>
      <c r="H60" s="102"/>
      <c r="I60" s="102"/>
      <c r="J60" s="102"/>
      <c r="K60" s="3">
        <f t="shared" si="0"/>
        <v>0</v>
      </c>
    </row>
    <row r="61" spans="1:11" x14ac:dyDescent="0.2">
      <c r="A61" s="220" t="s">
        <v>427</v>
      </c>
      <c r="B61" s="2">
        <v>52</v>
      </c>
      <c r="C61" s="220">
        <f>1195</f>
        <v>1195</v>
      </c>
      <c r="D61" s="3">
        <f t="shared" si="2"/>
        <v>62140</v>
      </c>
      <c r="E61" s="3"/>
      <c r="F61" s="102"/>
      <c r="G61" s="102"/>
      <c r="H61" s="102"/>
      <c r="I61" s="102"/>
      <c r="J61" s="102"/>
      <c r="K61" s="3">
        <f t="shared" si="0"/>
        <v>0</v>
      </c>
    </row>
    <row r="62" spans="1:11" x14ac:dyDescent="0.2">
      <c r="A62" s="220" t="s">
        <v>427</v>
      </c>
      <c r="B62" s="2">
        <v>52</v>
      </c>
      <c r="C62" s="220">
        <f>1195</f>
        <v>1195</v>
      </c>
      <c r="D62" s="3">
        <f t="shared" si="2"/>
        <v>62140</v>
      </c>
      <c r="E62" s="3"/>
      <c r="F62" s="102"/>
      <c r="G62" s="102"/>
      <c r="H62" s="102"/>
      <c r="I62" s="102"/>
      <c r="J62" s="102"/>
      <c r="K62" s="3">
        <f t="shared" si="0"/>
        <v>0</v>
      </c>
    </row>
    <row r="63" spans="1:11" x14ac:dyDescent="0.2">
      <c r="A63" s="220" t="s">
        <v>78</v>
      </c>
      <c r="B63" s="2">
        <v>52</v>
      </c>
      <c r="C63" s="220">
        <f>1430+80</f>
        <v>1510</v>
      </c>
      <c r="D63" s="3">
        <f t="shared" si="2"/>
        <v>78520</v>
      </c>
      <c r="E63" s="3"/>
      <c r="F63" s="102"/>
      <c r="G63" s="102"/>
      <c r="H63" s="102"/>
      <c r="I63" s="102"/>
      <c r="J63" s="102"/>
      <c r="K63" s="3">
        <f t="shared" si="0"/>
        <v>0</v>
      </c>
    </row>
    <row r="64" spans="1:11" x14ac:dyDescent="0.2">
      <c r="A64" s="220" t="s">
        <v>78</v>
      </c>
      <c r="B64" s="2">
        <v>52</v>
      </c>
      <c r="C64" s="220">
        <f>1473+29</f>
        <v>1502</v>
      </c>
      <c r="D64" s="3">
        <f t="shared" si="2"/>
        <v>78104</v>
      </c>
      <c r="E64" s="3"/>
      <c r="F64" s="102"/>
      <c r="G64" s="102"/>
      <c r="H64" s="102"/>
      <c r="I64" s="102"/>
      <c r="J64" s="102"/>
      <c r="K64" s="3">
        <f t="shared" si="0"/>
        <v>0</v>
      </c>
    </row>
    <row r="65" spans="1:11" x14ac:dyDescent="0.2">
      <c r="A65" s="220" t="s">
        <v>1837</v>
      </c>
      <c r="B65" s="220"/>
      <c r="C65" s="220"/>
      <c r="D65" s="3">
        <v>12480</v>
      </c>
      <c r="E65" s="3"/>
      <c r="F65" s="102"/>
      <c r="G65" s="102"/>
      <c r="H65" s="102"/>
      <c r="I65" s="102"/>
      <c r="J65" s="102"/>
      <c r="K65" s="3">
        <f t="shared" si="0"/>
        <v>0</v>
      </c>
    </row>
    <row r="66" spans="1:11" x14ac:dyDescent="0.2">
      <c r="A66" s="3" t="s">
        <v>910</v>
      </c>
      <c r="B66" s="3">
        <v>2160</v>
      </c>
      <c r="C66" s="51">
        <f>SUM(C29:C64)/40/36</f>
        <v>34.884722222222223</v>
      </c>
      <c r="D66" s="3">
        <f>ROUND(B66*C66,0)</f>
        <v>75351</v>
      </c>
      <c r="E66" s="3"/>
      <c r="F66" s="102"/>
      <c r="G66" s="102"/>
      <c r="H66" s="102"/>
      <c r="I66" s="102"/>
      <c r="J66" s="102"/>
      <c r="K66" s="3">
        <f t="shared" si="0"/>
        <v>0</v>
      </c>
    </row>
    <row r="67" spans="1:11" ht="15" x14ac:dyDescent="0.35">
      <c r="A67" s="3" t="s">
        <v>824</v>
      </c>
      <c r="B67" s="3" t="s">
        <v>345</v>
      </c>
      <c r="C67" s="3" t="s">
        <v>345</v>
      </c>
      <c r="D67" s="28">
        <v>12523</v>
      </c>
      <c r="E67" s="3"/>
      <c r="F67" s="3"/>
      <c r="G67" s="3"/>
      <c r="H67" s="3"/>
      <c r="I67" s="3"/>
      <c r="J67" s="3"/>
      <c r="K67" s="3">
        <f t="shared" si="0"/>
        <v>0</v>
      </c>
    </row>
    <row r="68" spans="1:11" x14ac:dyDescent="0.2">
      <c r="A68" s="3" t="s">
        <v>1073</v>
      </c>
      <c r="B68" s="3"/>
      <c r="C68" s="3"/>
      <c r="D68" s="3">
        <f>SUM(D29:D67)</f>
        <v>2712522</v>
      </c>
      <c r="F68" s="3"/>
      <c r="G68" s="3"/>
      <c r="H68" s="3"/>
      <c r="I68" s="3"/>
      <c r="J68" s="3"/>
      <c r="K68" s="3">
        <f t="shared" si="0"/>
        <v>0</v>
      </c>
    </row>
    <row r="69" spans="1:11" x14ac:dyDescent="0.2">
      <c r="A69" s="3"/>
      <c r="B69" s="3"/>
      <c r="C69" s="3"/>
      <c r="D69" s="3"/>
      <c r="E69" s="3"/>
      <c r="F69" s="3"/>
      <c r="G69" s="3"/>
      <c r="H69" s="3"/>
      <c r="I69" s="3"/>
      <c r="J69" s="3"/>
      <c r="K69" s="3">
        <f t="shared" si="0"/>
        <v>0</v>
      </c>
    </row>
    <row r="70" spans="1:11" ht="13.5" x14ac:dyDescent="0.25">
      <c r="A70" s="49" t="s">
        <v>808</v>
      </c>
      <c r="B70" s="3"/>
      <c r="C70" s="3"/>
      <c r="D70" s="3"/>
      <c r="E70" s="3">
        <v>19447</v>
      </c>
      <c r="F70" s="3">
        <v>28694</v>
      </c>
      <c r="G70" s="3">
        <v>29191</v>
      </c>
      <c r="H70" s="3">
        <v>29191</v>
      </c>
      <c r="I70" s="3">
        <v>29191</v>
      </c>
      <c r="J70" s="3">
        <v>29191</v>
      </c>
      <c r="K70" s="3">
        <f t="shared" ref="K70:K133" si="3">+H70-F70</f>
        <v>497</v>
      </c>
    </row>
    <row r="71" spans="1:11" x14ac:dyDescent="0.2">
      <c r="A71" s="3" t="s">
        <v>801</v>
      </c>
      <c r="B71" s="3" t="s">
        <v>345</v>
      </c>
      <c r="C71" s="3" t="s">
        <v>345</v>
      </c>
      <c r="D71" s="3" t="s">
        <v>345</v>
      </c>
      <c r="E71" s="3"/>
      <c r="F71" s="3"/>
      <c r="G71" s="3"/>
      <c r="H71" s="3"/>
      <c r="I71" s="3"/>
      <c r="J71" s="3"/>
      <c r="K71" s="3">
        <f t="shared" si="3"/>
        <v>0</v>
      </c>
    </row>
    <row r="72" spans="1:11" x14ac:dyDescent="0.2">
      <c r="A72" s="3" t="s">
        <v>421</v>
      </c>
      <c r="B72" s="3">
        <v>435</v>
      </c>
      <c r="C72" s="51">
        <f>+SUM(C20:C23)/40*1.5/4</f>
        <v>67.106249999999989</v>
      </c>
      <c r="D72" s="3">
        <f>ROUND(B72*C72,0)</f>
        <v>29191</v>
      </c>
      <c r="E72" s="3"/>
      <c r="F72" s="3"/>
      <c r="G72" s="3"/>
      <c r="H72" s="3"/>
      <c r="I72" s="3"/>
      <c r="J72" s="3"/>
      <c r="K72" s="3">
        <f t="shared" si="3"/>
        <v>0</v>
      </c>
    </row>
    <row r="73" spans="1:11" x14ac:dyDescent="0.2">
      <c r="A73" s="3"/>
      <c r="B73" s="3"/>
      <c r="C73" s="3"/>
      <c r="D73" s="3"/>
      <c r="E73" s="3"/>
      <c r="F73" s="3"/>
      <c r="G73" s="3"/>
      <c r="H73" s="3"/>
      <c r="I73" s="3"/>
      <c r="J73" s="3"/>
      <c r="K73" s="3">
        <f t="shared" si="3"/>
        <v>0</v>
      </c>
    </row>
    <row r="74" spans="1:11" ht="13.5" x14ac:dyDescent="0.25">
      <c r="A74" s="49" t="s">
        <v>888</v>
      </c>
      <c r="B74" s="3"/>
      <c r="C74" s="3"/>
      <c r="D74" s="3"/>
      <c r="E74" s="3">
        <v>24908</v>
      </c>
      <c r="F74" s="3">
        <v>26765</v>
      </c>
      <c r="G74" s="3">
        <v>26780</v>
      </c>
      <c r="H74" s="3">
        <v>26780</v>
      </c>
      <c r="I74" s="3">
        <v>26780</v>
      </c>
      <c r="J74" s="3">
        <v>26780</v>
      </c>
      <c r="K74" s="3">
        <f t="shared" si="3"/>
        <v>15</v>
      </c>
    </row>
    <row r="75" spans="1:11" ht="15" x14ac:dyDescent="0.35">
      <c r="A75" s="3" t="s">
        <v>1500</v>
      </c>
      <c r="B75" s="3">
        <v>52</v>
      </c>
      <c r="C75" s="3">
        <v>515</v>
      </c>
      <c r="D75" s="28">
        <f>ROUND(B75*C75,0)</f>
        <v>26780</v>
      </c>
      <c r="F75" s="3"/>
      <c r="G75" s="3"/>
      <c r="H75" s="3"/>
      <c r="I75" s="3"/>
      <c r="J75" s="3"/>
      <c r="K75" s="3">
        <f t="shared" si="3"/>
        <v>0</v>
      </c>
    </row>
    <row r="76" spans="1:11" x14ac:dyDescent="0.2">
      <c r="A76" s="3" t="s">
        <v>95</v>
      </c>
      <c r="B76" s="3"/>
      <c r="C76" s="3"/>
      <c r="D76" s="3">
        <f>SUM(D75:D75)</f>
        <v>26780</v>
      </c>
      <c r="E76" s="3"/>
      <c r="F76" s="3"/>
      <c r="G76" s="3"/>
      <c r="H76" s="3"/>
      <c r="I76" s="3"/>
      <c r="J76" s="3"/>
      <c r="K76" s="3">
        <f t="shared" si="3"/>
        <v>0</v>
      </c>
    </row>
    <row r="77" spans="1:11" x14ac:dyDescent="0.2">
      <c r="A77" s="3"/>
      <c r="B77" s="3"/>
      <c r="C77" s="3"/>
      <c r="D77" s="3"/>
      <c r="E77" s="3"/>
      <c r="F77" s="3"/>
      <c r="G77" s="3"/>
      <c r="H77" s="3"/>
      <c r="I77" s="3"/>
      <c r="J77" s="3"/>
      <c r="K77" s="3">
        <f t="shared" si="3"/>
        <v>0</v>
      </c>
    </row>
    <row r="78" spans="1:11" ht="13.5" x14ac:dyDescent="0.25">
      <c r="A78" s="49" t="s">
        <v>508</v>
      </c>
      <c r="B78" s="3"/>
      <c r="C78" s="3"/>
      <c r="D78" s="3"/>
      <c r="E78" s="3">
        <v>24750</v>
      </c>
      <c r="F78" s="3">
        <v>33757</v>
      </c>
      <c r="G78" s="3">
        <v>34439</v>
      </c>
      <c r="H78" s="3">
        <v>34439</v>
      </c>
      <c r="I78" s="3">
        <v>34439</v>
      </c>
      <c r="J78" s="3">
        <v>34439</v>
      </c>
      <c r="K78" s="3">
        <f t="shared" si="3"/>
        <v>682</v>
      </c>
    </row>
    <row r="79" spans="1:11" x14ac:dyDescent="0.2">
      <c r="A79" s="3" t="s">
        <v>1677</v>
      </c>
      <c r="B79" s="3">
        <v>571</v>
      </c>
      <c r="C79" s="51">
        <v>17.670000000000002</v>
      </c>
      <c r="D79" s="3">
        <f>ROUND(B79*C79,0)</f>
        <v>10090</v>
      </c>
      <c r="E79" s="3"/>
      <c r="F79" s="3"/>
      <c r="G79" s="3"/>
      <c r="H79" s="3"/>
      <c r="I79" s="3"/>
      <c r="J79" s="3"/>
      <c r="K79" s="3">
        <f t="shared" si="3"/>
        <v>0</v>
      </c>
    </row>
    <row r="80" spans="1:11" ht="15" x14ac:dyDescent="0.35">
      <c r="A80" s="3" t="s">
        <v>1213</v>
      </c>
      <c r="B80" s="3">
        <v>1378</v>
      </c>
      <c r="C80" s="51">
        <v>17.670000000000002</v>
      </c>
      <c r="D80" s="28">
        <f>ROUND(B80*C80,0)</f>
        <v>24349</v>
      </c>
      <c r="E80" s="3"/>
      <c r="F80" s="3"/>
      <c r="G80" s="3"/>
      <c r="H80" s="3"/>
      <c r="I80" s="3"/>
      <c r="J80" s="3"/>
      <c r="K80" s="3">
        <f t="shared" si="3"/>
        <v>0</v>
      </c>
    </row>
    <row r="81" spans="1:11" x14ac:dyDescent="0.2">
      <c r="A81" s="3" t="s">
        <v>1073</v>
      </c>
      <c r="B81" s="3"/>
      <c r="C81" s="3"/>
      <c r="D81" s="3">
        <f>SUM(D79:D80)</f>
        <v>34439</v>
      </c>
      <c r="F81" s="3"/>
      <c r="G81" s="3"/>
      <c r="H81" s="3"/>
      <c r="I81" s="3"/>
      <c r="J81" s="3"/>
      <c r="K81" s="3">
        <f t="shared" si="3"/>
        <v>0</v>
      </c>
    </row>
    <row r="82" spans="1:11" x14ac:dyDescent="0.2">
      <c r="A82" s="3"/>
      <c r="B82" s="3"/>
      <c r="C82" s="3"/>
      <c r="D82" s="3"/>
      <c r="E82" s="3"/>
      <c r="F82" s="3"/>
      <c r="G82" s="3"/>
      <c r="H82" s="3"/>
      <c r="I82" s="3"/>
      <c r="J82" s="3"/>
      <c r="K82" s="3">
        <f t="shared" si="3"/>
        <v>0</v>
      </c>
    </row>
    <row r="83" spans="1:11" ht="13.5" x14ac:dyDescent="0.25">
      <c r="A83" s="49" t="s">
        <v>1214</v>
      </c>
      <c r="B83" s="3"/>
      <c r="C83" s="3"/>
      <c r="D83" s="3"/>
      <c r="E83" s="3">
        <v>269956</v>
      </c>
      <c r="F83" s="3">
        <v>244876</v>
      </c>
      <c r="G83" s="3">
        <v>260718</v>
      </c>
      <c r="H83" s="3">
        <v>250718</v>
      </c>
      <c r="I83" s="3">
        <v>250718</v>
      </c>
      <c r="J83" s="3">
        <v>250718</v>
      </c>
      <c r="K83" s="3">
        <f t="shared" si="3"/>
        <v>5842</v>
      </c>
    </row>
    <row r="84" spans="1:11" x14ac:dyDescent="0.2">
      <c r="A84" s="3" t="s">
        <v>94</v>
      </c>
      <c r="B84" s="3">
        <v>4600</v>
      </c>
      <c r="C84" s="51">
        <f>ROUND(C66*1.5,2)</f>
        <v>52.33</v>
      </c>
      <c r="D84" s="3">
        <f>ROUND(B84*C84,0)</f>
        <v>240718</v>
      </c>
      <c r="E84" s="3"/>
      <c r="F84" s="3"/>
      <c r="G84" s="3"/>
      <c r="H84" s="3"/>
      <c r="I84" s="3"/>
      <c r="J84" s="3"/>
      <c r="K84" s="3">
        <f t="shared" si="3"/>
        <v>0</v>
      </c>
    </row>
    <row r="85" spans="1:11" ht="15" x14ac:dyDescent="0.35">
      <c r="A85" s="3" t="s">
        <v>1744</v>
      </c>
      <c r="B85" s="3"/>
      <c r="C85" s="51"/>
      <c r="D85" s="28">
        <v>10000</v>
      </c>
      <c r="E85" s="3"/>
      <c r="F85" s="3"/>
      <c r="G85" s="3"/>
      <c r="H85" s="3"/>
      <c r="I85" s="3"/>
      <c r="J85" s="3"/>
      <c r="K85" s="3">
        <f t="shared" si="3"/>
        <v>0</v>
      </c>
    </row>
    <row r="86" spans="1:11" x14ac:dyDescent="0.2">
      <c r="A86" s="3"/>
      <c r="B86" s="3"/>
      <c r="C86" s="51"/>
      <c r="D86" s="3">
        <f>SUM(D84:D85)</f>
        <v>250718</v>
      </c>
      <c r="E86" s="3"/>
      <c r="F86" s="3"/>
      <c r="G86" s="3"/>
      <c r="H86" s="3"/>
      <c r="I86" s="3"/>
      <c r="J86" s="3"/>
      <c r="K86" s="3">
        <f t="shared" si="3"/>
        <v>0</v>
      </c>
    </row>
    <row r="87" spans="1:11" x14ac:dyDescent="0.2">
      <c r="A87" s="3" t="s">
        <v>345</v>
      </c>
      <c r="B87" s="3" t="s">
        <v>345</v>
      </c>
      <c r="C87" s="3" t="s">
        <v>345</v>
      </c>
      <c r="D87" s="3" t="s">
        <v>345</v>
      </c>
      <c r="E87" s="3"/>
      <c r="F87" s="3"/>
      <c r="G87" s="3"/>
      <c r="H87" s="3"/>
      <c r="I87" s="3"/>
      <c r="J87" s="3"/>
      <c r="K87" s="3">
        <f t="shared" si="3"/>
        <v>0</v>
      </c>
    </row>
    <row r="88" spans="1:11" ht="13.5" x14ac:dyDescent="0.25">
      <c r="A88" s="49" t="s">
        <v>1215</v>
      </c>
      <c r="B88" s="3"/>
      <c r="C88" s="3"/>
      <c r="D88" s="3"/>
      <c r="E88" s="3">
        <v>71713</v>
      </c>
      <c r="F88" s="3">
        <v>79409</v>
      </c>
      <c r="G88" s="3">
        <v>80831</v>
      </c>
      <c r="H88" s="3">
        <v>80684</v>
      </c>
      <c r="I88" s="3">
        <v>80876</v>
      </c>
      <c r="J88" s="3">
        <v>80876</v>
      </c>
      <c r="K88" s="3">
        <f t="shared" si="3"/>
        <v>1275</v>
      </c>
    </row>
    <row r="89" spans="1:11" hidden="1" x14ac:dyDescent="0.2">
      <c r="A89" s="3" t="s">
        <v>762</v>
      </c>
      <c r="B89" s="3">
        <f>+D12</f>
        <v>180231</v>
      </c>
      <c r="C89" s="62">
        <v>7.6499999999999999E-2</v>
      </c>
      <c r="D89" s="3">
        <f t="shared" ref="D89:D96" si="4">ROUND(B89*C89,0)</f>
        <v>13788</v>
      </c>
      <c r="E89" s="3"/>
      <c r="F89" s="3"/>
      <c r="G89" s="3"/>
      <c r="H89" s="3"/>
      <c r="I89" s="3"/>
      <c r="J89" s="3"/>
      <c r="K89" s="3">
        <f t="shared" si="3"/>
        <v>0</v>
      </c>
    </row>
    <row r="90" spans="1:11" hidden="1" x14ac:dyDescent="0.2">
      <c r="A90" s="3" t="s">
        <v>1271</v>
      </c>
      <c r="B90" s="3">
        <f>+D26</f>
        <v>926593</v>
      </c>
      <c r="C90" s="62">
        <v>1.4500000000000001E-2</v>
      </c>
      <c r="D90" s="3">
        <f t="shared" si="4"/>
        <v>13436</v>
      </c>
      <c r="E90" s="3"/>
      <c r="F90" s="3"/>
      <c r="G90" s="3"/>
      <c r="H90" s="3"/>
      <c r="I90" s="3"/>
      <c r="J90" s="3"/>
      <c r="K90" s="3">
        <f t="shared" si="3"/>
        <v>0</v>
      </c>
    </row>
    <row r="91" spans="1:11" hidden="1" x14ac:dyDescent="0.2">
      <c r="A91" s="3" t="s">
        <v>1253</v>
      </c>
      <c r="B91" s="3">
        <f>+D17</f>
        <v>89960</v>
      </c>
      <c r="C91" s="62">
        <v>6.2E-2</v>
      </c>
      <c r="D91" s="3">
        <f t="shared" si="4"/>
        <v>5578</v>
      </c>
      <c r="E91" s="3"/>
      <c r="F91" s="3"/>
      <c r="G91" s="3"/>
      <c r="H91" s="3"/>
      <c r="I91" s="3"/>
      <c r="J91" s="3"/>
      <c r="K91" s="3">
        <f t="shared" si="3"/>
        <v>0</v>
      </c>
    </row>
    <row r="92" spans="1:11" hidden="1" x14ac:dyDescent="0.2">
      <c r="A92" s="3" t="s">
        <v>688</v>
      </c>
      <c r="B92" s="3">
        <f>+D68</f>
        <v>2712522</v>
      </c>
      <c r="C92" s="62">
        <v>1.4500000000000001E-2</v>
      </c>
      <c r="D92" s="3">
        <f t="shared" si="4"/>
        <v>39332</v>
      </c>
      <c r="E92" s="3"/>
      <c r="F92" s="3"/>
      <c r="G92" s="3"/>
      <c r="H92" s="3"/>
      <c r="I92" s="3"/>
      <c r="J92" s="3"/>
      <c r="K92" s="3">
        <f t="shared" si="3"/>
        <v>0</v>
      </c>
    </row>
    <row r="93" spans="1:11" hidden="1" x14ac:dyDescent="0.2">
      <c r="A93" s="3" t="s">
        <v>763</v>
      </c>
      <c r="B93" s="3">
        <f>+D72</f>
        <v>29191</v>
      </c>
      <c r="C93" s="62">
        <v>1.4500000000000001E-2</v>
      </c>
      <c r="D93" s="3">
        <f t="shared" si="4"/>
        <v>423</v>
      </c>
      <c r="E93" s="3"/>
      <c r="F93" s="3"/>
      <c r="G93" s="3"/>
      <c r="H93" s="3"/>
      <c r="I93" s="3"/>
      <c r="J93" s="3"/>
      <c r="K93" s="3">
        <f t="shared" si="3"/>
        <v>0</v>
      </c>
    </row>
    <row r="94" spans="1:11" hidden="1" x14ac:dyDescent="0.2">
      <c r="A94" s="3" t="s">
        <v>1216</v>
      </c>
      <c r="B94" s="3">
        <f>+D76</f>
        <v>26780</v>
      </c>
      <c r="C94" s="62">
        <v>7.6499999999999999E-2</v>
      </c>
      <c r="D94" s="3">
        <f t="shared" si="4"/>
        <v>2049</v>
      </c>
      <c r="E94" s="3"/>
      <c r="F94" s="3"/>
      <c r="G94" s="3"/>
      <c r="H94" s="3"/>
      <c r="I94" s="3"/>
      <c r="J94" s="3"/>
      <c r="K94" s="3">
        <f t="shared" si="3"/>
        <v>0</v>
      </c>
    </row>
    <row r="95" spans="1:11" hidden="1" x14ac:dyDescent="0.2">
      <c r="A95" s="3" t="s">
        <v>155</v>
      </c>
      <c r="B95" s="3">
        <f>+D81</f>
        <v>34439</v>
      </c>
      <c r="C95" s="62">
        <v>7.6499999999999999E-2</v>
      </c>
      <c r="D95" s="3">
        <f t="shared" si="4"/>
        <v>2635</v>
      </c>
      <c r="E95" s="3"/>
      <c r="F95" s="3"/>
      <c r="G95" s="3"/>
      <c r="H95" s="3"/>
      <c r="I95" s="3"/>
      <c r="J95" s="3"/>
      <c r="K95" s="3">
        <f t="shared" si="3"/>
        <v>0</v>
      </c>
    </row>
    <row r="96" spans="1:11" ht="15" hidden="1" x14ac:dyDescent="0.35">
      <c r="A96" s="3" t="s">
        <v>156</v>
      </c>
      <c r="B96" s="3">
        <f>+D86</f>
        <v>250718</v>
      </c>
      <c r="C96" s="62">
        <v>1.4500000000000001E-2</v>
      </c>
      <c r="D96" s="28">
        <f t="shared" si="4"/>
        <v>3635</v>
      </c>
      <c r="E96" s="3"/>
      <c r="F96" s="3"/>
      <c r="G96" s="3"/>
      <c r="H96" s="3"/>
      <c r="I96" s="3"/>
      <c r="J96" s="3"/>
      <c r="K96" s="3">
        <f t="shared" si="3"/>
        <v>0</v>
      </c>
    </row>
    <row r="97" spans="1:11" hidden="1" x14ac:dyDescent="0.2">
      <c r="A97" s="3" t="s">
        <v>1073</v>
      </c>
      <c r="B97" s="3"/>
      <c r="C97" s="3"/>
      <c r="D97" s="3">
        <f>SUM(D89:D96)</f>
        <v>80876</v>
      </c>
      <c r="E97" s="3"/>
      <c r="F97" s="3"/>
      <c r="G97" s="3"/>
      <c r="H97" s="3"/>
      <c r="I97" s="3"/>
      <c r="J97" s="3"/>
      <c r="K97" s="3">
        <f t="shared" si="3"/>
        <v>0</v>
      </c>
    </row>
    <row r="98" spans="1:11" ht="13.5" x14ac:dyDescent="0.25">
      <c r="A98" s="90"/>
      <c r="B98" s="3"/>
      <c r="C98" s="3"/>
      <c r="D98" s="3"/>
      <c r="E98" s="3"/>
      <c r="F98" s="3"/>
      <c r="G98" s="3"/>
      <c r="H98" s="3"/>
      <c r="I98" s="3"/>
      <c r="J98" s="3"/>
      <c r="K98" s="3">
        <f t="shared" si="3"/>
        <v>0</v>
      </c>
    </row>
    <row r="99" spans="1:11" ht="13.5" x14ac:dyDescent="0.25">
      <c r="A99" s="49" t="s">
        <v>1217</v>
      </c>
      <c r="B99" s="3"/>
      <c r="C99" s="3"/>
      <c r="D99" s="3"/>
      <c r="E99" s="3">
        <v>994094</v>
      </c>
      <c r="F99" s="3">
        <v>1320114</v>
      </c>
      <c r="G99" s="3">
        <v>1340304</v>
      </c>
      <c r="H99" s="3">
        <v>1336910</v>
      </c>
      <c r="I99" s="3">
        <v>1339062</v>
      </c>
      <c r="J99" s="3">
        <v>1339062</v>
      </c>
      <c r="K99" s="3">
        <f t="shared" si="3"/>
        <v>16796</v>
      </c>
    </row>
    <row r="100" spans="1:11" hidden="1" x14ac:dyDescent="0.2">
      <c r="A100" s="3" t="s">
        <v>762</v>
      </c>
      <c r="B100" s="3">
        <f>+D12</f>
        <v>180231</v>
      </c>
      <c r="C100" s="190">
        <v>0.1406</v>
      </c>
      <c r="D100" s="3">
        <f t="shared" ref="D100:D105" si="5">ROUND(B100*C100,0)</f>
        <v>25340</v>
      </c>
      <c r="E100" s="3"/>
      <c r="F100" s="3"/>
      <c r="G100" s="3"/>
      <c r="H100" s="3"/>
      <c r="I100" s="3"/>
      <c r="J100" s="3"/>
      <c r="K100" s="3">
        <f t="shared" si="3"/>
        <v>0</v>
      </c>
    </row>
    <row r="101" spans="1:11" hidden="1" x14ac:dyDescent="0.2">
      <c r="A101" s="3" t="s">
        <v>1271</v>
      </c>
      <c r="B101" s="3">
        <f>+D26-B91</f>
        <v>836633</v>
      </c>
      <c r="C101" s="190">
        <v>0.33879999999999999</v>
      </c>
      <c r="D101" s="3">
        <f t="shared" si="5"/>
        <v>283451</v>
      </c>
      <c r="E101" s="3"/>
      <c r="F101" s="3"/>
      <c r="G101" s="3"/>
      <c r="H101" s="3"/>
      <c r="I101" s="3"/>
      <c r="J101" s="3"/>
      <c r="K101" s="3">
        <f t="shared" si="3"/>
        <v>0</v>
      </c>
    </row>
    <row r="102" spans="1:11" hidden="1" x14ac:dyDescent="0.2">
      <c r="A102" s="3" t="s">
        <v>1253</v>
      </c>
      <c r="B102" s="3">
        <f>+B91</f>
        <v>89960</v>
      </c>
      <c r="C102" s="190">
        <v>0.1406</v>
      </c>
      <c r="D102" s="3">
        <f t="shared" si="5"/>
        <v>12648</v>
      </c>
      <c r="E102" s="3"/>
      <c r="F102" s="3"/>
      <c r="G102" s="3"/>
      <c r="H102" s="3"/>
      <c r="I102" s="3"/>
      <c r="J102" s="3"/>
      <c r="K102" s="3">
        <f t="shared" si="3"/>
        <v>0</v>
      </c>
    </row>
    <row r="103" spans="1:11" hidden="1" x14ac:dyDescent="0.2">
      <c r="A103" s="3" t="s">
        <v>688</v>
      </c>
      <c r="B103" s="3">
        <f>+D68</f>
        <v>2712522</v>
      </c>
      <c r="C103" s="190">
        <v>0.33879999999999999</v>
      </c>
      <c r="D103" s="3">
        <f t="shared" si="5"/>
        <v>919002</v>
      </c>
      <c r="E103" s="3"/>
      <c r="F103" s="3"/>
      <c r="G103" s="3"/>
      <c r="H103" s="3"/>
      <c r="I103" s="3"/>
      <c r="J103" s="3"/>
      <c r="K103" s="3">
        <f t="shared" si="3"/>
        <v>0</v>
      </c>
    </row>
    <row r="104" spans="1:11" hidden="1" x14ac:dyDescent="0.2">
      <c r="A104" s="3" t="s">
        <v>763</v>
      </c>
      <c r="B104" s="3">
        <f>+D72</f>
        <v>29191</v>
      </c>
      <c r="C104" s="190">
        <v>0.33879999999999999</v>
      </c>
      <c r="D104" s="3">
        <f t="shared" si="5"/>
        <v>9890</v>
      </c>
      <c r="E104" s="3"/>
      <c r="F104" s="3"/>
      <c r="G104" s="3"/>
      <c r="H104" s="3"/>
      <c r="I104" s="3"/>
      <c r="J104" s="3"/>
      <c r="K104" s="3">
        <f t="shared" si="3"/>
        <v>0</v>
      </c>
    </row>
    <row r="105" spans="1:11" hidden="1" x14ac:dyDescent="0.2">
      <c r="A105" s="3" t="s">
        <v>1216</v>
      </c>
      <c r="B105" s="3">
        <f>+B94</f>
        <v>26780</v>
      </c>
      <c r="C105" s="190">
        <v>0.1406</v>
      </c>
      <c r="D105" s="3">
        <f t="shared" si="5"/>
        <v>3765</v>
      </c>
      <c r="E105" s="3"/>
      <c r="F105" s="3"/>
      <c r="G105" s="3"/>
      <c r="H105" s="3"/>
      <c r="I105" s="3"/>
      <c r="J105" s="3"/>
      <c r="K105" s="3">
        <f t="shared" si="3"/>
        <v>0</v>
      </c>
    </row>
    <row r="106" spans="1:11" ht="15" hidden="1" x14ac:dyDescent="0.35">
      <c r="A106" s="3" t="s">
        <v>156</v>
      </c>
      <c r="B106" s="3">
        <f>+D86</f>
        <v>250718</v>
      </c>
      <c r="C106" s="190">
        <v>0.33879999999999999</v>
      </c>
      <c r="D106" s="28">
        <f>ROUND(B106*C106,0)+23</f>
        <v>84966</v>
      </c>
      <c r="E106" s="3"/>
      <c r="F106" s="3"/>
      <c r="G106" s="3"/>
      <c r="H106" s="3"/>
      <c r="I106" s="3"/>
      <c r="J106" s="3"/>
      <c r="K106" s="3">
        <f t="shared" si="3"/>
        <v>0</v>
      </c>
    </row>
    <row r="107" spans="1:11" hidden="1" x14ac:dyDescent="0.2">
      <c r="A107" s="3" t="s">
        <v>1073</v>
      </c>
      <c r="B107" s="3"/>
      <c r="C107" s="3"/>
      <c r="D107" s="3">
        <f>SUM(D100:D106)</f>
        <v>1339062</v>
      </c>
      <c r="E107" s="3"/>
      <c r="F107" s="3"/>
      <c r="G107" s="3"/>
      <c r="H107" s="3"/>
      <c r="I107" s="3"/>
      <c r="J107" s="3"/>
      <c r="K107" s="3">
        <f t="shared" si="3"/>
        <v>0</v>
      </c>
    </row>
    <row r="108" spans="1:11" ht="13.5" x14ac:dyDescent="0.25">
      <c r="A108" s="90"/>
      <c r="B108" s="3"/>
      <c r="C108" s="3"/>
      <c r="D108" s="3"/>
      <c r="E108" s="3"/>
      <c r="F108" s="3"/>
      <c r="G108" s="3"/>
      <c r="H108" s="3"/>
      <c r="I108" s="3"/>
      <c r="J108" s="3"/>
      <c r="K108" s="3">
        <f t="shared" si="3"/>
        <v>0</v>
      </c>
    </row>
    <row r="109" spans="1:11" ht="13.5" x14ac:dyDescent="0.25">
      <c r="A109" s="49" t="s">
        <v>316</v>
      </c>
      <c r="B109" s="3"/>
      <c r="C109" s="3"/>
      <c r="D109" s="3"/>
      <c r="E109" s="3">
        <v>870900</v>
      </c>
      <c r="F109" s="3">
        <v>967750</v>
      </c>
      <c r="G109" s="3">
        <v>955500</v>
      </c>
      <c r="H109" s="3">
        <v>955500</v>
      </c>
      <c r="I109" s="3">
        <v>927000</v>
      </c>
      <c r="J109" s="3">
        <v>927000</v>
      </c>
      <c r="K109" s="3">
        <f t="shared" si="3"/>
        <v>-12250</v>
      </c>
    </row>
    <row r="110" spans="1:11" hidden="1" x14ac:dyDescent="0.2">
      <c r="A110" s="3" t="s">
        <v>1516</v>
      </c>
      <c r="B110" s="3">
        <v>36</v>
      </c>
      <c r="C110" s="2">
        <v>19000</v>
      </c>
      <c r="D110" s="3">
        <f>ROUND(B110*C110,0)-4000</f>
        <v>680000</v>
      </c>
      <c r="E110" s="3"/>
      <c r="F110" s="3"/>
      <c r="G110" s="3"/>
      <c r="H110" s="3"/>
      <c r="I110" s="3"/>
      <c r="J110" s="3"/>
      <c r="K110" s="3">
        <f t="shared" si="3"/>
        <v>0</v>
      </c>
    </row>
    <row r="111" spans="1:11" hidden="1" x14ac:dyDescent="0.2">
      <c r="A111" s="3" t="s">
        <v>28</v>
      </c>
      <c r="B111" s="3">
        <v>6</v>
      </c>
      <c r="C111" s="2">
        <v>19000</v>
      </c>
      <c r="D111" s="3">
        <f>ROUND(B111*C111,0)</f>
        <v>114000</v>
      </c>
      <c r="E111" s="3"/>
      <c r="F111" s="3"/>
      <c r="G111" s="3"/>
      <c r="H111" s="3"/>
      <c r="I111" s="3"/>
      <c r="J111" s="3"/>
      <c r="K111" s="3">
        <f t="shared" si="3"/>
        <v>0</v>
      </c>
    </row>
    <row r="112" spans="1:11" hidden="1" x14ac:dyDescent="0.2">
      <c r="A112" s="3" t="s">
        <v>1053</v>
      </c>
      <c r="B112" s="3">
        <v>3</v>
      </c>
      <c r="C112" s="2">
        <v>19000</v>
      </c>
      <c r="D112" s="3">
        <f>ROUND(B112*C112,0)</f>
        <v>57000</v>
      </c>
      <c r="E112" s="3"/>
      <c r="F112" s="3"/>
      <c r="G112" s="3"/>
      <c r="H112" s="3"/>
      <c r="I112" s="3"/>
      <c r="J112" s="3"/>
      <c r="K112" s="3">
        <f t="shared" si="3"/>
        <v>0</v>
      </c>
    </row>
    <row r="113" spans="1:11" hidden="1" x14ac:dyDescent="0.2">
      <c r="A113" s="3" t="s">
        <v>265</v>
      </c>
      <c r="B113" s="3">
        <v>4</v>
      </c>
      <c r="C113" s="2">
        <v>19000</v>
      </c>
      <c r="D113" s="3">
        <f>ROUND(B113*C113,0)</f>
        <v>76000</v>
      </c>
      <c r="E113" s="3"/>
      <c r="F113" s="3"/>
      <c r="G113" s="3"/>
      <c r="H113" s="3"/>
      <c r="I113" s="3"/>
      <c r="J113" s="3"/>
      <c r="K113" s="3">
        <f t="shared" si="3"/>
        <v>0</v>
      </c>
    </row>
    <row r="114" spans="1:11" ht="15" hidden="1" x14ac:dyDescent="0.35">
      <c r="A114" s="3" t="s">
        <v>1517</v>
      </c>
      <c r="B114" s="3" t="s">
        <v>345</v>
      </c>
      <c r="C114" s="3" t="s">
        <v>345</v>
      </c>
      <c r="D114" s="28">
        <v>0</v>
      </c>
      <c r="E114" s="3"/>
      <c r="F114" s="3"/>
      <c r="G114" s="3"/>
      <c r="H114" s="3"/>
      <c r="I114" s="3"/>
      <c r="J114" s="3"/>
      <c r="K114" s="3">
        <f t="shared" si="3"/>
        <v>0</v>
      </c>
    </row>
    <row r="115" spans="1:11" hidden="1" x14ac:dyDescent="0.2">
      <c r="A115" s="3" t="s">
        <v>683</v>
      </c>
      <c r="B115" s="3"/>
      <c r="C115" s="3"/>
      <c r="D115" s="3">
        <f>SUM(D110:D114)</f>
        <v>927000</v>
      </c>
      <c r="E115" s="3"/>
      <c r="F115" s="3"/>
      <c r="G115" s="3"/>
      <c r="H115" s="3"/>
      <c r="I115" s="3"/>
      <c r="J115" s="3"/>
      <c r="K115" s="3">
        <f t="shared" si="3"/>
        <v>0</v>
      </c>
    </row>
    <row r="116" spans="1:11" x14ac:dyDescent="0.2">
      <c r="A116" s="3"/>
      <c r="B116" s="3"/>
      <c r="C116" s="3"/>
      <c r="D116" s="3"/>
      <c r="E116" s="3"/>
      <c r="F116" s="3"/>
      <c r="G116" s="3"/>
      <c r="H116" s="3"/>
      <c r="I116" s="3"/>
      <c r="J116" s="3"/>
      <c r="K116" s="3">
        <f t="shared" si="3"/>
        <v>0</v>
      </c>
    </row>
    <row r="117" spans="1:11" ht="13.5" x14ac:dyDescent="0.25">
      <c r="A117" s="49" t="s">
        <v>592</v>
      </c>
      <c r="B117" s="3"/>
      <c r="C117" s="3"/>
      <c r="D117" s="3"/>
      <c r="E117" s="3">
        <v>53001</v>
      </c>
      <c r="F117" s="3">
        <v>62580</v>
      </c>
      <c r="G117" s="3">
        <v>60638</v>
      </c>
      <c r="H117" s="3">
        <v>60638</v>
      </c>
      <c r="I117" s="3">
        <v>60638</v>
      </c>
      <c r="J117" s="3">
        <v>60638</v>
      </c>
      <c r="K117" s="3">
        <f t="shared" si="3"/>
        <v>-1942</v>
      </c>
    </row>
    <row r="118" spans="1:11" hidden="1" x14ac:dyDescent="0.2">
      <c r="A118" s="3" t="s">
        <v>264</v>
      </c>
      <c r="B118" s="3">
        <v>42</v>
      </c>
      <c r="C118" s="3">
        <v>1375</v>
      </c>
      <c r="D118" s="3">
        <f>ROUND(B118*C118,0)</f>
        <v>57750</v>
      </c>
      <c r="E118" s="3"/>
      <c r="F118" s="3"/>
      <c r="G118" s="3"/>
      <c r="H118" s="3"/>
      <c r="I118" s="3"/>
      <c r="J118" s="3"/>
      <c r="K118" s="3">
        <f t="shared" si="3"/>
        <v>0</v>
      </c>
    </row>
    <row r="119" spans="1:11" hidden="1" x14ac:dyDescent="0.2">
      <c r="A119" s="3" t="s">
        <v>1053</v>
      </c>
      <c r="B119" s="3">
        <v>3</v>
      </c>
      <c r="C119" s="3">
        <v>1375</v>
      </c>
      <c r="D119" s="3">
        <f>ROUND(B119*C119,0)</f>
        <v>4125</v>
      </c>
      <c r="E119" s="3"/>
      <c r="F119" s="3"/>
      <c r="G119" s="3"/>
      <c r="H119" s="3"/>
      <c r="I119" s="3"/>
      <c r="J119" s="3"/>
      <c r="K119" s="3">
        <f t="shared" si="3"/>
        <v>0</v>
      </c>
    </row>
    <row r="120" spans="1:11" hidden="1" x14ac:dyDescent="0.2">
      <c r="A120" s="3" t="s">
        <v>1203</v>
      </c>
      <c r="B120" s="3"/>
      <c r="C120" s="3"/>
      <c r="D120" s="3">
        <f>+C119*-0.1*45</f>
        <v>-6187.5</v>
      </c>
      <c r="E120" s="3"/>
      <c r="F120" s="3"/>
      <c r="G120" s="3"/>
      <c r="H120" s="3"/>
      <c r="I120" s="3"/>
      <c r="J120" s="3"/>
      <c r="K120" s="3">
        <f t="shared" si="3"/>
        <v>0</v>
      </c>
    </row>
    <row r="121" spans="1:11" hidden="1" x14ac:dyDescent="0.2">
      <c r="A121" s="3" t="s">
        <v>265</v>
      </c>
      <c r="B121" s="3">
        <v>4</v>
      </c>
      <c r="C121" s="3">
        <v>1375</v>
      </c>
      <c r="D121" s="3">
        <f>ROUND(B121*C121,0)</f>
        <v>5500</v>
      </c>
      <c r="E121" s="3"/>
      <c r="F121" s="3"/>
      <c r="G121" s="3"/>
      <c r="H121" s="3"/>
      <c r="I121" s="3"/>
      <c r="J121" s="3"/>
      <c r="K121" s="3">
        <f t="shared" si="3"/>
        <v>0</v>
      </c>
    </row>
    <row r="122" spans="1:11" ht="15" hidden="1" x14ac:dyDescent="0.35">
      <c r="A122" s="3" t="s">
        <v>198</v>
      </c>
      <c r="B122" s="3"/>
      <c r="C122" s="3"/>
      <c r="D122" s="28">
        <f>+C121*-0.1*B121</f>
        <v>-550</v>
      </c>
      <c r="E122" s="3"/>
      <c r="F122" s="3"/>
      <c r="G122" s="3"/>
      <c r="H122" s="3"/>
      <c r="I122" s="3"/>
      <c r="J122" s="3"/>
      <c r="K122" s="3">
        <f t="shared" si="3"/>
        <v>0</v>
      </c>
    </row>
    <row r="123" spans="1:11" hidden="1" x14ac:dyDescent="0.2">
      <c r="A123" s="3" t="s">
        <v>683</v>
      </c>
      <c r="B123" s="3"/>
      <c r="C123" s="3"/>
      <c r="D123" s="3">
        <f>SUM(D118:D122)</f>
        <v>60637.5</v>
      </c>
      <c r="F123" s="3"/>
      <c r="G123" s="3"/>
      <c r="H123" s="3"/>
      <c r="I123" s="3"/>
      <c r="J123" s="3"/>
      <c r="K123" s="3">
        <f t="shared" si="3"/>
        <v>0</v>
      </c>
    </row>
    <row r="124" spans="1:11" x14ac:dyDescent="0.2">
      <c r="A124" s="3"/>
      <c r="B124" s="3"/>
      <c r="C124" s="3"/>
      <c r="D124" s="3"/>
      <c r="E124" s="3"/>
      <c r="F124" s="3"/>
      <c r="G124" s="3"/>
      <c r="H124" s="3"/>
      <c r="I124" s="3"/>
      <c r="J124" s="3"/>
      <c r="K124" s="3">
        <f t="shared" si="3"/>
        <v>0</v>
      </c>
    </row>
    <row r="125" spans="1:11" ht="13.5" x14ac:dyDescent="0.25">
      <c r="A125" s="49" t="s">
        <v>593</v>
      </c>
      <c r="B125" s="3"/>
      <c r="C125" s="3"/>
      <c r="D125" s="3"/>
      <c r="E125" s="3">
        <v>3178</v>
      </c>
      <c r="F125" s="3">
        <v>2998</v>
      </c>
      <c r="G125" s="3">
        <v>2998</v>
      </c>
      <c r="H125" s="3">
        <v>2998</v>
      </c>
      <c r="I125" s="3">
        <v>2998</v>
      </c>
      <c r="J125" s="3">
        <v>2998</v>
      </c>
      <c r="K125" s="3">
        <f t="shared" si="3"/>
        <v>0</v>
      </c>
    </row>
    <row r="126" spans="1:11" hidden="1" x14ac:dyDescent="0.2">
      <c r="A126" s="3" t="s">
        <v>194</v>
      </c>
      <c r="B126" s="3">
        <v>4</v>
      </c>
      <c r="C126" s="3">
        <v>135</v>
      </c>
      <c r="D126" s="3">
        <f>ROUND(B126*C126,0)</f>
        <v>540</v>
      </c>
      <c r="E126" s="3"/>
      <c r="F126" s="3"/>
      <c r="G126" s="3"/>
      <c r="H126" s="3"/>
      <c r="I126" s="3"/>
      <c r="J126" s="3"/>
      <c r="K126" s="3">
        <f t="shared" si="3"/>
        <v>0</v>
      </c>
    </row>
    <row r="127" spans="1:11" hidden="1" x14ac:dyDescent="0.2">
      <c r="A127" s="3" t="s">
        <v>1054</v>
      </c>
      <c r="B127" s="3">
        <v>3</v>
      </c>
      <c r="C127" s="3">
        <v>135</v>
      </c>
      <c r="D127" s="3">
        <f>ROUND(B127*C127,0)</f>
        <v>405</v>
      </c>
      <c r="E127" s="3"/>
      <c r="F127" s="3"/>
      <c r="G127" s="3"/>
      <c r="H127" s="3"/>
      <c r="I127" s="3"/>
      <c r="J127" s="3"/>
      <c r="K127" s="3">
        <f t="shared" si="3"/>
        <v>0</v>
      </c>
    </row>
    <row r="128" spans="1:11" hidden="1" x14ac:dyDescent="0.2">
      <c r="A128" s="3" t="s">
        <v>1524</v>
      </c>
      <c r="B128" s="3">
        <v>6</v>
      </c>
      <c r="C128" s="3">
        <v>135</v>
      </c>
      <c r="D128" s="3">
        <f>ROUND(B128*C128,0)</f>
        <v>810</v>
      </c>
      <c r="E128" s="3"/>
      <c r="F128" s="3"/>
      <c r="G128" s="3"/>
      <c r="H128" s="3"/>
      <c r="I128" s="3"/>
      <c r="J128" s="3"/>
      <c r="K128" s="3">
        <f t="shared" si="3"/>
        <v>0</v>
      </c>
    </row>
    <row r="129" spans="1:11" ht="15" hidden="1" x14ac:dyDescent="0.35">
      <c r="A129" s="3" t="s">
        <v>1614</v>
      </c>
      <c r="B129" s="3">
        <v>35.5</v>
      </c>
      <c r="C129" s="3">
        <v>35</v>
      </c>
      <c r="D129" s="28">
        <f>ROUND(B129*C129,0)</f>
        <v>1243</v>
      </c>
      <c r="E129" s="3"/>
      <c r="F129" s="3"/>
      <c r="G129" s="3"/>
      <c r="H129" s="3"/>
      <c r="I129" s="3"/>
      <c r="J129" s="3"/>
      <c r="K129" s="3">
        <f t="shared" si="3"/>
        <v>0</v>
      </c>
    </row>
    <row r="130" spans="1:11" hidden="1" x14ac:dyDescent="0.2">
      <c r="A130" s="3" t="s">
        <v>1073</v>
      </c>
      <c r="B130" s="3"/>
      <c r="C130" s="3"/>
      <c r="D130" s="3">
        <f>SUM(D126:D129)</f>
        <v>2998</v>
      </c>
      <c r="E130" s="3"/>
      <c r="F130" s="3"/>
      <c r="G130" s="3"/>
      <c r="H130" s="3"/>
      <c r="I130" s="3"/>
      <c r="J130" s="3"/>
      <c r="K130" s="3">
        <f t="shared" si="3"/>
        <v>0</v>
      </c>
    </row>
    <row r="131" spans="1:11" x14ac:dyDescent="0.2">
      <c r="A131" s="3"/>
      <c r="B131" s="3"/>
      <c r="C131" s="3"/>
      <c r="D131" s="3"/>
      <c r="E131" s="3"/>
      <c r="F131" s="3"/>
      <c r="G131" s="3"/>
      <c r="H131" s="3"/>
      <c r="I131" s="3"/>
      <c r="J131" s="3"/>
      <c r="K131" s="3">
        <f t="shared" si="3"/>
        <v>0</v>
      </c>
    </row>
    <row r="132" spans="1:11" ht="13.5" x14ac:dyDescent="0.25">
      <c r="A132" s="49" t="s">
        <v>594</v>
      </c>
      <c r="B132" s="3"/>
      <c r="C132" s="3"/>
      <c r="D132" s="3"/>
      <c r="E132" s="3">
        <v>27403</v>
      </c>
      <c r="F132" s="3">
        <v>26950</v>
      </c>
      <c r="G132" s="3">
        <v>25725</v>
      </c>
      <c r="H132" s="3">
        <v>25725</v>
      </c>
      <c r="I132" s="3">
        <v>25725</v>
      </c>
      <c r="J132" s="3">
        <v>25725</v>
      </c>
      <c r="K132" s="3">
        <f t="shared" si="3"/>
        <v>-1225</v>
      </c>
    </row>
    <row r="133" spans="1:11" hidden="1" x14ac:dyDescent="0.2">
      <c r="A133" s="3" t="s">
        <v>194</v>
      </c>
      <c r="B133" s="3">
        <v>4</v>
      </c>
      <c r="C133" s="2">
        <v>525</v>
      </c>
      <c r="D133" s="3">
        <f>ROUND(B133*C133,0)</f>
        <v>2100</v>
      </c>
      <c r="E133" s="3"/>
      <c r="F133" s="3"/>
      <c r="G133" s="3"/>
      <c r="H133" s="3"/>
      <c r="I133" s="3"/>
      <c r="J133" s="3"/>
      <c r="K133" s="3">
        <f t="shared" si="3"/>
        <v>0</v>
      </c>
    </row>
    <row r="134" spans="1:11" hidden="1" x14ac:dyDescent="0.2">
      <c r="A134" s="3" t="s">
        <v>1054</v>
      </c>
      <c r="B134" s="3">
        <v>3</v>
      </c>
      <c r="C134" s="2">
        <v>525</v>
      </c>
      <c r="D134" s="3">
        <f>ROUND(B134*C134,0)</f>
        <v>1575</v>
      </c>
      <c r="E134" s="3"/>
      <c r="F134" s="3"/>
      <c r="G134" s="3"/>
      <c r="H134" s="3"/>
      <c r="I134" s="3"/>
      <c r="J134" s="3"/>
      <c r="K134" s="3">
        <f t="shared" ref="K134:K197" si="6">+H134-F134</f>
        <v>0</v>
      </c>
    </row>
    <row r="135" spans="1:11" ht="15" hidden="1" x14ac:dyDescent="0.35">
      <c r="A135" s="3" t="s">
        <v>1220</v>
      </c>
      <c r="B135" s="3">
        <v>42</v>
      </c>
      <c r="C135" s="2">
        <v>525</v>
      </c>
      <c r="D135" s="28">
        <f>ROUND(B135*C135,0)</f>
        <v>22050</v>
      </c>
      <c r="E135" s="3"/>
      <c r="F135" s="3"/>
      <c r="G135" s="3"/>
      <c r="H135" s="3"/>
      <c r="I135" s="3"/>
      <c r="J135" s="3"/>
      <c r="K135" s="3">
        <f t="shared" si="6"/>
        <v>0</v>
      </c>
    </row>
    <row r="136" spans="1:11" hidden="1" x14ac:dyDescent="0.2">
      <c r="A136" s="3" t="s">
        <v>1073</v>
      </c>
      <c r="B136" s="3"/>
      <c r="C136" s="3"/>
      <c r="D136" s="3">
        <f>SUM(D133:D135)</f>
        <v>25725</v>
      </c>
      <c r="E136" s="3"/>
      <c r="F136" s="3"/>
      <c r="G136" s="3"/>
      <c r="H136" s="3"/>
      <c r="I136" s="3"/>
      <c r="J136" s="3"/>
      <c r="K136" s="3">
        <f t="shared" si="6"/>
        <v>0</v>
      </c>
    </row>
    <row r="137" spans="1:11" x14ac:dyDescent="0.2">
      <c r="A137" s="3"/>
      <c r="B137" s="3"/>
      <c r="C137" s="3"/>
      <c r="D137" s="3"/>
      <c r="E137" s="3"/>
      <c r="F137" s="3"/>
      <c r="G137" s="3"/>
      <c r="H137" s="3"/>
      <c r="I137" s="3"/>
      <c r="J137" s="3"/>
      <c r="K137" s="3">
        <f t="shared" si="6"/>
        <v>0</v>
      </c>
    </row>
    <row r="138" spans="1:11" ht="13.5" x14ac:dyDescent="0.25">
      <c r="A138" s="49" t="s">
        <v>912</v>
      </c>
      <c r="B138" s="3"/>
      <c r="C138" s="3"/>
      <c r="D138" s="3"/>
      <c r="E138" s="3">
        <v>52283</v>
      </c>
      <c r="F138" s="3">
        <v>72137</v>
      </c>
      <c r="G138" s="3">
        <v>72099</v>
      </c>
      <c r="H138" s="3">
        <v>71919</v>
      </c>
      <c r="I138" s="3">
        <v>72026</v>
      </c>
      <c r="J138" s="3">
        <v>72026</v>
      </c>
      <c r="K138" s="3">
        <f t="shared" si="6"/>
        <v>-218</v>
      </c>
    </row>
    <row r="139" spans="1:11" hidden="1" x14ac:dyDescent="0.2">
      <c r="A139" s="3" t="s">
        <v>762</v>
      </c>
      <c r="B139" s="3">
        <f>+D12</f>
        <v>180231</v>
      </c>
      <c r="C139" s="62">
        <v>1.74E-3</v>
      </c>
      <c r="D139" s="3">
        <f t="shared" ref="D139:D146" si="7">ROUND(B139*C139,0)</f>
        <v>314</v>
      </c>
      <c r="E139" s="3"/>
      <c r="F139" s="3"/>
      <c r="G139" s="3"/>
      <c r="H139" s="3"/>
      <c r="I139" s="3"/>
      <c r="J139" s="3"/>
      <c r="K139" s="3">
        <f t="shared" si="6"/>
        <v>0</v>
      </c>
    </row>
    <row r="140" spans="1:11" hidden="1" x14ac:dyDescent="0.2">
      <c r="A140" s="3" t="s">
        <v>1271</v>
      </c>
      <c r="B140" s="3">
        <f>+D26</f>
        <v>926593</v>
      </c>
      <c r="C140" s="62">
        <v>1.7999999999999999E-2</v>
      </c>
      <c r="D140" s="3">
        <f>ROUND(B140*C140,0)</f>
        <v>16679</v>
      </c>
      <c r="E140" s="3"/>
      <c r="F140" s="3"/>
      <c r="G140" s="3"/>
      <c r="H140" s="3"/>
      <c r="I140" s="3"/>
      <c r="J140" s="3"/>
      <c r="K140" s="3">
        <f t="shared" si="6"/>
        <v>0</v>
      </c>
    </row>
    <row r="141" spans="1:11" hidden="1" x14ac:dyDescent="0.2">
      <c r="A141" s="3" t="str">
        <f>+A102</f>
        <v>8103 Prosecutor</v>
      </c>
      <c r="B141" s="3">
        <f>+B102</f>
        <v>89960</v>
      </c>
      <c r="C141" s="62">
        <v>1.74E-3</v>
      </c>
      <c r="D141" s="3">
        <f t="shared" si="7"/>
        <v>157</v>
      </c>
      <c r="E141" s="3"/>
      <c r="F141" s="3"/>
      <c r="G141" s="3"/>
      <c r="H141" s="3"/>
      <c r="I141" s="3"/>
      <c r="J141" s="3"/>
      <c r="K141" s="3">
        <f t="shared" si="6"/>
        <v>0</v>
      </c>
    </row>
    <row r="142" spans="1:11" hidden="1" x14ac:dyDescent="0.2">
      <c r="A142" s="3" t="s">
        <v>688</v>
      </c>
      <c r="B142" s="3">
        <f>+D68</f>
        <v>2712522</v>
      </c>
      <c r="C142" s="62">
        <v>1.7999999999999999E-2</v>
      </c>
      <c r="D142" s="3">
        <f>ROUND(B142*C142,0)-16</f>
        <v>48809</v>
      </c>
      <c r="E142" s="3"/>
      <c r="F142" s="3"/>
      <c r="G142" s="3"/>
      <c r="H142" s="3"/>
      <c r="I142" s="3"/>
      <c r="J142" s="3"/>
      <c r="K142" s="3">
        <f t="shared" si="6"/>
        <v>0</v>
      </c>
    </row>
    <row r="143" spans="1:11" hidden="1" x14ac:dyDescent="0.2">
      <c r="A143" s="100" t="s">
        <v>763</v>
      </c>
      <c r="B143" s="3">
        <f>ROUND(B104,0)</f>
        <v>29191</v>
      </c>
      <c r="C143" s="62">
        <v>1.7999999999999999E-2</v>
      </c>
      <c r="D143" s="3">
        <f t="shared" si="7"/>
        <v>525</v>
      </c>
      <c r="E143" s="3"/>
      <c r="F143" s="3"/>
      <c r="G143" s="3"/>
      <c r="H143" s="3"/>
      <c r="I143" s="3"/>
      <c r="J143" s="3"/>
      <c r="K143" s="3">
        <f t="shared" si="6"/>
        <v>0</v>
      </c>
    </row>
    <row r="144" spans="1:11" hidden="1" x14ac:dyDescent="0.2">
      <c r="A144" s="3" t="s">
        <v>1216</v>
      </c>
      <c r="B144" s="3">
        <f>+B105</f>
        <v>26780</v>
      </c>
      <c r="C144" s="62">
        <v>1.54E-2</v>
      </c>
      <c r="D144" s="3">
        <f t="shared" si="7"/>
        <v>412</v>
      </c>
      <c r="E144" s="3"/>
      <c r="F144" s="3"/>
      <c r="G144" s="3"/>
      <c r="H144" s="3"/>
      <c r="I144" s="3"/>
      <c r="J144" s="3"/>
      <c r="K144" s="3">
        <f t="shared" si="6"/>
        <v>0</v>
      </c>
    </row>
    <row r="145" spans="1:11" hidden="1" x14ac:dyDescent="0.2">
      <c r="A145" s="3" t="s">
        <v>155</v>
      </c>
      <c r="B145" s="3">
        <f>+D81</f>
        <v>34439</v>
      </c>
      <c r="C145" s="62">
        <v>1.7999999999999999E-2</v>
      </c>
      <c r="D145" s="3">
        <f t="shared" si="7"/>
        <v>620</v>
      </c>
      <c r="E145" s="3"/>
      <c r="F145" s="3"/>
      <c r="G145" s="3"/>
      <c r="H145" s="3"/>
      <c r="I145" s="3"/>
      <c r="J145" s="3"/>
      <c r="K145" s="3">
        <f t="shared" si="6"/>
        <v>0</v>
      </c>
    </row>
    <row r="146" spans="1:11" ht="15" hidden="1" x14ac:dyDescent="0.35">
      <c r="A146" s="100" t="s">
        <v>156</v>
      </c>
      <c r="B146" s="3">
        <f>+D86</f>
        <v>250718</v>
      </c>
      <c r="C146" s="62">
        <v>1.7999999999999999E-2</v>
      </c>
      <c r="D146" s="28">
        <f t="shared" si="7"/>
        <v>4513</v>
      </c>
      <c r="E146" s="3"/>
      <c r="F146" s="3"/>
      <c r="G146" s="3"/>
      <c r="H146" s="3"/>
      <c r="I146" s="3"/>
      <c r="J146" s="3"/>
      <c r="K146" s="3">
        <f t="shared" si="6"/>
        <v>0</v>
      </c>
    </row>
    <row r="147" spans="1:11" hidden="1" x14ac:dyDescent="0.2">
      <c r="A147" s="3" t="s">
        <v>1073</v>
      </c>
      <c r="B147" s="3"/>
      <c r="C147" s="3"/>
      <c r="D147" s="3">
        <f>SUM(D139:D146)-3</f>
        <v>72026</v>
      </c>
      <c r="E147" s="3"/>
      <c r="F147" s="3"/>
      <c r="G147" s="3"/>
      <c r="H147" s="3"/>
      <c r="I147" s="3"/>
      <c r="J147" s="3"/>
      <c r="K147" s="3">
        <f t="shared" si="6"/>
        <v>0</v>
      </c>
    </row>
    <row r="148" spans="1:11" x14ac:dyDescent="0.2">
      <c r="A148" s="3"/>
      <c r="B148" s="3"/>
      <c r="C148" s="3"/>
      <c r="D148" s="3"/>
      <c r="E148" s="3"/>
      <c r="F148" s="3"/>
      <c r="G148" s="3"/>
      <c r="H148" s="3"/>
      <c r="I148" s="3"/>
      <c r="J148" s="3"/>
      <c r="K148" s="3">
        <f t="shared" si="6"/>
        <v>0</v>
      </c>
    </row>
    <row r="149" spans="1:11" ht="13.5" x14ac:dyDescent="0.25">
      <c r="A149" s="49" t="s">
        <v>116</v>
      </c>
      <c r="B149" s="3"/>
      <c r="C149" s="3"/>
      <c r="D149" s="3"/>
      <c r="E149" s="3">
        <v>1171</v>
      </c>
      <c r="F149" s="3">
        <v>1065</v>
      </c>
      <c r="G149" s="3">
        <v>1066</v>
      </c>
      <c r="H149" s="3">
        <v>1066</v>
      </c>
      <c r="I149" s="3">
        <v>1066</v>
      </c>
      <c r="J149" s="3">
        <v>1066</v>
      </c>
      <c r="K149" s="3">
        <f t="shared" si="6"/>
        <v>1</v>
      </c>
    </row>
    <row r="150" spans="1:11" hidden="1" x14ac:dyDescent="0.2">
      <c r="A150" s="3" t="s">
        <v>734</v>
      </c>
      <c r="B150" s="3">
        <v>4</v>
      </c>
      <c r="C150" s="3">
        <v>20</v>
      </c>
      <c r="D150" s="3">
        <f>ROUND(B150*C150,0)</f>
        <v>80</v>
      </c>
      <c r="E150" s="3"/>
      <c r="F150" s="3"/>
      <c r="G150" s="3"/>
      <c r="H150" s="3"/>
      <c r="I150" s="3"/>
      <c r="J150" s="3"/>
      <c r="K150" s="3">
        <f t="shared" si="6"/>
        <v>0</v>
      </c>
    </row>
    <row r="151" spans="1:11" hidden="1" x14ac:dyDescent="0.2">
      <c r="A151" s="3" t="s">
        <v>1271</v>
      </c>
      <c r="B151" s="3">
        <v>9</v>
      </c>
      <c r="C151" s="3">
        <v>20</v>
      </c>
      <c r="D151" s="3">
        <f>ROUND(B151*C151,0)</f>
        <v>180</v>
      </c>
      <c r="E151" s="3"/>
      <c r="F151" s="3"/>
      <c r="G151" s="3"/>
      <c r="H151" s="3"/>
      <c r="I151" s="3"/>
      <c r="J151" s="3"/>
      <c r="K151" s="3">
        <f t="shared" si="6"/>
        <v>0</v>
      </c>
    </row>
    <row r="152" spans="1:11" hidden="1" x14ac:dyDescent="0.2">
      <c r="A152" s="3" t="s">
        <v>688</v>
      </c>
      <c r="B152" s="3">
        <v>37</v>
      </c>
      <c r="C152" s="3">
        <v>20</v>
      </c>
      <c r="D152" s="3">
        <f>ROUND(B152*C152,0)</f>
        <v>740</v>
      </c>
      <c r="E152" s="3"/>
      <c r="F152" s="3"/>
      <c r="G152" s="3"/>
      <c r="H152" s="3"/>
      <c r="I152" s="3"/>
      <c r="J152" s="3"/>
      <c r="K152" s="3">
        <f t="shared" si="6"/>
        <v>0</v>
      </c>
    </row>
    <row r="153" spans="1:11" hidden="1" x14ac:dyDescent="0.2">
      <c r="A153" s="3" t="s">
        <v>735</v>
      </c>
      <c r="B153" s="3">
        <v>1</v>
      </c>
      <c r="C153" s="3">
        <v>20</v>
      </c>
      <c r="D153" s="3">
        <f>ROUND(B153*C153,0)</f>
        <v>20</v>
      </c>
      <c r="E153" s="3"/>
      <c r="F153" s="3"/>
      <c r="G153" s="3"/>
      <c r="H153" s="3"/>
      <c r="I153" s="3"/>
      <c r="J153" s="3"/>
      <c r="K153" s="3">
        <f t="shared" si="6"/>
        <v>0</v>
      </c>
    </row>
    <row r="154" spans="1:11" ht="15" hidden="1" x14ac:dyDescent="0.35">
      <c r="A154" s="3" t="s">
        <v>155</v>
      </c>
      <c r="B154" s="3">
        <f>+D81</f>
        <v>34439</v>
      </c>
      <c r="C154" s="101">
        <v>1.4E-3</v>
      </c>
      <c r="D154" s="28">
        <f>ROUND(B154*C154,0)-2</f>
        <v>46</v>
      </c>
      <c r="E154" s="3"/>
      <c r="F154" s="3"/>
      <c r="G154" s="3"/>
      <c r="H154" s="3"/>
      <c r="I154" s="3"/>
      <c r="J154" s="3"/>
      <c r="K154" s="3">
        <f t="shared" si="6"/>
        <v>0</v>
      </c>
    </row>
    <row r="155" spans="1:11" hidden="1" x14ac:dyDescent="0.2">
      <c r="A155" s="3" t="s">
        <v>1073</v>
      </c>
      <c r="B155" s="3"/>
      <c r="C155" s="3"/>
      <c r="D155" s="3">
        <f>SUM(D150:D154)</f>
        <v>1066</v>
      </c>
      <c r="E155" s="3"/>
      <c r="F155" s="3"/>
      <c r="G155" s="3"/>
      <c r="H155" s="3"/>
      <c r="I155" s="3"/>
      <c r="J155" s="3"/>
      <c r="K155" s="3">
        <f t="shared" si="6"/>
        <v>0</v>
      </c>
    </row>
    <row r="156" spans="1:11" ht="13.5" x14ac:dyDescent="0.25">
      <c r="A156" s="90"/>
      <c r="B156" s="3"/>
      <c r="C156" s="3"/>
      <c r="D156" s="3"/>
      <c r="E156" s="3"/>
      <c r="F156" s="3"/>
      <c r="G156" s="3"/>
      <c r="H156" s="3"/>
      <c r="I156" s="3"/>
      <c r="J156" s="3"/>
      <c r="K156" s="3">
        <f t="shared" si="6"/>
        <v>0</v>
      </c>
    </row>
    <row r="157" spans="1:11" ht="13.5" x14ac:dyDescent="0.25">
      <c r="A157" s="90" t="s">
        <v>1966</v>
      </c>
      <c r="B157" s="3"/>
      <c r="C157" s="3"/>
      <c r="D157" s="3"/>
      <c r="E157" s="3"/>
      <c r="F157" s="3">
        <v>0</v>
      </c>
      <c r="G157" s="3"/>
      <c r="H157" s="3"/>
      <c r="I157" s="3"/>
      <c r="J157" s="3"/>
      <c r="K157" s="3">
        <f t="shared" si="6"/>
        <v>0</v>
      </c>
    </row>
    <row r="158" spans="1:11" x14ac:dyDescent="0.2">
      <c r="A158" s="58"/>
      <c r="B158" s="3"/>
      <c r="C158" s="3"/>
      <c r="D158" s="3"/>
      <c r="E158" s="3"/>
      <c r="F158" s="3"/>
      <c r="G158" s="3"/>
      <c r="H158" s="3"/>
      <c r="I158" s="3"/>
      <c r="J158" s="3"/>
      <c r="K158" s="3">
        <f t="shared" si="6"/>
        <v>0</v>
      </c>
    </row>
    <row r="159" spans="1:11" ht="13.5" x14ac:dyDescent="0.25">
      <c r="A159" s="90"/>
      <c r="B159" s="3"/>
      <c r="C159" s="3"/>
      <c r="D159" s="3"/>
      <c r="E159" s="3"/>
      <c r="F159" s="3"/>
      <c r="G159" s="3"/>
      <c r="H159" s="3"/>
      <c r="I159" s="3"/>
      <c r="J159" s="3"/>
      <c r="K159" s="3">
        <f t="shared" si="6"/>
        <v>0</v>
      </c>
    </row>
    <row r="160" spans="1:11" ht="13.5" x14ac:dyDescent="0.25">
      <c r="A160" s="49" t="s">
        <v>736</v>
      </c>
      <c r="B160" s="3"/>
      <c r="C160" s="3"/>
      <c r="D160" s="3"/>
      <c r="E160" s="3">
        <v>5293</v>
      </c>
      <c r="F160" s="3">
        <v>8599</v>
      </c>
      <c r="G160" s="3">
        <v>8599</v>
      </c>
      <c r="H160" s="3">
        <v>8599</v>
      </c>
      <c r="I160" s="3">
        <v>8599</v>
      </c>
      <c r="J160" s="3">
        <v>8599</v>
      </c>
      <c r="K160" s="3">
        <f t="shared" si="6"/>
        <v>0</v>
      </c>
    </row>
    <row r="161" spans="1:11" x14ac:dyDescent="0.2">
      <c r="A161" s="3" t="s">
        <v>737</v>
      </c>
      <c r="B161" s="3"/>
      <c r="C161" s="3"/>
      <c r="D161" s="3">
        <v>4038</v>
      </c>
      <c r="E161" s="3"/>
      <c r="F161" s="3"/>
      <c r="G161" s="3"/>
      <c r="H161" s="3"/>
      <c r="I161" s="3"/>
      <c r="J161" s="3"/>
      <c r="K161" s="3">
        <f t="shared" si="6"/>
        <v>0</v>
      </c>
    </row>
    <row r="162" spans="1:11" x14ac:dyDescent="0.2">
      <c r="A162" s="3" t="s">
        <v>1286</v>
      </c>
      <c r="B162" s="3"/>
      <c r="C162" s="3"/>
      <c r="D162" s="3">
        <v>2161</v>
      </c>
      <c r="E162" s="3"/>
      <c r="F162" s="3"/>
      <c r="G162" s="3"/>
      <c r="H162" s="3"/>
      <c r="I162" s="3"/>
      <c r="J162" s="3"/>
      <c r="K162" s="3">
        <f t="shared" si="6"/>
        <v>0</v>
      </c>
    </row>
    <row r="163" spans="1:11" ht="15" x14ac:dyDescent="0.35">
      <c r="A163" s="3" t="s">
        <v>1287</v>
      </c>
      <c r="B163" s="3"/>
      <c r="C163" s="3"/>
      <c r="D163" s="28">
        <v>2400</v>
      </c>
      <c r="E163" s="3"/>
      <c r="F163" s="3"/>
      <c r="G163" s="3"/>
      <c r="H163" s="3"/>
      <c r="I163" s="3"/>
      <c r="J163" s="3"/>
      <c r="K163" s="3">
        <f t="shared" si="6"/>
        <v>0</v>
      </c>
    </row>
    <row r="164" spans="1:11" x14ac:dyDescent="0.2">
      <c r="A164" s="3" t="s">
        <v>1073</v>
      </c>
      <c r="B164" s="3"/>
      <c r="C164" s="3"/>
      <c r="D164" s="3">
        <f>SUM(D161:D163)</f>
        <v>8599</v>
      </c>
      <c r="F164" s="3"/>
      <c r="G164" s="3"/>
      <c r="H164" s="3"/>
      <c r="I164" s="3"/>
      <c r="J164" s="3"/>
      <c r="K164" s="3">
        <f t="shared" si="6"/>
        <v>0</v>
      </c>
    </row>
    <row r="165" spans="1:11" x14ac:dyDescent="0.2">
      <c r="A165" s="3"/>
      <c r="B165" s="3"/>
      <c r="C165" s="3"/>
      <c r="D165" s="3"/>
      <c r="E165" s="3"/>
      <c r="F165" s="3"/>
      <c r="G165" s="3"/>
      <c r="H165" s="3"/>
      <c r="I165" s="3"/>
      <c r="J165" s="3"/>
      <c r="K165" s="3">
        <f t="shared" si="6"/>
        <v>0</v>
      </c>
    </row>
    <row r="166" spans="1:11" ht="13.5" x14ac:dyDescent="0.25">
      <c r="A166" s="49" t="s">
        <v>1288</v>
      </c>
      <c r="B166" s="3"/>
      <c r="C166" s="3"/>
      <c r="D166" s="3"/>
      <c r="E166" s="3">
        <v>14615</v>
      </c>
      <c r="F166" s="3">
        <v>10232</v>
      </c>
      <c r="G166" s="3">
        <v>30200</v>
      </c>
      <c r="H166" s="3">
        <v>30200</v>
      </c>
      <c r="I166" s="3">
        <v>30200</v>
      </c>
      <c r="J166" s="3">
        <v>30200</v>
      </c>
      <c r="K166" s="3">
        <f t="shared" si="6"/>
        <v>19968</v>
      </c>
    </row>
    <row r="167" spans="1:11" x14ac:dyDescent="0.2">
      <c r="A167" s="3" t="s">
        <v>1289</v>
      </c>
      <c r="B167" s="3" t="s">
        <v>345</v>
      </c>
      <c r="C167" s="3"/>
      <c r="D167" s="3">
        <v>1600</v>
      </c>
      <c r="E167" s="3"/>
      <c r="F167" s="3"/>
      <c r="G167" s="3"/>
      <c r="H167" s="3"/>
      <c r="I167" s="3"/>
      <c r="J167" s="3"/>
      <c r="K167" s="3">
        <f t="shared" si="6"/>
        <v>0</v>
      </c>
    </row>
    <row r="168" spans="1:11" x14ac:dyDescent="0.2">
      <c r="A168" s="3" t="s">
        <v>774</v>
      </c>
      <c r="B168" s="3"/>
      <c r="C168" s="3"/>
      <c r="D168" s="3">
        <v>2100</v>
      </c>
      <c r="E168" s="3"/>
      <c r="F168" s="3"/>
      <c r="G168" s="3"/>
      <c r="H168" s="3"/>
      <c r="I168" s="3"/>
      <c r="J168" s="3"/>
      <c r="K168" s="3">
        <f t="shared" si="6"/>
        <v>0</v>
      </c>
    </row>
    <row r="169" spans="1:11" x14ac:dyDescent="0.2">
      <c r="A169" s="3" t="s">
        <v>775</v>
      </c>
      <c r="B169" s="3"/>
      <c r="C169" s="3"/>
      <c r="D169" s="3">
        <v>1500</v>
      </c>
      <c r="E169" s="3"/>
      <c r="F169" s="3"/>
      <c r="G169" s="3"/>
      <c r="H169" s="3"/>
      <c r="I169" s="3"/>
      <c r="J169" s="3"/>
      <c r="K169" s="3">
        <f t="shared" si="6"/>
        <v>0</v>
      </c>
    </row>
    <row r="170" spans="1:11" x14ac:dyDescent="0.2">
      <c r="A170" s="3" t="s">
        <v>1867</v>
      </c>
      <c r="B170" s="3"/>
      <c r="C170" s="3"/>
      <c r="D170" s="3">
        <v>0</v>
      </c>
      <c r="E170" s="3"/>
      <c r="F170" s="3"/>
      <c r="G170" s="3"/>
      <c r="H170" s="3"/>
      <c r="I170" s="3"/>
      <c r="J170" s="3"/>
      <c r="K170" s="3">
        <f t="shared" si="6"/>
        <v>0</v>
      </c>
    </row>
    <row r="171" spans="1:11" ht="15" x14ac:dyDescent="0.35">
      <c r="A171" s="3" t="s">
        <v>157</v>
      </c>
      <c r="B171" s="3"/>
      <c r="C171" s="3"/>
      <c r="D171" s="28">
        <v>25000</v>
      </c>
      <c r="E171" s="3"/>
      <c r="F171" s="3"/>
      <c r="G171" s="3"/>
      <c r="H171" s="3"/>
      <c r="I171" s="3"/>
      <c r="J171" s="3"/>
      <c r="K171" s="3">
        <f t="shared" si="6"/>
        <v>0</v>
      </c>
    </row>
    <row r="172" spans="1:11" x14ac:dyDescent="0.2">
      <c r="A172" s="3" t="s">
        <v>1073</v>
      </c>
      <c r="B172" s="3"/>
      <c r="C172" s="3"/>
      <c r="D172" s="3">
        <f>SUM(D167:D171)</f>
        <v>30200</v>
      </c>
      <c r="F172" s="3"/>
      <c r="G172" s="3"/>
      <c r="H172" s="3"/>
      <c r="I172" s="3"/>
      <c r="J172" s="3"/>
      <c r="K172" s="3">
        <f t="shared" si="6"/>
        <v>0</v>
      </c>
    </row>
    <row r="173" spans="1:11" x14ac:dyDescent="0.2">
      <c r="A173" s="3"/>
      <c r="B173" s="3"/>
      <c r="C173" s="3"/>
      <c r="D173" s="3"/>
      <c r="E173" s="3"/>
      <c r="F173" s="3"/>
      <c r="G173" s="3"/>
      <c r="H173" s="3"/>
      <c r="I173" s="3"/>
      <c r="J173" s="3"/>
      <c r="K173" s="3">
        <f t="shared" si="6"/>
        <v>0</v>
      </c>
    </row>
    <row r="174" spans="1:11" ht="13.5" x14ac:dyDescent="0.25">
      <c r="A174" s="49" t="s">
        <v>435</v>
      </c>
      <c r="B174" s="3"/>
      <c r="C174" s="3"/>
      <c r="D174" s="3"/>
      <c r="E174" s="3">
        <v>90990</v>
      </c>
      <c r="F174" s="3">
        <v>53450</v>
      </c>
      <c r="G174" s="3">
        <v>53050</v>
      </c>
      <c r="H174" s="3">
        <v>53050</v>
      </c>
      <c r="I174" s="3">
        <v>53050</v>
      </c>
      <c r="J174" s="3">
        <v>53050</v>
      </c>
      <c r="K174" s="3">
        <f t="shared" si="6"/>
        <v>-400</v>
      </c>
    </row>
    <row r="175" spans="1:11" x14ac:dyDescent="0.2">
      <c r="A175" s="3" t="s">
        <v>436</v>
      </c>
      <c r="B175" s="3">
        <v>2</v>
      </c>
      <c r="C175" s="3">
        <v>900</v>
      </c>
      <c r="D175" s="3">
        <f>ROUND(B175*C175,0)</f>
        <v>1800</v>
      </c>
      <c r="E175" s="3"/>
      <c r="F175" s="3"/>
      <c r="G175" s="3"/>
      <c r="H175" s="3"/>
      <c r="I175" s="3"/>
      <c r="J175" s="3"/>
      <c r="K175" s="3">
        <f t="shared" si="6"/>
        <v>0</v>
      </c>
    </row>
    <row r="176" spans="1:11" x14ac:dyDescent="0.2">
      <c r="A176" s="3" t="s">
        <v>1208</v>
      </c>
      <c r="B176" s="3" t="s">
        <v>345</v>
      </c>
      <c r="C176" s="3" t="s">
        <v>345</v>
      </c>
      <c r="D176" s="3" t="s">
        <v>345</v>
      </c>
      <c r="E176" s="3"/>
      <c r="F176" s="3"/>
      <c r="G176" s="3"/>
      <c r="H176" s="3"/>
      <c r="I176" s="3"/>
      <c r="J176" s="3"/>
      <c r="K176" s="3">
        <f t="shared" si="6"/>
        <v>0</v>
      </c>
    </row>
    <row r="177" spans="1:11" x14ac:dyDescent="0.2">
      <c r="A177" s="3" t="s">
        <v>1055</v>
      </c>
      <c r="B177" s="3">
        <v>39</v>
      </c>
      <c r="C177" s="3">
        <v>900</v>
      </c>
      <c r="D177" s="3">
        <f t="shared" ref="D177:D185" si="8">ROUND(B177*C177,0)</f>
        <v>35100</v>
      </c>
      <c r="E177" s="3"/>
      <c r="F177" s="3"/>
      <c r="G177" s="3"/>
      <c r="H177" s="3"/>
      <c r="I177" s="3"/>
      <c r="J177" s="3"/>
      <c r="K177" s="3">
        <f t="shared" si="6"/>
        <v>0</v>
      </c>
    </row>
    <row r="178" spans="1:11" x14ac:dyDescent="0.2">
      <c r="A178" s="3" t="s">
        <v>1056</v>
      </c>
      <c r="B178" s="3">
        <v>13</v>
      </c>
      <c r="C178" s="3">
        <v>100</v>
      </c>
      <c r="D178" s="3">
        <f t="shared" si="8"/>
        <v>1300</v>
      </c>
      <c r="E178" s="3"/>
      <c r="F178" s="3"/>
      <c r="G178" s="3"/>
      <c r="H178" s="3"/>
      <c r="I178" s="3"/>
      <c r="J178" s="3"/>
      <c r="K178" s="3">
        <f t="shared" si="6"/>
        <v>0</v>
      </c>
    </row>
    <row r="179" spans="1:11" x14ac:dyDescent="0.2">
      <c r="A179" s="3" t="s">
        <v>1057</v>
      </c>
      <c r="B179" s="3">
        <v>7</v>
      </c>
      <c r="C179" s="3">
        <v>100</v>
      </c>
      <c r="D179" s="3">
        <f t="shared" si="8"/>
        <v>700</v>
      </c>
      <c r="E179" s="3"/>
      <c r="F179" s="3"/>
      <c r="G179" s="3"/>
      <c r="H179" s="3"/>
      <c r="I179" s="3"/>
      <c r="J179" s="3"/>
      <c r="K179" s="3">
        <f t="shared" si="6"/>
        <v>0</v>
      </c>
    </row>
    <row r="180" spans="1:11" x14ac:dyDescent="0.2">
      <c r="A180" s="3" t="s">
        <v>1058</v>
      </c>
      <c r="B180" s="3">
        <v>1</v>
      </c>
      <c r="C180" s="3">
        <v>100</v>
      </c>
      <c r="D180" s="3">
        <f t="shared" si="8"/>
        <v>100</v>
      </c>
      <c r="E180" s="3"/>
      <c r="F180" s="3"/>
      <c r="G180" s="3"/>
      <c r="H180" s="3"/>
      <c r="I180" s="3"/>
      <c r="J180" s="3"/>
      <c r="K180" s="3">
        <f t="shared" si="6"/>
        <v>0</v>
      </c>
    </row>
    <row r="181" spans="1:11" x14ac:dyDescent="0.2">
      <c r="A181" s="3" t="s">
        <v>437</v>
      </c>
      <c r="B181" s="3">
        <v>6</v>
      </c>
      <c r="C181" s="3">
        <v>900</v>
      </c>
      <c r="D181" s="3">
        <v>4500</v>
      </c>
      <c r="E181" s="3"/>
      <c r="F181" s="3"/>
      <c r="G181" s="3"/>
      <c r="H181" s="3"/>
      <c r="I181" s="3"/>
      <c r="J181" s="3"/>
      <c r="K181" s="3">
        <f t="shared" si="6"/>
        <v>0</v>
      </c>
    </row>
    <row r="182" spans="1:11" x14ac:dyDescent="0.2">
      <c r="A182" s="3" t="s">
        <v>1243</v>
      </c>
      <c r="B182" s="3">
        <v>2</v>
      </c>
      <c r="C182" s="3">
        <v>400</v>
      </c>
      <c r="D182" s="3">
        <f>ROUND(B182*C182,0)</f>
        <v>800</v>
      </c>
      <c r="E182" s="3"/>
      <c r="F182" s="3"/>
      <c r="G182" s="3"/>
      <c r="H182" s="3"/>
      <c r="I182" s="3"/>
      <c r="J182" s="3"/>
      <c r="K182" s="3">
        <f t="shared" si="6"/>
        <v>0</v>
      </c>
    </row>
    <row r="183" spans="1:11" x14ac:dyDescent="0.2">
      <c r="A183" s="3" t="s">
        <v>1593</v>
      </c>
      <c r="B183" s="3">
        <v>1</v>
      </c>
      <c r="C183" s="3">
        <v>350</v>
      </c>
      <c r="D183" s="3">
        <f t="shared" si="8"/>
        <v>350</v>
      </c>
      <c r="E183" s="3"/>
      <c r="F183" s="3"/>
      <c r="G183" s="3"/>
      <c r="H183" s="3"/>
      <c r="I183" s="3"/>
      <c r="J183" s="3"/>
      <c r="K183" s="3">
        <f t="shared" si="6"/>
        <v>0</v>
      </c>
    </row>
    <row r="184" spans="1:11" x14ac:dyDescent="0.2">
      <c r="A184" s="3" t="s">
        <v>1213</v>
      </c>
      <c r="B184" s="3">
        <v>3</v>
      </c>
      <c r="C184" s="3">
        <v>200</v>
      </c>
      <c r="D184" s="3">
        <f t="shared" si="8"/>
        <v>600</v>
      </c>
      <c r="E184" s="3"/>
      <c r="F184" s="3"/>
      <c r="G184" s="3"/>
      <c r="H184" s="3"/>
      <c r="I184" s="3"/>
      <c r="J184" s="3"/>
      <c r="K184" s="3">
        <f t="shared" si="6"/>
        <v>0</v>
      </c>
    </row>
    <row r="185" spans="1:11" ht="15" x14ac:dyDescent="0.35">
      <c r="A185" s="3" t="s">
        <v>693</v>
      </c>
      <c r="B185" s="3">
        <v>39</v>
      </c>
      <c r="C185" s="3">
        <v>200</v>
      </c>
      <c r="D185" s="28">
        <f t="shared" si="8"/>
        <v>7800</v>
      </c>
      <c r="E185" s="3"/>
      <c r="F185" s="3"/>
      <c r="G185" s="3"/>
      <c r="H185" s="3"/>
      <c r="I185" s="3"/>
      <c r="J185" s="3"/>
      <c r="K185" s="3">
        <f t="shared" si="6"/>
        <v>0</v>
      </c>
    </row>
    <row r="186" spans="1:11" x14ac:dyDescent="0.2">
      <c r="A186" s="3" t="s">
        <v>1073</v>
      </c>
      <c r="B186" s="3"/>
      <c r="C186" s="3"/>
      <c r="D186" s="3">
        <f>SUM(D175:D185)</f>
        <v>53050</v>
      </c>
      <c r="F186" s="3"/>
      <c r="G186" s="3"/>
      <c r="H186" s="3"/>
      <c r="I186" s="3"/>
      <c r="J186" s="3"/>
      <c r="K186" s="3">
        <f t="shared" si="6"/>
        <v>0</v>
      </c>
    </row>
    <row r="187" spans="1:11" x14ac:dyDescent="0.2">
      <c r="C187" s="3"/>
      <c r="D187" s="3"/>
      <c r="E187" s="3"/>
      <c r="F187" s="3"/>
      <c r="G187" s="3"/>
      <c r="H187" s="3"/>
      <c r="I187" s="3"/>
      <c r="J187" s="3"/>
      <c r="K187" s="3">
        <f t="shared" si="6"/>
        <v>0</v>
      </c>
    </row>
    <row r="188" spans="1:11" ht="13.5" x14ac:dyDescent="0.25">
      <c r="A188" s="49" t="s">
        <v>694</v>
      </c>
      <c r="C188" s="3"/>
      <c r="D188" s="3"/>
      <c r="E188" s="3">
        <v>2827</v>
      </c>
      <c r="F188" s="3">
        <v>2019</v>
      </c>
      <c r="G188" s="3">
        <v>2019</v>
      </c>
      <c r="H188" s="3">
        <v>2019</v>
      </c>
      <c r="I188" s="3">
        <v>2019</v>
      </c>
      <c r="J188" s="3">
        <v>2019</v>
      </c>
      <c r="K188" s="3">
        <f t="shared" si="6"/>
        <v>0</v>
      </c>
    </row>
    <row r="189" spans="1:11" x14ac:dyDescent="0.2">
      <c r="A189" s="48" t="s">
        <v>695</v>
      </c>
      <c r="C189" s="3"/>
      <c r="D189" s="3">
        <v>2019</v>
      </c>
      <c r="F189" s="3"/>
      <c r="G189" s="3"/>
      <c r="H189" s="3"/>
      <c r="I189" s="3"/>
      <c r="J189" s="3"/>
      <c r="K189" s="3">
        <f t="shared" si="6"/>
        <v>0</v>
      </c>
    </row>
    <row r="190" spans="1:11" x14ac:dyDescent="0.2">
      <c r="C190" s="3"/>
      <c r="D190" s="3"/>
      <c r="E190" s="3"/>
      <c r="F190" s="3"/>
      <c r="G190" s="3"/>
      <c r="H190" s="3"/>
      <c r="I190" s="3"/>
      <c r="J190" s="3"/>
      <c r="K190" s="3">
        <f t="shared" si="6"/>
        <v>0</v>
      </c>
    </row>
    <row r="191" spans="1:11" ht="13.5" x14ac:dyDescent="0.25">
      <c r="A191" s="49" t="s">
        <v>611</v>
      </c>
      <c r="C191" s="3"/>
      <c r="D191" s="3"/>
      <c r="E191" s="3">
        <v>1062</v>
      </c>
      <c r="F191" s="3">
        <v>1000</v>
      </c>
      <c r="G191" s="3">
        <v>1100</v>
      </c>
      <c r="H191" s="3">
        <v>1100</v>
      </c>
      <c r="I191" s="3">
        <v>1100</v>
      </c>
      <c r="J191" s="3">
        <v>1100</v>
      </c>
      <c r="K191" s="3">
        <f t="shared" si="6"/>
        <v>100</v>
      </c>
    </row>
    <row r="192" spans="1:11" x14ac:dyDescent="0.2">
      <c r="A192" s="48" t="s">
        <v>279</v>
      </c>
      <c r="B192" s="3" t="s">
        <v>345</v>
      </c>
      <c r="C192" s="3"/>
      <c r="D192" s="3">
        <v>1100</v>
      </c>
      <c r="F192" s="3"/>
      <c r="G192" s="3"/>
      <c r="H192" s="3"/>
      <c r="I192" s="3"/>
      <c r="J192" s="3"/>
      <c r="K192" s="3">
        <f t="shared" si="6"/>
        <v>0</v>
      </c>
    </row>
    <row r="193" spans="1:11" x14ac:dyDescent="0.2">
      <c r="C193" s="3"/>
      <c r="D193" s="3"/>
      <c r="E193" s="3"/>
      <c r="F193" s="3"/>
      <c r="G193" s="3"/>
      <c r="H193" s="3"/>
      <c r="I193" s="3"/>
      <c r="J193" s="3"/>
      <c r="K193" s="3">
        <f t="shared" si="6"/>
        <v>0</v>
      </c>
    </row>
    <row r="194" spans="1:11" ht="13.5" x14ac:dyDescent="0.25">
      <c r="A194" s="49" t="s">
        <v>1294</v>
      </c>
      <c r="C194" s="3"/>
      <c r="D194" s="3"/>
      <c r="E194" s="3">
        <v>22450</v>
      </c>
      <c r="F194" s="3">
        <v>23850</v>
      </c>
      <c r="G194" s="3">
        <v>23900</v>
      </c>
      <c r="H194" s="3">
        <v>23900</v>
      </c>
      <c r="I194" s="3">
        <v>23900</v>
      </c>
      <c r="J194" s="3">
        <v>23900</v>
      </c>
      <c r="K194" s="3">
        <f t="shared" si="6"/>
        <v>50</v>
      </c>
    </row>
    <row r="195" spans="1:11" x14ac:dyDescent="0.2">
      <c r="A195" s="48" t="s">
        <v>1557</v>
      </c>
      <c r="C195" s="3"/>
      <c r="D195" s="3">
        <v>2500</v>
      </c>
      <c r="E195" s="3"/>
      <c r="F195" s="3"/>
      <c r="G195" s="3"/>
      <c r="H195" s="3"/>
      <c r="I195" s="3"/>
      <c r="J195" s="3"/>
      <c r="K195" s="3">
        <f t="shared" si="6"/>
        <v>0</v>
      </c>
    </row>
    <row r="196" spans="1:11" ht="15" x14ac:dyDescent="0.35">
      <c r="A196" s="48" t="s">
        <v>743</v>
      </c>
      <c r="C196" s="3"/>
      <c r="D196" s="28">
        <v>21400</v>
      </c>
      <c r="E196" s="3"/>
      <c r="F196" s="3"/>
      <c r="G196" s="3"/>
      <c r="H196" s="3"/>
      <c r="I196" s="3"/>
      <c r="J196" s="3"/>
      <c r="K196" s="3">
        <f t="shared" si="6"/>
        <v>0</v>
      </c>
    </row>
    <row r="197" spans="1:11" x14ac:dyDescent="0.2">
      <c r="A197" s="48" t="s">
        <v>1073</v>
      </c>
      <c r="C197" s="3"/>
      <c r="D197" s="3">
        <f>SUM(D195:D196)</f>
        <v>23900</v>
      </c>
      <c r="E197" s="3"/>
      <c r="F197" s="3"/>
      <c r="G197" s="3"/>
      <c r="H197" s="3"/>
      <c r="I197" s="3"/>
      <c r="J197" s="3"/>
      <c r="K197" s="3">
        <f t="shared" si="6"/>
        <v>0</v>
      </c>
    </row>
    <row r="198" spans="1:11" x14ac:dyDescent="0.2">
      <c r="C198" s="3"/>
      <c r="D198" s="3"/>
      <c r="E198" s="3"/>
      <c r="F198" s="3"/>
      <c r="G198" s="3"/>
      <c r="H198" s="3"/>
      <c r="I198" s="3"/>
      <c r="J198" s="3"/>
      <c r="K198" s="3">
        <f t="shared" ref="K198:K261" si="9">+H198-F198</f>
        <v>0</v>
      </c>
    </row>
    <row r="199" spans="1:11" ht="13.5" x14ac:dyDescent="0.25">
      <c r="A199" s="49" t="s">
        <v>332</v>
      </c>
      <c r="C199" s="3"/>
      <c r="D199" s="3"/>
      <c r="E199" s="3">
        <v>5157</v>
      </c>
      <c r="F199" s="3">
        <v>5250</v>
      </c>
      <c r="G199" s="3">
        <v>5400</v>
      </c>
      <c r="H199" s="3">
        <v>5400</v>
      </c>
      <c r="I199" s="3">
        <v>5400</v>
      </c>
      <c r="J199" s="3">
        <v>5400</v>
      </c>
      <c r="K199" s="3">
        <f t="shared" si="9"/>
        <v>150</v>
      </c>
    </row>
    <row r="200" spans="1:11" x14ac:dyDescent="0.2">
      <c r="A200" s="48" t="s">
        <v>743</v>
      </c>
      <c r="C200" s="3"/>
      <c r="D200" s="3">
        <v>5400</v>
      </c>
      <c r="F200" s="3"/>
      <c r="G200" s="3"/>
      <c r="H200" s="3"/>
      <c r="I200" s="3"/>
      <c r="J200" s="3"/>
      <c r="K200" s="3">
        <f t="shared" si="9"/>
        <v>0</v>
      </c>
    </row>
    <row r="201" spans="1:11" x14ac:dyDescent="0.2">
      <c r="D201" s="3"/>
      <c r="E201" s="3"/>
      <c r="F201" s="3"/>
      <c r="G201" s="3"/>
      <c r="H201" s="3"/>
      <c r="I201" s="3"/>
      <c r="J201" s="3"/>
      <c r="K201" s="3">
        <f t="shared" si="9"/>
        <v>0</v>
      </c>
    </row>
    <row r="202" spans="1:11" ht="13.5" x14ac:dyDescent="0.25">
      <c r="A202" s="49" t="s">
        <v>1295</v>
      </c>
      <c r="D202" s="3"/>
      <c r="E202" s="3">
        <v>1185</v>
      </c>
      <c r="F202" s="3">
        <v>1500</v>
      </c>
      <c r="G202" s="3">
        <v>1400</v>
      </c>
      <c r="H202" s="3">
        <v>1400</v>
      </c>
      <c r="I202" s="3">
        <v>1400</v>
      </c>
      <c r="J202" s="3">
        <v>1400</v>
      </c>
      <c r="K202" s="3">
        <f t="shared" si="9"/>
        <v>-100</v>
      </c>
    </row>
    <row r="203" spans="1:11" x14ac:dyDescent="0.2">
      <c r="A203" s="48" t="s">
        <v>743</v>
      </c>
      <c r="C203" s="3"/>
      <c r="D203" s="3">
        <v>1400</v>
      </c>
      <c r="F203" s="3"/>
      <c r="G203" s="3"/>
      <c r="H203" s="3"/>
      <c r="I203" s="3"/>
      <c r="J203" s="3"/>
      <c r="K203" s="3">
        <f t="shared" si="9"/>
        <v>0</v>
      </c>
    </row>
    <row r="204" spans="1:11" x14ac:dyDescent="0.2">
      <c r="C204" s="3"/>
      <c r="D204" s="3"/>
      <c r="E204" s="3"/>
      <c r="F204" s="3"/>
      <c r="G204" s="3"/>
      <c r="H204" s="3"/>
      <c r="I204" s="3"/>
      <c r="J204" s="3"/>
      <c r="K204" s="3">
        <f t="shared" si="9"/>
        <v>0</v>
      </c>
    </row>
    <row r="205" spans="1:11" ht="13.5" x14ac:dyDescent="0.25">
      <c r="A205" s="49" t="s">
        <v>1296</v>
      </c>
      <c r="C205" s="3"/>
      <c r="D205" s="3"/>
      <c r="E205" s="3">
        <v>271</v>
      </c>
      <c r="F205" s="3">
        <v>304</v>
      </c>
      <c r="G205" s="3">
        <v>304</v>
      </c>
      <c r="H205" s="3">
        <v>304</v>
      </c>
      <c r="I205" s="3">
        <v>304</v>
      </c>
      <c r="J205" s="3">
        <v>304</v>
      </c>
      <c r="K205" s="3">
        <f t="shared" si="9"/>
        <v>0</v>
      </c>
    </row>
    <row r="206" spans="1:11" x14ac:dyDescent="0.2">
      <c r="A206" s="48" t="s">
        <v>743</v>
      </c>
      <c r="C206" s="3"/>
      <c r="D206" s="3">
        <v>304</v>
      </c>
      <c r="F206" s="3"/>
      <c r="G206" s="3"/>
      <c r="H206" s="3"/>
      <c r="I206" s="3"/>
      <c r="J206" s="3"/>
      <c r="K206" s="3">
        <f t="shared" si="9"/>
        <v>0</v>
      </c>
    </row>
    <row r="207" spans="1:11" x14ac:dyDescent="0.2">
      <c r="C207" s="3"/>
      <c r="D207" s="3"/>
      <c r="E207" s="3"/>
      <c r="F207" s="3"/>
      <c r="G207" s="3"/>
      <c r="H207" s="3"/>
      <c r="I207" s="3"/>
      <c r="J207" s="3"/>
      <c r="K207" s="3">
        <f t="shared" si="9"/>
        <v>0</v>
      </c>
    </row>
    <row r="208" spans="1:11" x14ac:dyDescent="0.2">
      <c r="C208" s="3"/>
      <c r="D208" s="3"/>
      <c r="E208" s="3"/>
      <c r="F208" s="3"/>
      <c r="G208" s="3"/>
      <c r="H208" s="3"/>
      <c r="I208" s="3"/>
      <c r="J208" s="3"/>
      <c r="K208" s="3">
        <f t="shared" si="9"/>
        <v>0</v>
      </c>
    </row>
    <row r="209" spans="1:11" ht="13.5" x14ac:dyDescent="0.25">
      <c r="A209" s="49" t="s">
        <v>839</v>
      </c>
      <c r="C209" s="3"/>
      <c r="D209" s="3"/>
      <c r="E209" s="3">
        <v>52334</v>
      </c>
      <c r="F209" s="3">
        <v>65250</v>
      </c>
      <c r="G209" s="3">
        <v>84075</v>
      </c>
      <c r="H209" s="3">
        <v>84075</v>
      </c>
      <c r="I209" s="3">
        <v>84075</v>
      </c>
      <c r="J209" s="3">
        <v>84075</v>
      </c>
      <c r="K209" s="3">
        <f t="shared" si="9"/>
        <v>18825</v>
      </c>
    </row>
    <row r="210" spans="1:11" x14ac:dyDescent="0.2">
      <c r="A210" s="48" t="s">
        <v>1107</v>
      </c>
      <c r="B210" s="3">
        <v>29500</v>
      </c>
      <c r="C210" s="11">
        <v>2.85</v>
      </c>
      <c r="D210" s="3">
        <f>ROUND(B210*C210,0)</f>
        <v>84075</v>
      </c>
      <c r="F210" s="3"/>
      <c r="G210" s="3"/>
      <c r="H210" s="3"/>
      <c r="I210" s="3"/>
      <c r="J210" s="3"/>
      <c r="K210" s="3">
        <f t="shared" si="9"/>
        <v>0</v>
      </c>
    </row>
    <row r="211" spans="1:11" x14ac:dyDescent="0.2">
      <c r="B211" s="3"/>
      <c r="C211" s="3"/>
      <c r="D211" s="3"/>
      <c r="E211" s="3"/>
      <c r="F211" s="3"/>
      <c r="G211" s="3"/>
      <c r="H211" s="3"/>
      <c r="I211" s="3"/>
      <c r="J211" s="3"/>
      <c r="K211" s="3">
        <f t="shared" si="9"/>
        <v>0</v>
      </c>
    </row>
    <row r="212" spans="1:11" ht="13.5" x14ac:dyDescent="0.25">
      <c r="A212" s="49" t="s">
        <v>840</v>
      </c>
      <c r="C212" s="59" t="s">
        <v>345</v>
      </c>
      <c r="D212" s="59" t="s">
        <v>345</v>
      </c>
      <c r="E212" s="3">
        <v>8028</v>
      </c>
      <c r="F212" s="3">
        <v>10100</v>
      </c>
      <c r="G212" s="3">
        <v>10100</v>
      </c>
      <c r="H212" s="3">
        <v>10100</v>
      </c>
      <c r="I212" s="3">
        <v>10100</v>
      </c>
      <c r="J212" s="3">
        <v>10100</v>
      </c>
      <c r="K212" s="3">
        <f t="shared" si="9"/>
        <v>0</v>
      </c>
    </row>
    <row r="213" spans="1:11" x14ac:dyDescent="0.2">
      <c r="A213" s="48" t="s">
        <v>305</v>
      </c>
      <c r="B213" s="3" t="s">
        <v>345</v>
      </c>
      <c r="C213" s="3"/>
      <c r="D213" s="3">
        <v>1200</v>
      </c>
      <c r="E213" s="3"/>
      <c r="F213" s="3"/>
      <c r="G213" s="3"/>
      <c r="H213" s="3"/>
      <c r="I213" s="3"/>
      <c r="J213" s="3"/>
      <c r="K213" s="3">
        <f t="shared" si="9"/>
        <v>0</v>
      </c>
    </row>
    <row r="214" spans="1:11" x14ac:dyDescent="0.2">
      <c r="A214" s="48" t="s">
        <v>422</v>
      </c>
      <c r="C214" s="3"/>
      <c r="D214" s="3">
        <v>250</v>
      </c>
      <c r="E214" s="3"/>
      <c r="F214" s="3"/>
      <c r="G214" s="3"/>
      <c r="H214" s="3"/>
      <c r="I214" s="3"/>
      <c r="J214" s="3"/>
      <c r="K214" s="3">
        <f t="shared" si="9"/>
        <v>0</v>
      </c>
    </row>
    <row r="215" spans="1:11" x14ac:dyDescent="0.2">
      <c r="A215" s="48" t="s">
        <v>681</v>
      </c>
      <c r="C215" s="3"/>
      <c r="D215" s="3">
        <v>100</v>
      </c>
      <c r="E215" s="3"/>
      <c r="F215" s="3"/>
      <c r="G215" s="3"/>
      <c r="H215" s="3"/>
      <c r="I215" s="3"/>
      <c r="J215" s="3"/>
      <c r="K215" s="3">
        <f t="shared" si="9"/>
        <v>0</v>
      </c>
    </row>
    <row r="216" spans="1:11" x14ac:dyDescent="0.2">
      <c r="A216" s="48" t="s">
        <v>29</v>
      </c>
      <c r="C216" s="3"/>
      <c r="D216" s="3">
        <v>3300</v>
      </c>
      <c r="E216" s="3"/>
      <c r="F216" s="3"/>
      <c r="G216" s="3"/>
      <c r="H216" s="3"/>
      <c r="I216" s="3"/>
      <c r="J216" s="3"/>
      <c r="K216" s="3">
        <f t="shared" si="9"/>
        <v>0</v>
      </c>
    </row>
    <row r="217" spans="1:11" x14ac:dyDescent="0.2">
      <c r="A217" s="48" t="s">
        <v>1369</v>
      </c>
      <c r="C217" s="3"/>
      <c r="D217" s="3">
        <v>450</v>
      </c>
      <c r="E217" s="3"/>
      <c r="F217" s="3"/>
      <c r="G217" s="3"/>
      <c r="H217" s="3"/>
      <c r="I217" s="3"/>
      <c r="J217" s="3"/>
      <c r="K217" s="3">
        <f t="shared" si="9"/>
        <v>0</v>
      </c>
    </row>
    <row r="218" spans="1:11" ht="15" x14ac:dyDescent="0.35">
      <c r="A218" s="48" t="s">
        <v>1311</v>
      </c>
      <c r="C218" s="28"/>
      <c r="D218" s="3">
        <v>100</v>
      </c>
      <c r="E218" s="3"/>
      <c r="F218" s="3"/>
      <c r="G218" s="3"/>
      <c r="H218" s="3"/>
      <c r="I218" s="3"/>
      <c r="J218" s="3"/>
      <c r="K218" s="3">
        <f t="shared" si="9"/>
        <v>0</v>
      </c>
    </row>
    <row r="219" spans="1:11" ht="15" x14ac:dyDescent="0.35">
      <c r="A219" s="48" t="s">
        <v>1868</v>
      </c>
      <c r="C219" s="28"/>
      <c r="D219" s="3">
        <v>2300</v>
      </c>
      <c r="E219" s="3"/>
      <c r="F219" s="3"/>
      <c r="G219" s="3"/>
      <c r="H219" s="3"/>
      <c r="I219" s="3"/>
      <c r="J219" s="3"/>
      <c r="K219" s="3">
        <f t="shared" si="9"/>
        <v>0</v>
      </c>
    </row>
    <row r="220" spans="1:11" ht="15" x14ac:dyDescent="0.35">
      <c r="A220" s="48" t="s">
        <v>1869</v>
      </c>
      <c r="C220" s="28"/>
      <c r="D220" s="3">
        <v>300</v>
      </c>
      <c r="E220" s="3"/>
      <c r="F220" s="3"/>
      <c r="G220" s="3"/>
      <c r="H220" s="3"/>
      <c r="I220" s="3"/>
      <c r="J220" s="3"/>
      <c r="K220" s="3">
        <f t="shared" si="9"/>
        <v>0</v>
      </c>
    </row>
    <row r="221" spans="1:11" ht="15" x14ac:dyDescent="0.35">
      <c r="A221" s="48" t="s">
        <v>1726</v>
      </c>
      <c r="C221" s="28"/>
      <c r="D221" s="3">
        <v>1500</v>
      </c>
      <c r="E221" s="3"/>
      <c r="F221" s="3"/>
      <c r="G221" s="3"/>
      <c r="H221" s="3"/>
      <c r="I221" s="3"/>
      <c r="J221" s="3"/>
      <c r="K221" s="3">
        <f t="shared" si="9"/>
        <v>0</v>
      </c>
    </row>
    <row r="222" spans="1:11" ht="27.75" x14ac:dyDescent="0.35">
      <c r="A222" s="104" t="s">
        <v>1673</v>
      </c>
      <c r="C222" s="28"/>
      <c r="D222" s="28">
        <v>600</v>
      </c>
      <c r="E222" s="3"/>
      <c r="F222" s="3"/>
      <c r="G222" s="3"/>
      <c r="H222" s="3"/>
      <c r="I222" s="3"/>
      <c r="J222" s="3"/>
      <c r="K222" s="3">
        <f t="shared" si="9"/>
        <v>0</v>
      </c>
    </row>
    <row r="223" spans="1:11" x14ac:dyDescent="0.2">
      <c r="A223" s="48" t="s">
        <v>1073</v>
      </c>
      <c r="C223" s="3"/>
      <c r="D223" s="3">
        <f>SUM(D213:D222)</f>
        <v>10100</v>
      </c>
      <c r="F223" s="3"/>
      <c r="G223" s="3"/>
      <c r="H223" s="3"/>
      <c r="I223" s="3"/>
      <c r="J223" s="3"/>
      <c r="K223" s="3">
        <f t="shared" si="9"/>
        <v>0</v>
      </c>
    </row>
    <row r="224" spans="1:11" x14ac:dyDescent="0.2">
      <c r="C224" s="3"/>
      <c r="D224" s="3"/>
      <c r="F224" s="3"/>
      <c r="G224" s="3"/>
      <c r="H224" s="3"/>
      <c r="I224" s="3"/>
      <c r="J224" s="3"/>
      <c r="K224" s="3">
        <f t="shared" si="9"/>
        <v>0</v>
      </c>
    </row>
    <row r="225" spans="1:11" x14ac:dyDescent="0.2">
      <c r="C225" s="3"/>
      <c r="D225" s="3"/>
      <c r="F225" s="3"/>
      <c r="G225" s="3"/>
      <c r="H225" s="3"/>
      <c r="I225" s="3"/>
      <c r="J225" s="3"/>
      <c r="K225" s="3">
        <f t="shared" si="9"/>
        <v>0</v>
      </c>
    </row>
    <row r="226" spans="1:11" ht="13.5" x14ac:dyDescent="0.25">
      <c r="A226" s="89" t="s">
        <v>715</v>
      </c>
      <c r="C226" s="59"/>
      <c r="D226" s="59" t="s">
        <v>345</v>
      </c>
      <c r="E226" s="3">
        <v>53734</v>
      </c>
      <c r="F226" s="3">
        <v>60932</v>
      </c>
      <c r="G226" s="3">
        <v>65372</v>
      </c>
      <c r="H226" s="3">
        <v>65372</v>
      </c>
      <c r="I226" s="3">
        <v>65372</v>
      </c>
      <c r="J226" s="3">
        <v>65372</v>
      </c>
      <c r="K226" s="3">
        <f t="shared" si="9"/>
        <v>4440</v>
      </c>
    </row>
    <row r="227" spans="1:11" x14ac:dyDescent="0.2">
      <c r="A227" s="48" t="s">
        <v>906</v>
      </c>
      <c r="C227" s="3"/>
      <c r="D227" s="3">
        <v>65372</v>
      </c>
      <c r="F227" s="3"/>
      <c r="G227" s="3"/>
      <c r="H227" s="3"/>
      <c r="I227" s="3"/>
      <c r="J227" s="3"/>
      <c r="K227" s="3">
        <f t="shared" si="9"/>
        <v>0</v>
      </c>
    </row>
    <row r="228" spans="1:11" x14ac:dyDescent="0.2">
      <c r="C228" s="3"/>
      <c r="D228" s="3"/>
      <c r="E228" s="3"/>
      <c r="F228" s="3"/>
      <c r="G228" s="3"/>
      <c r="H228" s="3"/>
      <c r="I228" s="3"/>
      <c r="J228" s="3"/>
      <c r="K228" s="3">
        <f t="shared" si="9"/>
        <v>0</v>
      </c>
    </row>
    <row r="229" spans="1:11" ht="13.5" x14ac:dyDescent="0.25">
      <c r="A229" s="49" t="s">
        <v>716</v>
      </c>
      <c r="C229" s="59"/>
      <c r="D229" s="59" t="s">
        <v>345</v>
      </c>
      <c r="E229" s="3">
        <v>2297</v>
      </c>
      <c r="F229" s="3">
        <v>10350</v>
      </c>
      <c r="G229" s="3">
        <v>12350</v>
      </c>
      <c r="H229" s="3">
        <v>12350</v>
      </c>
      <c r="I229" s="3">
        <v>12350</v>
      </c>
      <c r="J229" s="3">
        <v>12350</v>
      </c>
      <c r="K229" s="3">
        <f t="shared" si="9"/>
        <v>2000</v>
      </c>
    </row>
    <row r="230" spans="1:11" x14ac:dyDescent="0.2">
      <c r="A230" s="48" t="s">
        <v>717</v>
      </c>
      <c r="C230" s="3"/>
      <c r="D230" s="3">
        <v>12000</v>
      </c>
      <c r="E230" s="3"/>
      <c r="F230" s="3"/>
      <c r="G230" s="3"/>
      <c r="H230" s="3"/>
      <c r="I230" s="3"/>
      <c r="J230" s="3"/>
      <c r="K230" s="3">
        <f t="shared" si="9"/>
        <v>0</v>
      </c>
    </row>
    <row r="231" spans="1:11" ht="15" x14ac:dyDescent="0.35">
      <c r="A231" s="48" t="s">
        <v>478</v>
      </c>
      <c r="C231" s="28"/>
      <c r="D231" s="28">
        <v>350</v>
      </c>
      <c r="E231" s="3"/>
      <c r="F231" s="3"/>
      <c r="G231" s="3"/>
      <c r="H231" s="3"/>
      <c r="I231" s="3"/>
      <c r="J231" s="3"/>
      <c r="K231" s="3">
        <f t="shared" si="9"/>
        <v>0</v>
      </c>
    </row>
    <row r="232" spans="1:11" x14ac:dyDescent="0.2">
      <c r="A232" s="48" t="s">
        <v>1073</v>
      </c>
      <c r="C232" s="3"/>
      <c r="D232" s="3">
        <f>SUM(D230:D231)</f>
        <v>12350</v>
      </c>
      <c r="F232" s="3"/>
      <c r="G232" s="3"/>
      <c r="H232" s="3"/>
      <c r="I232" s="3"/>
      <c r="J232" s="3"/>
      <c r="K232" s="3">
        <f t="shared" si="9"/>
        <v>0</v>
      </c>
    </row>
    <row r="233" spans="1:11" x14ac:dyDescent="0.2">
      <c r="C233" s="3"/>
      <c r="D233" s="3"/>
      <c r="E233" s="3"/>
      <c r="F233" s="3"/>
      <c r="G233" s="3"/>
      <c r="H233" s="3"/>
      <c r="I233" s="3"/>
      <c r="J233" s="3"/>
      <c r="K233" s="3">
        <f t="shared" si="9"/>
        <v>0</v>
      </c>
    </row>
    <row r="234" spans="1:11" ht="13.5" x14ac:dyDescent="0.25">
      <c r="A234" s="49" t="s">
        <v>562</v>
      </c>
      <c r="C234" s="3"/>
      <c r="D234" s="3"/>
      <c r="E234" s="3">
        <v>5167</v>
      </c>
      <c r="F234" s="3">
        <v>15000</v>
      </c>
      <c r="G234" s="3">
        <v>15000</v>
      </c>
      <c r="H234" s="3">
        <v>15000</v>
      </c>
      <c r="I234" s="3">
        <v>15000</v>
      </c>
      <c r="J234" s="3">
        <v>15000</v>
      </c>
      <c r="K234" s="3">
        <f t="shared" si="9"/>
        <v>0</v>
      </c>
    </row>
    <row r="235" spans="1:11" x14ac:dyDescent="0.2">
      <c r="A235" s="35" t="s">
        <v>1370</v>
      </c>
      <c r="C235" s="3"/>
      <c r="D235" s="3">
        <v>15000</v>
      </c>
      <c r="E235" s="3"/>
      <c r="F235" s="3"/>
      <c r="G235" s="3"/>
      <c r="H235" s="3"/>
      <c r="I235" s="3"/>
      <c r="J235" s="3"/>
      <c r="K235" s="3">
        <f t="shared" si="9"/>
        <v>0</v>
      </c>
    </row>
    <row r="236" spans="1:11" x14ac:dyDescent="0.2">
      <c r="C236" s="3"/>
      <c r="D236" s="3"/>
      <c r="E236" s="3"/>
      <c r="F236" s="3"/>
      <c r="G236" s="3"/>
      <c r="H236" s="3"/>
      <c r="I236" s="3"/>
      <c r="J236" s="3"/>
      <c r="K236" s="3">
        <f t="shared" si="9"/>
        <v>0</v>
      </c>
    </row>
    <row r="237" spans="1:11" ht="13.5" x14ac:dyDescent="0.25">
      <c r="A237" s="49" t="s">
        <v>479</v>
      </c>
      <c r="C237" s="3"/>
      <c r="D237" s="3"/>
      <c r="E237" s="3">
        <v>57025</v>
      </c>
      <c r="F237" s="3">
        <v>38300</v>
      </c>
      <c r="G237" s="3">
        <v>55000</v>
      </c>
      <c r="H237" s="3">
        <v>55000</v>
      </c>
      <c r="I237" s="3">
        <v>55000</v>
      </c>
      <c r="J237" s="3">
        <v>55000</v>
      </c>
      <c r="K237" s="3">
        <f t="shared" si="9"/>
        <v>16700</v>
      </c>
    </row>
    <row r="238" spans="1:11" x14ac:dyDescent="0.2">
      <c r="A238" s="48" t="s">
        <v>480</v>
      </c>
      <c r="C238" s="3"/>
      <c r="D238" s="3">
        <v>55000</v>
      </c>
      <c r="E238" s="3"/>
      <c r="F238" s="3"/>
      <c r="G238" s="3"/>
      <c r="H238" s="3"/>
      <c r="I238" s="3"/>
      <c r="J238" s="3"/>
      <c r="K238" s="3">
        <f t="shared" si="9"/>
        <v>0</v>
      </c>
    </row>
    <row r="239" spans="1:11" ht="15" x14ac:dyDescent="0.35">
      <c r="A239" s="48" t="s">
        <v>1659</v>
      </c>
      <c r="C239" s="3"/>
      <c r="D239" s="28">
        <v>0</v>
      </c>
      <c r="E239" s="3"/>
      <c r="F239" s="3"/>
      <c r="G239" s="3"/>
      <c r="H239" s="3"/>
      <c r="I239" s="3"/>
      <c r="J239" s="3"/>
      <c r="K239" s="3">
        <f t="shared" si="9"/>
        <v>0</v>
      </c>
    </row>
    <row r="240" spans="1:11" x14ac:dyDescent="0.2">
      <c r="C240" s="3"/>
      <c r="D240" s="3">
        <f>SUM(D238:D239)</f>
        <v>55000</v>
      </c>
      <c r="E240" s="3"/>
      <c r="F240" s="3"/>
      <c r="G240" s="3"/>
      <c r="H240" s="3"/>
      <c r="I240" s="3"/>
      <c r="J240" s="3"/>
      <c r="K240" s="3">
        <f t="shared" si="9"/>
        <v>0</v>
      </c>
    </row>
    <row r="241" spans="1:11" x14ac:dyDescent="0.2">
      <c r="C241" s="3"/>
      <c r="D241" s="3"/>
      <c r="E241" s="3"/>
      <c r="F241" s="3"/>
      <c r="G241" s="3"/>
      <c r="H241" s="3"/>
      <c r="I241" s="3"/>
      <c r="J241" s="3"/>
      <c r="K241" s="3">
        <f t="shared" si="9"/>
        <v>0</v>
      </c>
    </row>
    <row r="242" spans="1:11" x14ac:dyDescent="0.2">
      <c r="C242" s="3"/>
      <c r="D242" s="3"/>
      <c r="E242" s="3"/>
      <c r="F242" s="3"/>
      <c r="G242" s="3"/>
      <c r="H242" s="3"/>
      <c r="I242" s="3"/>
      <c r="J242" s="3"/>
      <c r="K242" s="3">
        <f t="shared" si="9"/>
        <v>0</v>
      </c>
    </row>
    <row r="243" spans="1:11" ht="13.5" x14ac:dyDescent="0.25">
      <c r="A243" s="49" t="s">
        <v>689</v>
      </c>
      <c r="C243" s="3"/>
      <c r="D243" s="3"/>
      <c r="E243" s="3">
        <v>10864</v>
      </c>
      <c r="F243" s="3">
        <v>12231</v>
      </c>
      <c r="G243" s="3">
        <v>12276</v>
      </c>
      <c r="H243" s="3">
        <v>12276</v>
      </c>
      <c r="I243" s="3">
        <v>12276</v>
      </c>
      <c r="J243" s="3">
        <v>12276</v>
      </c>
      <c r="K243" s="3">
        <f t="shared" si="9"/>
        <v>45</v>
      </c>
    </row>
    <row r="244" spans="1:11" x14ac:dyDescent="0.2">
      <c r="A244" s="48" t="s">
        <v>690</v>
      </c>
      <c r="C244" s="3"/>
      <c r="D244" s="3">
        <v>2715</v>
      </c>
      <c r="E244" s="3"/>
      <c r="F244" s="3"/>
      <c r="G244" s="3"/>
      <c r="H244" s="3"/>
      <c r="I244" s="3"/>
      <c r="J244" s="3"/>
      <c r="K244" s="3">
        <f t="shared" si="9"/>
        <v>0</v>
      </c>
    </row>
    <row r="245" spans="1:11" x14ac:dyDescent="0.2">
      <c r="A245" s="48" t="s">
        <v>1676</v>
      </c>
      <c r="C245" s="3"/>
      <c r="D245" s="3">
        <v>5000</v>
      </c>
      <c r="E245" s="3"/>
      <c r="F245" s="3"/>
      <c r="G245" s="3"/>
      <c r="H245" s="3"/>
      <c r="I245" s="3"/>
      <c r="J245" s="3"/>
      <c r="K245" s="3">
        <f t="shared" si="9"/>
        <v>0</v>
      </c>
    </row>
    <row r="246" spans="1:11" ht="15" x14ac:dyDescent="0.35">
      <c r="A246" s="48" t="s">
        <v>1870</v>
      </c>
      <c r="C246" s="28"/>
      <c r="D246" s="3">
        <v>4045</v>
      </c>
      <c r="E246" s="3"/>
      <c r="F246" s="3"/>
      <c r="G246" s="3"/>
      <c r="H246" s="3"/>
      <c r="I246" s="3"/>
      <c r="J246" s="3"/>
      <c r="K246" s="3">
        <f t="shared" si="9"/>
        <v>0</v>
      </c>
    </row>
    <row r="247" spans="1:11" ht="15" x14ac:dyDescent="0.35">
      <c r="A247" s="48" t="s">
        <v>731</v>
      </c>
      <c r="C247" s="28"/>
      <c r="D247" s="28">
        <v>516</v>
      </c>
      <c r="E247" s="3"/>
      <c r="F247" s="3"/>
      <c r="G247" s="3"/>
      <c r="H247" s="3"/>
      <c r="I247" s="3"/>
      <c r="J247" s="3"/>
      <c r="K247" s="3">
        <f t="shared" si="9"/>
        <v>0</v>
      </c>
    </row>
    <row r="248" spans="1:11" x14ac:dyDescent="0.2">
      <c r="A248" s="48" t="s">
        <v>1073</v>
      </c>
      <c r="C248" s="3"/>
      <c r="D248" s="3">
        <f>SUM(D244:D247)</f>
        <v>12276</v>
      </c>
      <c r="E248" s="3"/>
      <c r="F248" s="3"/>
      <c r="G248" s="3"/>
      <c r="H248" s="3"/>
      <c r="I248" s="3"/>
      <c r="J248" s="3"/>
      <c r="K248" s="3">
        <f t="shared" si="9"/>
        <v>0</v>
      </c>
    </row>
    <row r="249" spans="1:11" x14ac:dyDescent="0.2">
      <c r="C249" s="3"/>
      <c r="D249" s="3"/>
      <c r="E249" s="3"/>
      <c r="F249" s="3"/>
      <c r="G249" s="3"/>
      <c r="H249" s="3"/>
      <c r="I249" s="3"/>
      <c r="J249" s="3"/>
      <c r="K249" s="3">
        <f t="shared" si="9"/>
        <v>0</v>
      </c>
    </row>
    <row r="250" spans="1:11" ht="13.5" x14ac:dyDescent="0.25">
      <c r="A250" s="49" t="s">
        <v>678</v>
      </c>
      <c r="B250" s="50"/>
      <c r="C250" s="3"/>
      <c r="D250" s="3"/>
      <c r="E250" s="3">
        <v>4275</v>
      </c>
      <c r="F250" s="3">
        <v>2951</v>
      </c>
      <c r="G250" s="3">
        <v>2951</v>
      </c>
      <c r="H250" s="3">
        <v>2951</v>
      </c>
      <c r="I250" s="3">
        <v>2951</v>
      </c>
      <c r="J250" s="3">
        <v>2951</v>
      </c>
      <c r="K250" s="3">
        <f t="shared" si="9"/>
        <v>0</v>
      </c>
    </row>
    <row r="251" spans="1:11" x14ac:dyDescent="0.2">
      <c r="A251" s="48" t="s">
        <v>679</v>
      </c>
      <c r="C251" s="3"/>
      <c r="D251" s="3">
        <v>2951</v>
      </c>
      <c r="E251" s="3"/>
      <c r="F251" s="3"/>
      <c r="G251" s="3"/>
      <c r="H251" s="3"/>
      <c r="I251" s="3"/>
      <c r="J251" s="3"/>
      <c r="K251" s="3">
        <f t="shared" si="9"/>
        <v>0</v>
      </c>
    </row>
    <row r="252" spans="1:11" x14ac:dyDescent="0.2">
      <c r="A252" s="48" t="s">
        <v>345</v>
      </c>
      <c r="C252" s="3"/>
      <c r="D252" s="3"/>
      <c r="E252" s="3"/>
      <c r="F252" s="3"/>
      <c r="G252" s="3"/>
      <c r="H252" s="3"/>
      <c r="I252" s="3"/>
      <c r="J252" s="3"/>
      <c r="K252" s="3">
        <f t="shared" si="9"/>
        <v>0</v>
      </c>
    </row>
    <row r="253" spans="1:11" ht="13.5" x14ac:dyDescent="0.25">
      <c r="A253" s="49" t="s">
        <v>893</v>
      </c>
      <c r="C253" s="59" t="s">
        <v>345</v>
      </c>
      <c r="D253" s="59" t="s">
        <v>345</v>
      </c>
      <c r="E253" s="3">
        <v>30986</v>
      </c>
      <c r="F253" s="3">
        <v>49000</v>
      </c>
      <c r="G253" s="3">
        <v>54000</v>
      </c>
      <c r="H253" s="3">
        <v>54000</v>
      </c>
      <c r="I253" s="3">
        <v>54000</v>
      </c>
      <c r="J253" s="3">
        <v>54000</v>
      </c>
      <c r="K253" s="3">
        <f t="shared" si="9"/>
        <v>5000</v>
      </c>
    </row>
    <row r="254" spans="1:11" x14ac:dyDescent="0.2">
      <c r="A254" s="48" t="s">
        <v>1558</v>
      </c>
      <c r="C254" s="3"/>
      <c r="D254" s="3">
        <v>30000</v>
      </c>
      <c r="E254" s="3"/>
      <c r="F254" s="3"/>
      <c r="G254" s="3"/>
      <c r="H254" s="3"/>
      <c r="I254" s="3"/>
      <c r="J254" s="3"/>
      <c r="K254" s="3">
        <f t="shared" si="9"/>
        <v>0</v>
      </c>
    </row>
    <row r="255" spans="1:11" x14ac:dyDescent="0.2">
      <c r="A255" s="48" t="s">
        <v>1089</v>
      </c>
      <c r="C255" s="3"/>
      <c r="D255" s="3">
        <v>5000</v>
      </c>
      <c r="E255" s="3"/>
      <c r="F255" s="3"/>
      <c r="G255" s="3"/>
      <c r="H255" s="3"/>
      <c r="I255" s="3"/>
      <c r="J255" s="3"/>
      <c r="K255" s="3">
        <f t="shared" si="9"/>
        <v>0</v>
      </c>
    </row>
    <row r="256" spans="1:11" x14ac:dyDescent="0.2">
      <c r="A256" s="48" t="s">
        <v>795</v>
      </c>
      <c r="C256" s="3"/>
      <c r="D256" s="3">
        <v>15000</v>
      </c>
      <c r="E256" s="3"/>
      <c r="F256" s="3"/>
      <c r="G256" s="3"/>
      <c r="H256" s="3"/>
      <c r="I256" s="3"/>
      <c r="J256" s="3"/>
      <c r="K256" s="3">
        <f t="shared" si="9"/>
        <v>0</v>
      </c>
    </row>
    <row r="257" spans="1:11" x14ac:dyDescent="0.2">
      <c r="A257" s="48" t="s">
        <v>160</v>
      </c>
      <c r="C257" s="3"/>
      <c r="D257" s="3">
        <v>3000</v>
      </c>
      <c r="E257" s="3"/>
      <c r="F257" s="3"/>
      <c r="G257" s="3"/>
      <c r="H257" s="3"/>
      <c r="I257" s="3"/>
      <c r="J257" s="3"/>
      <c r="K257" s="3">
        <f t="shared" si="9"/>
        <v>0</v>
      </c>
    </row>
    <row r="258" spans="1:11" ht="15" x14ac:dyDescent="0.35">
      <c r="A258" s="48" t="s">
        <v>1090</v>
      </c>
      <c r="C258" s="28"/>
      <c r="D258" s="28">
        <v>1000</v>
      </c>
      <c r="E258" s="3"/>
      <c r="F258" s="3"/>
      <c r="G258" s="3"/>
      <c r="H258" s="3"/>
      <c r="I258" s="3"/>
      <c r="J258" s="3"/>
      <c r="K258" s="3">
        <f t="shared" si="9"/>
        <v>0</v>
      </c>
    </row>
    <row r="259" spans="1:11" x14ac:dyDescent="0.2">
      <c r="A259" s="48" t="s">
        <v>1073</v>
      </c>
      <c r="C259" s="3"/>
      <c r="D259" s="3">
        <f>SUM(D254:D258)</f>
        <v>54000</v>
      </c>
      <c r="E259" s="3"/>
      <c r="F259" s="3"/>
      <c r="G259" s="3"/>
      <c r="H259" s="3"/>
      <c r="I259" s="3"/>
      <c r="J259" s="3"/>
      <c r="K259" s="3">
        <f t="shared" si="9"/>
        <v>0</v>
      </c>
    </row>
    <row r="260" spans="1:11" x14ac:dyDescent="0.2">
      <c r="C260" s="3"/>
      <c r="D260" s="3"/>
      <c r="E260" s="3"/>
      <c r="F260" s="3"/>
      <c r="G260" s="3"/>
      <c r="H260" s="3"/>
      <c r="I260" s="3"/>
      <c r="J260" s="3"/>
      <c r="K260" s="3">
        <f t="shared" si="9"/>
        <v>0</v>
      </c>
    </row>
    <row r="261" spans="1:11" ht="13.5" x14ac:dyDescent="0.25">
      <c r="A261" s="49" t="s">
        <v>1091</v>
      </c>
      <c r="C261" s="3"/>
      <c r="D261" s="3"/>
      <c r="E261" s="3">
        <v>0</v>
      </c>
      <c r="F261" s="3">
        <v>197</v>
      </c>
      <c r="G261" s="3">
        <v>197</v>
      </c>
      <c r="H261" s="3">
        <v>197</v>
      </c>
      <c r="I261" s="3">
        <v>197</v>
      </c>
      <c r="J261" s="3">
        <v>197</v>
      </c>
      <c r="K261" s="3">
        <f t="shared" si="9"/>
        <v>0</v>
      </c>
    </row>
    <row r="262" spans="1:11" x14ac:dyDescent="0.2">
      <c r="A262" s="48" t="s">
        <v>457</v>
      </c>
      <c r="C262" s="3"/>
      <c r="D262" s="3">
        <v>197</v>
      </c>
      <c r="E262" s="3"/>
      <c r="F262" s="3"/>
      <c r="G262" s="3"/>
      <c r="H262" s="3"/>
      <c r="I262" s="3"/>
      <c r="J262" s="3"/>
      <c r="K262" s="3">
        <f t="shared" ref="K262:K293" si="10">+H262-F262</f>
        <v>0</v>
      </c>
    </row>
    <row r="263" spans="1:11" x14ac:dyDescent="0.2">
      <c r="C263" s="3"/>
      <c r="D263" s="3"/>
      <c r="E263" s="3"/>
      <c r="F263" s="3"/>
      <c r="G263" s="3"/>
      <c r="H263" s="3"/>
      <c r="I263" s="3"/>
      <c r="J263" s="3"/>
      <c r="K263" s="3">
        <f t="shared" si="10"/>
        <v>0</v>
      </c>
    </row>
    <row r="264" spans="1:11" ht="13.5" x14ac:dyDescent="0.25">
      <c r="A264" s="69" t="s">
        <v>342</v>
      </c>
      <c r="C264" s="59" t="s">
        <v>345</v>
      </c>
      <c r="D264" s="59" t="s">
        <v>345</v>
      </c>
      <c r="E264" s="3">
        <v>1108</v>
      </c>
      <c r="F264" s="3">
        <v>700</v>
      </c>
      <c r="G264" s="3">
        <v>700</v>
      </c>
      <c r="H264" s="3">
        <v>700</v>
      </c>
      <c r="I264" s="3">
        <v>700</v>
      </c>
      <c r="J264" s="3">
        <v>700</v>
      </c>
      <c r="K264" s="3">
        <f t="shared" si="10"/>
        <v>0</v>
      </c>
    </row>
    <row r="265" spans="1:11" x14ac:dyDescent="0.2">
      <c r="A265" s="48" t="s">
        <v>725</v>
      </c>
      <c r="B265" s="3"/>
      <c r="C265" s="3"/>
      <c r="D265" s="3">
        <v>500</v>
      </c>
      <c r="E265" s="3"/>
      <c r="F265" s="3"/>
      <c r="G265" s="3"/>
      <c r="H265" s="3"/>
      <c r="I265" s="3"/>
      <c r="J265" s="3"/>
      <c r="K265" s="3">
        <f t="shared" si="10"/>
        <v>0</v>
      </c>
    </row>
    <row r="266" spans="1:11" ht="15" x14ac:dyDescent="0.35">
      <c r="A266" s="48" t="s">
        <v>161</v>
      </c>
      <c r="C266" s="28"/>
      <c r="D266" s="28">
        <v>200</v>
      </c>
      <c r="E266" s="3"/>
      <c r="F266" s="3"/>
      <c r="G266" s="3"/>
      <c r="H266" s="3"/>
      <c r="I266" s="3"/>
      <c r="J266" s="3"/>
      <c r="K266" s="3">
        <f t="shared" si="10"/>
        <v>0</v>
      </c>
    </row>
    <row r="267" spans="1:11" x14ac:dyDescent="0.2">
      <c r="A267" s="48" t="s">
        <v>1073</v>
      </c>
      <c r="C267" s="3"/>
      <c r="D267" s="3">
        <f>SUM(D265:D266)</f>
        <v>700</v>
      </c>
      <c r="E267" s="3"/>
      <c r="F267" s="3"/>
      <c r="G267" s="3"/>
      <c r="H267" s="3"/>
      <c r="I267" s="3"/>
      <c r="J267" s="3"/>
      <c r="K267" s="3">
        <f t="shared" si="10"/>
        <v>0</v>
      </c>
    </row>
    <row r="268" spans="1:11" x14ac:dyDescent="0.2">
      <c r="C268" s="3"/>
      <c r="D268" s="3"/>
      <c r="E268" s="3"/>
      <c r="F268" s="3"/>
      <c r="G268" s="3"/>
      <c r="H268" s="3"/>
      <c r="I268" s="3"/>
      <c r="J268" s="3"/>
      <c r="K268" s="3">
        <f t="shared" si="10"/>
        <v>0</v>
      </c>
    </row>
    <row r="269" spans="1:11" ht="13.5" x14ac:dyDescent="0.25">
      <c r="A269" s="49" t="s">
        <v>60</v>
      </c>
      <c r="C269" s="59" t="s">
        <v>345</v>
      </c>
      <c r="D269" s="59" t="s">
        <v>345</v>
      </c>
      <c r="E269" s="3">
        <v>24</v>
      </c>
      <c r="F269" s="3">
        <v>5000</v>
      </c>
      <c r="G269" s="3">
        <v>5000</v>
      </c>
      <c r="H269" s="3">
        <v>5000</v>
      </c>
      <c r="I269" s="3">
        <v>5000</v>
      </c>
      <c r="J269" s="3">
        <v>5000</v>
      </c>
      <c r="K269" s="3">
        <f t="shared" si="10"/>
        <v>0</v>
      </c>
    </row>
    <row r="270" spans="1:11" x14ac:dyDescent="0.2">
      <c r="A270" s="48" t="s">
        <v>1292</v>
      </c>
      <c r="C270" s="3"/>
      <c r="D270" s="3">
        <v>5000</v>
      </c>
      <c r="F270" s="3"/>
      <c r="G270" s="3"/>
      <c r="H270" s="3"/>
      <c r="I270" s="3"/>
      <c r="J270" s="3"/>
      <c r="K270" s="3">
        <f t="shared" si="10"/>
        <v>0</v>
      </c>
    </row>
    <row r="271" spans="1:11" ht="15" x14ac:dyDescent="0.35">
      <c r="A271" s="48" t="s">
        <v>1141</v>
      </c>
      <c r="C271" s="28"/>
      <c r="D271" s="28">
        <v>0</v>
      </c>
      <c r="F271" s="3"/>
      <c r="G271" s="3"/>
      <c r="H271" s="3"/>
      <c r="I271" s="3"/>
      <c r="J271" s="3"/>
      <c r="K271" s="3">
        <f t="shared" si="10"/>
        <v>0</v>
      </c>
    </row>
    <row r="272" spans="1:11" x14ac:dyDescent="0.2">
      <c r="A272" s="48" t="s">
        <v>948</v>
      </c>
      <c r="C272" s="3"/>
      <c r="D272" s="3">
        <f>SUM(D270:D271)</f>
        <v>5000</v>
      </c>
      <c r="F272" s="3"/>
      <c r="G272" s="3"/>
      <c r="H272" s="3"/>
      <c r="I272" s="3"/>
      <c r="J272" s="3"/>
      <c r="K272" s="3">
        <f t="shared" si="10"/>
        <v>0</v>
      </c>
    </row>
    <row r="273" spans="1:11" x14ac:dyDescent="0.2">
      <c r="C273" s="3"/>
      <c r="D273" s="3"/>
      <c r="F273" s="3"/>
      <c r="G273" s="3"/>
      <c r="H273" s="3"/>
      <c r="I273" s="3"/>
      <c r="J273" s="3"/>
      <c r="K273" s="3">
        <f t="shared" si="10"/>
        <v>0</v>
      </c>
    </row>
    <row r="274" spans="1:11" ht="13.5" x14ac:dyDescent="0.25">
      <c r="A274" s="49" t="s">
        <v>21</v>
      </c>
      <c r="C274" s="59" t="s">
        <v>345</v>
      </c>
      <c r="D274" s="59" t="s">
        <v>345</v>
      </c>
      <c r="E274" s="3">
        <v>11391</v>
      </c>
      <c r="F274" s="3">
        <v>16287</v>
      </c>
      <c r="G274" s="3">
        <v>60487</v>
      </c>
      <c r="H274" s="3">
        <v>16287</v>
      </c>
      <c r="I274" s="3">
        <v>16287</v>
      </c>
      <c r="J274" s="3">
        <v>16287</v>
      </c>
      <c r="K274" s="3">
        <f t="shared" si="10"/>
        <v>0</v>
      </c>
    </row>
    <row r="275" spans="1:11" x14ac:dyDescent="0.2">
      <c r="A275" s="48" t="s">
        <v>1633</v>
      </c>
      <c r="B275" s="3" t="s">
        <v>345</v>
      </c>
      <c r="C275" s="3"/>
      <c r="D275" s="3">
        <v>3772</v>
      </c>
      <c r="E275" s="3"/>
      <c r="F275" s="3"/>
      <c r="G275" s="3"/>
      <c r="H275" s="3"/>
      <c r="I275" s="3"/>
      <c r="J275" s="3"/>
      <c r="K275" s="3">
        <f t="shared" si="10"/>
        <v>0</v>
      </c>
    </row>
    <row r="276" spans="1:11" x14ac:dyDescent="0.2">
      <c r="A276" s="48" t="s">
        <v>942</v>
      </c>
      <c r="C276" s="3"/>
      <c r="D276" s="3">
        <v>154</v>
      </c>
      <c r="E276" s="3"/>
      <c r="F276" s="3"/>
      <c r="G276" s="3"/>
      <c r="H276" s="3"/>
      <c r="I276" s="3"/>
      <c r="J276" s="3"/>
      <c r="K276" s="3">
        <f t="shared" si="10"/>
        <v>0</v>
      </c>
    </row>
    <row r="277" spans="1:11" x14ac:dyDescent="0.2">
      <c r="A277" s="48" t="s">
        <v>943</v>
      </c>
      <c r="C277" s="3"/>
      <c r="D277" s="3">
        <v>1548</v>
      </c>
      <c r="E277" s="3"/>
      <c r="F277" s="3"/>
      <c r="G277" s="3"/>
      <c r="H277" s="3"/>
      <c r="I277" s="3"/>
      <c r="J277" s="3"/>
      <c r="K277" s="3">
        <f t="shared" si="10"/>
        <v>0</v>
      </c>
    </row>
    <row r="278" spans="1:11" x14ac:dyDescent="0.2">
      <c r="A278" s="48" t="s">
        <v>1209</v>
      </c>
      <c r="C278" s="3"/>
      <c r="D278" s="3">
        <v>5000</v>
      </c>
      <c r="E278" s="3"/>
      <c r="F278" s="3"/>
      <c r="G278" s="3"/>
      <c r="H278" s="3"/>
      <c r="I278" s="3"/>
      <c r="J278" s="3"/>
      <c r="K278" s="3">
        <f t="shared" si="10"/>
        <v>0</v>
      </c>
    </row>
    <row r="279" spans="1:11" x14ac:dyDescent="0.2">
      <c r="A279" s="48" t="s">
        <v>1871</v>
      </c>
      <c r="C279" s="3"/>
      <c r="D279" s="3">
        <v>650</v>
      </c>
      <c r="E279" s="3"/>
      <c r="F279" s="3"/>
      <c r="G279" s="3"/>
      <c r="H279" s="3"/>
      <c r="I279" s="3"/>
      <c r="J279" s="3"/>
      <c r="K279" s="3">
        <f t="shared" si="10"/>
        <v>0</v>
      </c>
    </row>
    <row r="280" spans="1:11" x14ac:dyDescent="0.2">
      <c r="A280" s="48" t="s">
        <v>1210</v>
      </c>
      <c r="C280" s="3"/>
      <c r="D280" s="3">
        <v>1050</v>
      </c>
      <c r="E280" s="3"/>
      <c r="F280" s="3"/>
      <c r="G280" s="3"/>
      <c r="H280" s="3"/>
      <c r="I280" s="3"/>
      <c r="J280" s="3"/>
      <c r="K280" s="3">
        <f t="shared" si="10"/>
        <v>0</v>
      </c>
    </row>
    <row r="281" spans="1:11" ht="15" x14ac:dyDescent="0.35">
      <c r="A281" s="48" t="s">
        <v>944</v>
      </c>
      <c r="C281" s="28"/>
      <c r="D281" s="3">
        <v>463</v>
      </c>
      <c r="E281" s="3"/>
      <c r="F281" s="3"/>
      <c r="G281" s="3"/>
      <c r="H281" s="3"/>
      <c r="I281" s="3"/>
      <c r="J281" s="3"/>
      <c r="K281" s="3">
        <f t="shared" si="10"/>
        <v>0</v>
      </c>
    </row>
    <row r="282" spans="1:11" ht="15" x14ac:dyDescent="0.35">
      <c r="A282" s="48" t="s">
        <v>2063</v>
      </c>
      <c r="B282" s="48">
        <v>0</v>
      </c>
      <c r="C282" s="28">
        <v>884</v>
      </c>
      <c r="D282" s="3">
        <f>+C282*B282</f>
        <v>0</v>
      </c>
      <c r="E282" s="3"/>
      <c r="F282" s="3"/>
      <c r="G282" s="3"/>
      <c r="H282" s="3"/>
      <c r="I282" s="3"/>
      <c r="J282" s="3"/>
      <c r="K282" s="3">
        <f t="shared" si="10"/>
        <v>0</v>
      </c>
    </row>
    <row r="283" spans="1:11" ht="15" x14ac:dyDescent="0.35">
      <c r="A283" s="48" t="s">
        <v>1597</v>
      </c>
      <c r="C283" s="28"/>
      <c r="D283" s="28">
        <v>3650</v>
      </c>
      <c r="E283" s="3"/>
      <c r="F283" s="3"/>
      <c r="G283" s="3"/>
      <c r="H283" s="3"/>
      <c r="I283" s="3"/>
      <c r="J283" s="3"/>
      <c r="K283" s="3">
        <f t="shared" si="10"/>
        <v>0</v>
      </c>
    </row>
    <row r="284" spans="1:11" x14ac:dyDescent="0.2">
      <c r="A284" s="48" t="s">
        <v>1073</v>
      </c>
      <c r="C284" s="3"/>
      <c r="D284" s="3">
        <f>SUM(D275:D283)</f>
        <v>16287</v>
      </c>
      <c r="E284" s="3"/>
      <c r="F284" s="3"/>
      <c r="G284" s="3"/>
      <c r="H284" s="3"/>
      <c r="I284" s="3"/>
      <c r="J284" s="3"/>
      <c r="K284" s="3">
        <f t="shared" si="10"/>
        <v>0</v>
      </c>
    </row>
    <row r="285" spans="1:11" x14ac:dyDescent="0.2">
      <c r="C285" s="3"/>
      <c r="D285" s="3"/>
      <c r="E285" s="3"/>
      <c r="F285" s="3"/>
      <c r="G285" s="3"/>
      <c r="H285" s="3"/>
      <c r="I285" s="3"/>
      <c r="J285" s="3"/>
      <c r="K285" s="3">
        <f t="shared" si="10"/>
        <v>0</v>
      </c>
    </row>
    <row r="286" spans="1:11" ht="13.5" x14ac:dyDescent="0.25">
      <c r="A286" s="49" t="s">
        <v>945</v>
      </c>
      <c r="C286" s="59" t="s">
        <v>345</v>
      </c>
      <c r="D286" s="59" t="s">
        <v>345</v>
      </c>
      <c r="E286" s="3">
        <v>129359</v>
      </c>
      <c r="F286" s="3">
        <v>100500</v>
      </c>
      <c r="G286" s="3">
        <v>156500</v>
      </c>
      <c r="H286" s="3">
        <v>121500</v>
      </c>
      <c r="I286" s="3">
        <v>121500</v>
      </c>
      <c r="J286" s="3">
        <v>121500</v>
      </c>
      <c r="K286" s="3">
        <f t="shared" si="10"/>
        <v>21000</v>
      </c>
    </row>
    <row r="287" spans="1:11" x14ac:dyDescent="0.2">
      <c r="A287" s="35" t="s">
        <v>1974</v>
      </c>
      <c r="B287" s="3"/>
      <c r="C287" s="3">
        <v>0</v>
      </c>
      <c r="D287" s="58">
        <v>121500</v>
      </c>
      <c r="E287" s="3"/>
      <c r="F287" s="3"/>
      <c r="G287" s="3"/>
      <c r="H287" s="3"/>
      <c r="I287" s="3"/>
      <c r="J287" s="3"/>
      <c r="K287" s="3">
        <f t="shared" si="10"/>
        <v>0</v>
      </c>
    </row>
    <row r="288" spans="1:11" ht="15" x14ac:dyDescent="0.35">
      <c r="A288" s="35" t="s">
        <v>2064</v>
      </c>
      <c r="B288" s="3"/>
      <c r="C288" s="3"/>
      <c r="D288" s="248">
        <v>0</v>
      </c>
      <c r="E288" s="3"/>
      <c r="F288" s="3"/>
      <c r="G288" s="3"/>
      <c r="H288" s="3"/>
      <c r="I288" s="3"/>
      <c r="J288" s="3"/>
      <c r="K288" s="3">
        <f t="shared" si="10"/>
        <v>0</v>
      </c>
    </row>
    <row r="289" spans="1:11" x14ac:dyDescent="0.2">
      <c r="A289" s="35"/>
      <c r="B289" s="3"/>
      <c r="C289" s="3"/>
      <c r="D289" s="58">
        <f>SUM(D287:D288)</f>
        <v>121500</v>
      </c>
      <c r="E289" s="3"/>
      <c r="F289" s="3"/>
      <c r="G289" s="3"/>
      <c r="H289" s="3"/>
      <c r="I289" s="3"/>
      <c r="J289" s="3"/>
      <c r="K289" s="3">
        <f t="shared" si="10"/>
        <v>0</v>
      </c>
    </row>
    <row r="290" spans="1:11" x14ac:dyDescent="0.2">
      <c r="C290" s="3"/>
      <c r="D290" s="3"/>
      <c r="E290" s="3"/>
      <c r="F290" s="3"/>
      <c r="G290" s="3"/>
      <c r="H290" s="3"/>
      <c r="I290" s="3"/>
      <c r="J290" s="3"/>
      <c r="K290" s="3">
        <f t="shared" si="10"/>
        <v>0</v>
      </c>
    </row>
    <row r="291" spans="1:11" ht="13.5" x14ac:dyDescent="0.25">
      <c r="A291" s="49" t="s">
        <v>946</v>
      </c>
      <c r="C291" s="59" t="s">
        <v>345</v>
      </c>
      <c r="D291" s="59" t="s">
        <v>345</v>
      </c>
      <c r="E291" s="3">
        <v>2434</v>
      </c>
      <c r="F291" s="3">
        <v>7000</v>
      </c>
      <c r="G291" s="3">
        <v>7000</v>
      </c>
      <c r="H291" s="3">
        <v>7000</v>
      </c>
      <c r="I291" s="3">
        <v>7000</v>
      </c>
      <c r="J291" s="3">
        <v>7000</v>
      </c>
      <c r="K291" s="3">
        <f t="shared" si="10"/>
        <v>0</v>
      </c>
    </row>
    <row r="292" spans="1:11" x14ac:dyDescent="0.2">
      <c r="A292" s="48" t="s">
        <v>217</v>
      </c>
      <c r="C292" s="3"/>
      <c r="D292" s="3">
        <v>7000</v>
      </c>
      <c r="E292" s="3"/>
      <c r="F292" s="3"/>
      <c r="G292" s="3"/>
      <c r="H292" s="3"/>
      <c r="I292" s="3"/>
      <c r="J292" s="3"/>
      <c r="K292" s="3">
        <f t="shared" si="10"/>
        <v>0</v>
      </c>
    </row>
    <row r="293" spans="1:11" x14ac:dyDescent="0.2">
      <c r="C293" s="3"/>
      <c r="D293" s="3"/>
      <c r="E293" s="3"/>
      <c r="F293" s="3"/>
      <c r="G293" s="3"/>
      <c r="H293" s="3"/>
      <c r="I293" s="3"/>
      <c r="J293" s="3"/>
      <c r="K293" s="3">
        <f t="shared" si="10"/>
        <v>0</v>
      </c>
    </row>
    <row r="294" spans="1:11" ht="15" x14ac:dyDescent="0.35">
      <c r="A294" s="49" t="s">
        <v>947</v>
      </c>
      <c r="C294" s="3" t="s">
        <v>345</v>
      </c>
      <c r="D294" s="3" t="s">
        <v>345</v>
      </c>
      <c r="E294" s="28">
        <v>13604</v>
      </c>
      <c r="F294" s="28">
        <v>4000</v>
      </c>
      <c r="G294" s="28">
        <v>4000</v>
      </c>
      <c r="H294" s="28">
        <v>4000</v>
      </c>
      <c r="I294" s="28">
        <v>4000</v>
      </c>
      <c r="J294" s="28">
        <v>4000</v>
      </c>
      <c r="K294" s="3">
        <f>+H294-F294</f>
        <v>0</v>
      </c>
    </row>
    <row r="295" spans="1:11" x14ac:dyDescent="0.2">
      <c r="A295" s="35" t="s">
        <v>1484</v>
      </c>
      <c r="C295" s="3"/>
      <c r="D295" s="3">
        <v>2000</v>
      </c>
      <c r="E295" s="3"/>
      <c r="F295" s="3"/>
      <c r="G295" s="3"/>
      <c r="H295" s="3"/>
      <c r="I295" s="3"/>
      <c r="J295" s="3"/>
    </row>
    <row r="296" spans="1:11" x14ac:dyDescent="0.2">
      <c r="A296" s="35" t="s">
        <v>1485</v>
      </c>
      <c r="C296" s="3"/>
      <c r="D296" s="3">
        <v>1000</v>
      </c>
      <c r="E296" s="3"/>
      <c r="F296" s="3"/>
      <c r="G296" s="3"/>
      <c r="H296" s="3"/>
      <c r="I296" s="3"/>
      <c r="J296" s="3"/>
    </row>
    <row r="297" spans="1:11" ht="15" x14ac:dyDescent="0.35">
      <c r="A297" s="35" t="s">
        <v>1786</v>
      </c>
      <c r="C297" s="3"/>
      <c r="D297" s="3">
        <v>0</v>
      </c>
      <c r="E297" s="3"/>
      <c r="F297" s="3"/>
      <c r="G297" s="3"/>
      <c r="H297" s="28"/>
      <c r="I297" s="28"/>
      <c r="J297" s="28"/>
    </row>
    <row r="298" spans="1:11" ht="15" x14ac:dyDescent="0.35">
      <c r="A298" s="35" t="s">
        <v>1411</v>
      </c>
      <c r="C298" s="3"/>
      <c r="D298" s="28">
        <v>1000</v>
      </c>
      <c r="E298" s="28"/>
      <c r="F298" s="28"/>
      <c r="G298" s="28"/>
      <c r="H298" s="3"/>
      <c r="I298" s="3"/>
      <c r="J298" s="3"/>
    </row>
    <row r="299" spans="1:11" x14ac:dyDescent="0.2">
      <c r="D299" s="3">
        <f>SUM(D295:D298)</f>
        <v>4000</v>
      </c>
      <c r="E299" s="3"/>
      <c r="F299" s="3"/>
      <c r="G299" s="3"/>
      <c r="H299" s="3"/>
      <c r="I299" s="3"/>
      <c r="J299" s="3"/>
    </row>
    <row r="300" spans="1:11" x14ac:dyDescent="0.2">
      <c r="D300" s="3"/>
      <c r="E300" s="3"/>
      <c r="F300" s="3"/>
      <c r="G300" s="3"/>
      <c r="H300" s="3"/>
      <c r="I300" s="3"/>
      <c r="J300" s="3"/>
    </row>
    <row r="301" spans="1:11" x14ac:dyDescent="0.2">
      <c r="D301" s="3"/>
      <c r="E301" s="3"/>
      <c r="F301" s="3"/>
      <c r="G301" s="3"/>
      <c r="H301" s="3"/>
      <c r="I301" s="3"/>
      <c r="J301" s="3"/>
    </row>
    <row r="302" spans="1:11" x14ac:dyDescent="0.2">
      <c r="D302" s="3"/>
      <c r="E302" s="3"/>
      <c r="F302" s="3"/>
      <c r="G302" s="3"/>
      <c r="H302" s="3"/>
      <c r="I302" s="3"/>
      <c r="J302" s="3"/>
    </row>
    <row r="303" spans="1:11" ht="15" x14ac:dyDescent="0.35">
      <c r="A303" s="49"/>
      <c r="D303" s="3"/>
      <c r="E303" s="28"/>
      <c r="F303" s="28"/>
      <c r="G303" s="28"/>
      <c r="H303" s="28"/>
      <c r="I303" s="28"/>
      <c r="J303" s="28"/>
    </row>
    <row r="304" spans="1:11" x14ac:dyDescent="0.2">
      <c r="A304" s="112" t="s">
        <v>1168</v>
      </c>
      <c r="D304" s="3"/>
      <c r="E304" s="3">
        <f>SUM(E2:E303)</f>
        <v>6262301</v>
      </c>
      <c r="F304" s="3">
        <f t="shared" ref="F304:J304" si="11">SUM(F2:F303)</f>
        <v>7166918</v>
      </c>
      <c r="G304" s="3">
        <f t="shared" si="11"/>
        <v>7373479</v>
      </c>
      <c r="H304" s="3">
        <f t="shared" si="11"/>
        <v>7280518</v>
      </c>
      <c r="I304" s="3">
        <f t="shared" ref="I304" si="12">SUM(I2:I303)</f>
        <v>7261645</v>
      </c>
      <c r="J304" s="3">
        <f t="shared" si="11"/>
        <v>7261645</v>
      </c>
    </row>
    <row r="305" spans="1:12" ht="15" x14ac:dyDescent="0.35">
      <c r="A305" s="49"/>
      <c r="D305" s="3"/>
      <c r="E305" s="28"/>
      <c r="F305" s="28"/>
      <c r="G305" s="28"/>
      <c r="H305" s="28"/>
      <c r="I305" s="28"/>
      <c r="J305" s="28"/>
    </row>
    <row r="306" spans="1:12" x14ac:dyDescent="0.2">
      <c r="A306" s="48" t="s">
        <v>519</v>
      </c>
      <c r="E306" s="3">
        <f>SUM(E6:E156)</f>
        <v>5735821</v>
      </c>
      <c r="F306" s="3">
        <f>SUM(F6:F156)</f>
        <v>6662916</v>
      </c>
      <c r="G306" s="3">
        <f>SUM(G6:G158)</f>
        <v>6702499</v>
      </c>
      <c r="H306" s="3">
        <f>SUM(H6:H158)</f>
        <v>6688738</v>
      </c>
      <c r="I306" s="3">
        <f>SUM(I6:I158)</f>
        <v>6669865</v>
      </c>
      <c r="J306" s="3">
        <f>SUM(J6:J158)</f>
        <v>6669865</v>
      </c>
      <c r="K306" s="3">
        <f t="shared" ref="K306:K307" si="13">+H306-F306</f>
        <v>25822</v>
      </c>
      <c r="L306" s="101">
        <f>+K306/F306</f>
        <v>3.8754803452422334E-3</v>
      </c>
    </row>
    <row r="307" spans="1:12" x14ac:dyDescent="0.2">
      <c r="A307" s="48" t="s">
        <v>809</v>
      </c>
      <c r="E307" s="3">
        <f t="shared" ref="E307:J307" si="14">SUM(E160:E274)</f>
        <v>381083</v>
      </c>
      <c r="F307" s="3">
        <f t="shared" si="14"/>
        <v>392502</v>
      </c>
      <c r="G307" s="3">
        <f t="shared" si="14"/>
        <v>503480</v>
      </c>
      <c r="H307" s="3">
        <f t="shared" si="14"/>
        <v>459280</v>
      </c>
      <c r="I307" s="3">
        <f t="shared" ref="I307" si="15">SUM(I160:I274)</f>
        <v>459280</v>
      </c>
      <c r="J307" s="3">
        <f t="shared" si="14"/>
        <v>459280</v>
      </c>
      <c r="K307" s="3">
        <f t="shared" si="13"/>
        <v>66778</v>
      </c>
      <c r="L307" s="101">
        <f t="shared" ref="L307:L308" si="16">+K307/F307</f>
        <v>0.17013416492145264</v>
      </c>
    </row>
    <row r="308" spans="1:12" ht="15" x14ac:dyDescent="0.35">
      <c r="A308" s="48" t="s">
        <v>810</v>
      </c>
      <c r="E308" s="28">
        <f t="shared" ref="E308:G308" si="17">SUM(E282:E294)</f>
        <v>145397</v>
      </c>
      <c r="F308" s="28">
        <f t="shared" si="17"/>
        <v>111500</v>
      </c>
      <c r="G308" s="28">
        <f t="shared" si="17"/>
        <v>167500</v>
      </c>
      <c r="H308" s="28">
        <f>SUM(H282:H294)</f>
        <v>132500</v>
      </c>
      <c r="I308" s="28">
        <f>SUM(I282:I294)</f>
        <v>132500</v>
      </c>
      <c r="J308" s="28">
        <f>SUM(J282:J294)</f>
        <v>132500</v>
      </c>
      <c r="K308" s="3">
        <f>+H308-F308</f>
        <v>21000</v>
      </c>
      <c r="L308" s="101">
        <f t="shared" si="16"/>
        <v>0.18834080717488788</v>
      </c>
    </row>
    <row r="309" spans="1:12" x14ac:dyDescent="0.2">
      <c r="A309" s="48" t="s">
        <v>1073</v>
      </c>
      <c r="E309" s="3">
        <f>SUM(E306:E308)</f>
        <v>6262301</v>
      </c>
      <c r="F309" s="3">
        <f t="shared" ref="F309:J309" si="18">SUM(F306:F308)</f>
        <v>7166918</v>
      </c>
      <c r="G309" s="3">
        <f t="shared" si="18"/>
        <v>7373479</v>
      </c>
      <c r="H309" s="3">
        <f t="shared" ref="H309:I309" si="19">SUM(H306:H308)</f>
        <v>7280518</v>
      </c>
      <c r="I309" s="3">
        <f t="shared" si="19"/>
        <v>7261645</v>
      </c>
      <c r="J309" s="3">
        <f t="shared" si="18"/>
        <v>7261645</v>
      </c>
    </row>
    <row r="315" spans="1:12" x14ac:dyDescent="0.2">
      <c r="J315" s="48">
        <v>6400278</v>
      </c>
    </row>
    <row r="317" spans="1:12" x14ac:dyDescent="0.2">
      <c r="J317" s="48">
        <v>6430367</v>
      </c>
    </row>
    <row r="318" spans="1:12" x14ac:dyDescent="0.2">
      <c r="J318" s="3" t="e">
        <f>+J317-#REF!</f>
        <v>#REF!</v>
      </c>
    </row>
  </sheetData>
  <sortState ref="A29:E64">
    <sortCondition ref="A29:A64"/>
  </sortState>
  <mergeCells count="1">
    <mergeCell ref="A1:J1"/>
  </mergeCells>
  <phoneticPr fontId="0" type="noConversion"/>
  <printOptions gridLines="1"/>
  <pageMargins left="0.75" right="0.16" top="0.51" bottom="0.22" header="0.5" footer="0"/>
  <pageSetup scale="86" fitToHeight="12" orientation="landscape" r:id="rId1"/>
  <headerFooter alignWithMargins="0"/>
  <rowBreaks count="2" manualBreakCount="2">
    <brk id="235" max="9" man="1"/>
    <brk id="273" max="9"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L251"/>
  <sheetViews>
    <sheetView view="pageBreakPreview" zoomScaleNormal="100" zoomScaleSheetLayoutView="100" workbookViewId="0">
      <pane ySplit="5" topLeftCell="A150" activePane="bottomLeft" state="frozen"/>
      <selection activeCell="D43" sqref="D43"/>
      <selection pane="bottomLeft" activeCell="E135" sqref="E135"/>
    </sheetView>
  </sheetViews>
  <sheetFormatPr defaultColWidth="9.140625" defaultRowHeight="12.75" x14ac:dyDescent="0.2"/>
  <cols>
    <col min="1" max="1" width="50.7109375" style="183" bestFit="1" customWidth="1"/>
    <col min="2" max="2" width="8.85546875" style="183" bestFit="1" customWidth="1"/>
    <col min="3" max="4" width="10.140625" style="183" customWidth="1"/>
    <col min="5" max="5" width="13.7109375" style="183" customWidth="1"/>
    <col min="6" max="6" width="10.28515625" style="183" bestFit="1" customWidth="1"/>
    <col min="7" max="7" width="10.85546875" style="183" bestFit="1" customWidth="1"/>
    <col min="8" max="8" width="13.5703125" style="183" bestFit="1" customWidth="1"/>
    <col min="9" max="9" width="10.28515625" style="183" bestFit="1" customWidth="1"/>
    <col min="10" max="10" width="9.5703125" style="183" customWidth="1"/>
    <col min="11" max="16384" width="9.140625" style="183"/>
  </cols>
  <sheetData>
    <row r="1" spans="1:12" x14ac:dyDescent="0.2">
      <c r="A1" s="254" t="e">
        <f>#REF!</f>
        <v>#REF!</v>
      </c>
      <c r="B1" s="255"/>
      <c r="C1" s="255"/>
      <c r="D1" s="255"/>
      <c r="E1" s="255"/>
      <c r="F1" s="255"/>
      <c r="G1" s="255"/>
      <c r="H1" s="255"/>
      <c r="I1" s="255"/>
      <c r="J1" s="255"/>
    </row>
    <row r="2" spans="1:12" ht="18.75" x14ac:dyDescent="0.3">
      <c r="A2" s="91" t="s">
        <v>1574</v>
      </c>
      <c r="B2" s="91"/>
      <c r="C2" s="91"/>
      <c r="D2" s="91"/>
      <c r="E2" s="91"/>
      <c r="F2" s="91"/>
    </row>
    <row r="3" spans="1:12" x14ac:dyDescent="0.2">
      <c r="B3" s="2"/>
      <c r="C3" s="2"/>
      <c r="D3" s="2"/>
      <c r="E3" s="2"/>
      <c r="F3" s="2"/>
    </row>
    <row r="4" spans="1:12" x14ac:dyDescent="0.2">
      <c r="B4" s="2"/>
      <c r="C4" s="2"/>
      <c r="D4" s="2"/>
      <c r="E4" s="15" t="s">
        <v>204</v>
      </c>
      <c r="F4" s="15" t="s">
        <v>205</v>
      </c>
      <c r="G4" s="15" t="s">
        <v>61</v>
      </c>
      <c r="H4" s="15" t="s">
        <v>358</v>
      </c>
      <c r="I4" s="15" t="s">
        <v>270</v>
      </c>
      <c r="J4" s="15" t="s">
        <v>301</v>
      </c>
    </row>
    <row r="5" spans="1:12" ht="15" x14ac:dyDescent="0.35">
      <c r="B5" s="2"/>
      <c r="C5" s="2"/>
      <c r="D5" s="2"/>
      <c r="E5" s="196" t="s">
        <v>1757</v>
      </c>
      <c r="F5" s="196" t="s">
        <v>1838</v>
      </c>
      <c r="G5" s="196" t="s">
        <v>1977</v>
      </c>
      <c r="H5" s="196" t="s">
        <v>1977</v>
      </c>
      <c r="I5" s="196" t="s">
        <v>1977</v>
      </c>
      <c r="J5" s="196" t="s">
        <v>1977</v>
      </c>
    </row>
    <row r="6" spans="1:12" ht="13.5" x14ac:dyDescent="0.25">
      <c r="A6" s="239" t="s">
        <v>226</v>
      </c>
      <c r="B6" s="2"/>
      <c r="C6" s="2"/>
      <c r="D6" s="2"/>
      <c r="E6" s="2">
        <v>55633</v>
      </c>
      <c r="F6" s="2">
        <v>61904</v>
      </c>
      <c r="G6" s="2">
        <v>61880</v>
      </c>
      <c r="H6" s="2">
        <v>61880</v>
      </c>
      <c r="I6" s="2">
        <v>61880</v>
      </c>
      <c r="J6" s="2">
        <v>61880</v>
      </c>
    </row>
    <row r="7" spans="1:12" ht="15" x14ac:dyDescent="0.35">
      <c r="A7" s="236" t="s">
        <v>126</v>
      </c>
      <c r="B7" s="2">
        <v>52</v>
      </c>
      <c r="C7" s="2">
        <v>1190</v>
      </c>
      <c r="D7" s="10">
        <f>ROUND(B7*C7,0)</f>
        <v>61880</v>
      </c>
      <c r="E7" s="2"/>
      <c r="F7" s="2"/>
      <c r="G7" s="2"/>
      <c r="H7" s="2"/>
      <c r="I7" s="2"/>
      <c r="J7" s="2"/>
    </row>
    <row r="8" spans="1:12" x14ac:dyDescent="0.2">
      <c r="A8" s="236"/>
      <c r="B8" s="2"/>
      <c r="C8" s="2"/>
      <c r="D8" s="2">
        <f>SUM(D7:D7)</f>
        <v>61880</v>
      </c>
      <c r="E8" s="2"/>
      <c r="F8" s="2"/>
      <c r="G8" s="2"/>
      <c r="H8" s="2"/>
      <c r="I8" s="2"/>
      <c r="J8" s="2"/>
    </row>
    <row r="9" spans="1:12" x14ac:dyDescent="0.2">
      <c r="A9" s="236"/>
      <c r="B9" s="2"/>
      <c r="C9" s="2"/>
      <c r="D9" s="2"/>
      <c r="E9" s="2"/>
      <c r="F9" s="2"/>
      <c r="G9" s="2"/>
      <c r="H9" s="2"/>
      <c r="I9" s="2"/>
      <c r="J9" s="2"/>
    </row>
    <row r="10" spans="1:12" ht="13.5" x14ac:dyDescent="0.25">
      <c r="A10" s="239" t="s">
        <v>470</v>
      </c>
      <c r="B10" s="2"/>
      <c r="C10" s="2"/>
      <c r="D10" s="2"/>
      <c r="E10" s="2">
        <v>338636</v>
      </c>
      <c r="F10" s="2">
        <v>386433</v>
      </c>
      <c r="G10" s="2">
        <v>365854</v>
      </c>
      <c r="H10" s="2">
        <v>365854</v>
      </c>
      <c r="I10" s="2">
        <v>410314</v>
      </c>
      <c r="J10" s="2">
        <v>410314</v>
      </c>
      <c r="K10" s="2">
        <v>410314</v>
      </c>
      <c r="L10" s="2">
        <f t="shared" ref="L10:L41" si="0">+K10-G10</f>
        <v>44460</v>
      </c>
    </row>
    <row r="11" spans="1:12" x14ac:dyDescent="0.2">
      <c r="A11" s="236" t="s">
        <v>618</v>
      </c>
      <c r="B11" s="2">
        <v>52</v>
      </c>
      <c r="C11" s="2">
        <v>1021</v>
      </c>
      <c r="D11" s="2">
        <f t="shared" ref="D11:D17" si="1">ROUND(B11*C11,0)</f>
        <v>53092</v>
      </c>
      <c r="E11" s="2"/>
      <c r="F11" s="2"/>
      <c r="G11" s="2"/>
      <c r="H11" s="2"/>
      <c r="I11" s="2"/>
      <c r="J11" s="2"/>
      <c r="K11" s="2"/>
      <c r="L11" s="2">
        <f t="shared" si="0"/>
        <v>0</v>
      </c>
    </row>
    <row r="12" spans="1:12" x14ac:dyDescent="0.2">
      <c r="A12" s="236" t="s">
        <v>618</v>
      </c>
      <c r="B12" s="2">
        <v>52</v>
      </c>
      <c r="C12" s="2">
        <v>1021</v>
      </c>
      <c r="D12" s="2">
        <f t="shared" si="1"/>
        <v>53092</v>
      </c>
      <c r="E12" s="2"/>
      <c r="F12" s="2"/>
      <c r="G12" s="2"/>
      <c r="H12" s="2"/>
      <c r="I12" s="2"/>
      <c r="J12" s="2"/>
      <c r="K12" s="2"/>
      <c r="L12" s="2">
        <f t="shared" si="0"/>
        <v>0</v>
      </c>
    </row>
    <row r="13" spans="1:12" x14ac:dyDescent="0.2">
      <c r="A13" s="236" t="s">
        <v>618</v>
      </c>
      <c r="B13" s="2">
        <v>52</v>
      </c>
      <c r="C13" s="2">
        <v>1021</v>
      </c>
      <c r="D13" s="2">
        <f t="shared" si="1"/>
        <v>53092</v>
      </c>
      <c r="E13" s="2"/>
      <c r="F13" s="2"/>
      <c r="G13" s="2"/>
      <c r="H13" s="2"/>
      <c r="I13" s="2"/>
      <c r="J13" s="2"/>
      <c r="K13" s="2"/>
      <c r="L13" s="2">
        <f t="shared" si="0"/>
        <v>0</v>
      </c>
    </row>
    <row r="14" spans="1:12" x14ac:dyDescent="0.2">
      <c r="A14" s="236" t="s">
        <v>618</v>
      </c>
      <c r="B14" s="2">
        <v>52</v>
      </c>
      <c r="C14" s="2">
        <v>1021</v>
      </c>
      <c r="D14" s="2">
        <f t="shared" si="1"/>
        <v>53092</v>
      </c>
      <c r="E14" s="2"/>
      <c r="F14" s="2"/>
      <c r="G14" s="2"/>
      <c r="H14" s="2"/>
      <c r="I14" s="2"/>
      <c r="J14" s="2"/>
      <c r="K14" s="2"/>
      <c r="L14" s="2">
        <f t="shared" si="0"/>
        <v>0</v>
      </c>
    </row>
    <row r="15" spans="1:12" x14ac:dyDescent="0.2">
      <c r="A15" s="236" t="s">
        <v>618</v>
      </c>
      <c r="B15" s="2">
        <v>52</v>
      </c>
      <c r="C15" s="2">
        <v>855</v>
      </c>
      <c r="D15" s="2">
        <f t="shared" si="1"/>
        <v>44460</v>
      </c>
      <c r="E15" s="2"/>
      <c r="F15" s="2"/>
      <c r="G15" s="2"/>
      <c r="H15" s="2"/>
      <c r="I15" s="2"/>
      <c r="J15" s="2"/>
      <c r="K15" s="2"/>
      <c r="L15" s="2">
        <f t="shared" si="0"/>
        <v>0</v>
      </c>
    </row>
    <row r="16" spans="1:12" x14ac:dyDescent="0.2">
      <c r="A16" s="236" t="s">
        <v>618</v>
      </c>
      <c r="B16" s="2">
        <v>52</v>
      </c>
      <c r="C16" s="2">
        <v>855</v>
      </c>
      <c r="D16" s="2">
        <f t="shared" si="1"/>
        <v>44460</v>
      </c>
      <c r="E16" s="2"/>
      <c r="F16" s="2"/>
      <c r="G16" s="2"/>
      <c r="H16" s="2"/>
      <c r="I16" s="2"/>
      <c r="J16" s="2"/>
      <c r="K16" s="2"/>
      <c r="L16" s="2">
        <f t="shared" si="0"/>
        <v>0</v>
      </c>
    </row>
    <row r="17" spans="1:12" x14ac:dyDescent="0.2">
      <c r="A17" s="236" t="s">
        <v>618</v>
      </c>
      <c r="B17" s="2">
        <v>52</v>
      </c>
      <c r="C17" s="2">
        <v>855</v>
      </c>
      <c r="D17" s="2">
        <f t="shared" si="1"/>
        <v>44460</v>
      </c>
      <c r="E17" s="2"/>
      <c r="F17" s="2"/>
      <c r="G17" s="2"/>
      <c r="H17" s="2"/>
      <c r="I17" s="2"/>
      <c r="J17" s="2"/>
      <c r="K17" s="2"/>
      <c r="L17" s="2">
        <f t="shared" si="0"/>
        <v>0</v>
      </c>
    </row>
    <row r="18" spans="1:12" x14ac:dyDescent="0.2">
      <c r="A18" s="236" t="s">
        <v>2072</v>
      </c>
      <c r="B18" s="2">
        <v>52</v>
      </c>
      <c r="C18" s="2">
        <v>855</v>
      </c>
      <c r="D18" s="2">
        <f>+B18*C18</f>
        <v>44460</v>
      </c>
      <c r="E18" s="2"/>
      <c r="F18" s="2"/>
      <c r="G18" s="2"/>
      <c r="H18" s="2"/>
      <c r="I18" s="2"/>
      <c r="J18" s="2"/>
      <c r="K18" s="2"/>
      <c r="L18" s="2">
        <f t="shared" si="0"/>
        <v>0</v>
      </c>
    </row>
    <row r="19" spans="1:12" x14ac:dyDescent="0.2">
      <c r="A19" s="236" t="s">
        <v>1836</v>
      </c>
      <c r="B19" s="2"/>
      <c r="C19" s="2"/>
      <c r="D19" s="2">
        <v>5101</v>
      </c>
      <c r="E19" s="2"/>
      <c r="F19" s="2"/>
      <c r="G19" s="2"/>
      <c r="H19" s="2"/>
      <c r="I19" s="2"/>
      <c r="J19" s="2"/>
      <c r="K19" s="2"/>
      <c r="L19" s="2">
        <f t="shared" si="0"/>
        <v>0</v>
      </c>
    </row>
    <row r="20" spans="1:12" x14ac:dyDescent="0.2">
      <c r="A20" s="236" t="s">
        <v>1751</v>
      </c>
      <c r="B20" s="2">
        <v>480</v>
      </c>
      <c r="C20" s="2">
        <v>1</v>
      </c>
      <c r="D20" s="2">
        <f>ROUND(B20*C20,0)</f>
        <v>480</v>
      </c>
      <c r="E20" s="2"/>
      <c r="F20" s="2"/>
      <c r="G20" s="2"/>
      <c r="H20" s="2"/>
      <c r="I20" s="2"/>
      <c r="J20" s="2"/>
      <c r="K20" s="2"/>
      <c r="L20" s="2">
        <f t="shared" si="0"/>
        <v>0</v>
      </c>
    </row>
    <row r="21" spans="1:12" x14ac:dyDescent="0.2">
      <c r="A21" s="236" t="s">
        <v>824</v>
      </c>
      <c r="B21" s="2"/>
      <c r="C21" s="11"/>
      <c r="D21" s="2">
        <v>1227</v>
      </c>
      <c r="E21" s="2"/>
      <c r="F21" s="2"/>
      <c r="G21" s="2"/>
      <c r="H21" s="2"/>
      <c r="I21" s="2"/>
      <c r="J21" s="2"/>
      <c r="K21" s="2"/>
      <c r="L21" s="2">
        <f t="shared" si="0"/>
        <v>0</v>
      </c>
    </row>
    <row r="22" spans="1:12" ht="15" x14ac:dyDescent="0.35">
      <c r="A22" s="236" t="s">
        <v>1499</v>
      </c>
      <c r="B22" s="2">
        <v>560</v>
      </c>
      <c r="C22" s="11">
        <f>+SUM(C11:C17)/40/7</f>
        <v>23.74642857142857</v>
      </c>
      <c r="D22" s="10">
        <f>ROUND(B22*C22,0)</f>
        <v>13298</v>
      </c>
      <c r="E22" s="2"/>
      <c r="F22" s="2"/>
      <c r="G22" s="2"/>
      <c r="H22" s="2"/>
      <c r="I22" s="2"/>
      <c r="J22" s="2"/>
      <c r="K22" s="2"/>
      <c r="L22" s="2">
        <f t="shared" si="0"/>
        <v>0</v>
      </c>
    </row>
    <row r="23" spans="1:12" x14ac:dyDescent="0.2">
      <c r="A23" s="236" t="s">
        <v>1073</v>
      </c>
      <c r="B23" s="2"/>
      <c r="C23" s="2"/>
      <c r="D23" s="2">
        <f>SUM(D11:D22)</f>
        <v>410314</v>
      </c>
      <c r="E23" s="2"/>
      <c r="F23" s="2"/>
      <c r="G23" s="2"/>
      <c r="H23" s="2"/>
      <c r="I23" s="2"/>
      <c r="J23" s="2"/>
      <c r="K23" s="2"/>
      <c r="L23" s="2">
        <f t="shared" si="0"/>
        <v>0</v>
      </c>
    </row>
    <row r="24" spans="1:12" x14ac:dyDescent="0.2">
      <c r="A24" s="236"/>
      <c r="B24" s="236"/>
      <c r="C24" s="236"/>
      <c r="D24" s="2"/>
      <c r="E24" s="2"/>
      <c r="F24" s="2"/>
      <c r="G24" s="2"/>
      <c r="H24" s="2"/>
      <c r="I24" s="2"/>
      <c r="J24" s="2"/>
      <c r="K24" s="2"/>
      <c r="L24" s="2">
        <f t="shared" si="0"/>
        <v>0</v>
      </c>
    </row>
    <row r="25" spans="1:12" ht="13.5" x14ac:dyDescent="0.25">
      <c r="A25" s="239" t="s">
        <v>619</v>
      </c>
      <c r="B25" s="236"/>
      <c r="C25" s="236"/>
      <c r="D25" s="2"/>
      <c r="E25" s="2">
        <v>5624</v>
      </c>
      <c r="F25" s="2">
        <v>3864</v>
      </c>
      <c r="G25" s="2">
        <v>3937</v>
      </c>
      <c r="H25" s="2">
        <v>3937</v>
      </c>
      <c r="I25" s="2">
        <v>3937</v>
      </c>
      <c r="J25" s="2">
        <v>3937</v>
      </c>
      <c r="K25" s="2">
        <v>3937</v>
      </c>
      <c r="L25" s="2">
        <f t="shared" si="0"/>
        <v>0</v>
      </c>
    </row>
    <row r="26" spans="1:12" x14ac:dyDescent="0.2">
      <c r="A26" s="236" t="s">
        <v>126</v>
      </c>
      <c r="B26" s="2">
        <v>88.21</v>
      </c>
      <c r="C26" s="11">
        <f>ROUND((((+C7)/40)*1.5),2)</f>
        <v>44.63</v>
      </c>
      <c r="D26" s="2">
        <f>ROUND(B26*C26,0)</f>
        <v>3937</v>
      </c>
      <c r="E26" s="2"/>
      <c r="F26" s="2"/>
      <c r="G26" s="2"/>
      <c r="H26" s="2"/>
      <c r="I26" s="2"/>
      <c r="J26" s="2"/>
      <c r="K26" s="2"/>
      <c r="L26" s="2">
        <f t="shared" si="0"/>
        <v>0</v>
      </c>
    </row>
    <row r="27" spans="1:12" x14ac:dyDescent="0.2">
      <c r="A27" s="236"/>
      <c r="B27" s="2"/>
      <c r="C27" s="11"/>
      <c r="D27" s="2"/>
      <c r="E27" s="2"/>
      <c r="F27" s="2"/>
      <c r="G27" s="2"/>
      <c r="H27" s="2"/>
      <c r="I27" s="2"/>
      <c r="J27" s="2"/>
      <c r="K27" s="2"/>
      <c r="L27" s="2">
        <f t="shared" si="0"/>
        <v>0</v>
      </c>
    </row>
    <row r="28" spans="1:12" ht="13.5" x14ac:dyDescent="0.25">
      <c r="A28" s="239" t="s">
        <v>129</v>
      </c>
      <c r="B28" s="48"/>
      <c r="C28" s="3"/>
      <c r="D28" s="3"/>
      <c r="E28" s="3">
        <v>37765</v>
      </c>
      <c r="F28" s="2">
        <v>37855</v>
      </c>
      <c r="G28" s="2">
        <v>38323</v>
      </c>
      <c r="H28" s="2">
        <v>38323</v>
      </c>
      <c r="I28" s="2">
        <v>38323</v>
      </c>
      <c r="J28" s="2">
        <v>38323</v>
      </c>
      <c r="K28" s="2">
        <v>38323</v>
      </c>
      <c r="L28" s="2">
        <f t="shared" si="0"/>
        <v>0</v>
      </c>
    </row>
    <row r="29" spans="1:12" x14ac:dyDescent="0.2">
      <c r="A29" s="236" t="s">
        <v>1511</v>
      </c>
      <c r="B29" s="3">
        <v>800</v>
      </c>
      <c r="C29" s="51">
        <v>18.55</v>
      </c>
      <c r="D29" s="3">
        <f>ROUND(B29*C29,0)</f>
        <v>14840</v>
      </c>
      <c r="E29" s="2"/>
      <c r="F29" s="2"/>
      <c r="G29" s="2"/>
      <c r="H29" s="2"/>
      <c r="I29" s="2"/>
      <c r="J29" s="2"/>
      <c r="K29" s="2"/>
      <c r="L29" s="2">
        <f t="shared" si="0"/>
        <v>0</v>
      </c>
    </row>
    <row r="30" spans="1:12" x14ac:dyDescent="0.2">
      <c r="A30" s="236" t="s">
        <v>432</v>
      </c>
      <c r="B30" s="3">
        <v>1040</v>
      </c>
      <c r="C30" s="51">
        <v>22.58</v>
      </c>
      <c r="D30" s="57">
        <f>ROUND(B30*C30,0)</f>
        <v>23483</v>
      </c>
      <c r="E30" s="2"/>
      <c r="F30" s="2"/>
      <c r="G30" s="2"/>
      <c r="H30" s="2"/>
      <c r="I30" s="2"/>
      <c r="J30" s="2"/>
      <c r="K30" s="2"/>
      <c r="L30" s="2">
        <f t="shared" si="0"/>
        <v>0</v>
      </c>
    </row>
    <row r="31" spans="1:12" x14ac:dyDescent="0.2">
      <c r="A31" s="236"/>
      <c r="B31" s="3"/>
      <c r="C31" s="51"/>
      <c r="D31" s="3">
        <f>SUM(D29:D30)</f>
        <v>38323</v>
      </c>
      <c r="E31" s="2"/>
      <c r="F31" s="2"/>
      <c r="G31" s="2"/>
      <c r="H31" s="2"/>
      <c r="I31" s="2"/>
      <c r="J31" s="2"/>
      <c r="K31" s="2"/>
      <c r="L31" s="2">
        <f t="shared" si="0"/>
        <v>0</v>
      </c>
    </row>
    <row r="32" spans="1:12" x14ac:dyDescent="0.2">
      <c r="A32" s="236"/>
      <c r="B32" s="3"/>
      <c r="C32" s="3"/>
      <c r="D32" s="3"/>
      <c r="E32" s="2"/>
      <c r="F32" s="2"/>
      <c r="G32" s="2"/>
      <c r="H32" s="2"/>
      <c r="I32" s="2"/>
      <c r="J32" s="2"/>
      <c r="K32" s="2"/>
      <c r="L32" s="2">
        <f t="shared" si="0"/>
        <v>0</v>
      </c>
    </row>
    <row r="33" spans="1:12" ht="13.5" x14ac:dyDescent="0.25">
      <c r="A33" s="239" t="s">
        <v>780</v>
      </c>
      <c r="B33" s="236"/>
      <c r="C33" s="236"/>
      <c r="D33" s="2"/>
      <c r="E33" s="2">
        <v>65969</v>
      </c>
      <c r="F33" s="2">
        <v>31396</v>
      </c>
      <c r="G33" s="2">
        <v>30241</v>
      </c>
      <c r="H33" s="2">
        <v>30241</v>
      </c>
      <c r="I33" s="2">
        <v>30241</v>
      </c>
      <c r="J33" s="2">
        <v>30241</v>
      </c>
      <c r="K33" s="2">
        <v>30241</v>
      </c>
      <c r="L33" s="2">
        <f t="shared" si="0"/>
        <v>0</v>
      </c>
    </row>
    <row r="34" spans="1:12" x14ac:dyDescent="0.2">
      <c r="A34" s="236" t="s">
        <v>781</v>
      </c>
      <c r="B34" s="2" t="s">
        <v>345</v>
      </c>
      <c r="C34" s="11" t="s">
        <v>345</v>
      </c>
      <c r="D34" s="2" t="s">
        <v>345</v>
      </c>
      <c r="E34" s="2"/>
      <c r="F34" s="2"/>
      <c r="G34" s="2"/>
      <c r="H34" s="2"/>
      <c r="I34" s="2"/>
      <c r="J34" s="2"/>
      <c r="K34" s="2"/>
      <c r="L34" s="2">
        <f t="shared" si="0"/>
        <v>0</v>
      </c>
    </row>
    <row r="35" spans="1:12" ht="15.6" customHeight="1" x14ac:dyDescent="0.2">
      <c r="A35" s="236" t="s">
        <v>782</v>
      </c>
      <c r="B35" s="2">
        <v>849</v>
      </c>
      <c r="C35" s="11">
        <f>+C22*1.5</f>
        <v>35.619642857142857</v>
      </c>
      <c r="D35" s="3">
        <f>ROUND(B35*C35,0)</f>
        <v>30241</v>
      </c>
      <c r="E35" s="2"/>
      <c r="F35" s="2"/>
      <c r="G35" s="2"/>
      <c r="H35" s="2"/>
      <c r="I35" s="2"/>
      <c r="J35" s="2"/>
      <c r="K35" s="2"/>
      <c r="L35" s="2">
        <f t="shared" si="0"/>
        <v>0</v>
      </c>
    </row>
    <row r="36" spans="1:12" x14ac:dyDescent="0.2">
      <c r="A36" s="236"/>
      <c r="B36" s="2"/>
      <c r="C36" s="11"/>
      <c r="D36" s="2"/>
      <c r="E36" s="2"/>
      <c r="F36" s="2"/>
      <c r="G36" s="2"/>
      <c r="H36" s="2"/>
      <c r="I36" s="2"/>
      <c r="J36" s="2"/>
      <c r="K36" s="2"/>
      <c r="L36" s="2">
        <f t="shared" si="0"/>
        <v>0</v>
      </c>
    </row>
    <row r="37" spans="1:12" ht="13.5" x14ac:dyDescent="0.25">
      <c r="A37" s="239" t="s">
        <v>783</v>
      </c>
      <c r="B37" s="236"/>
      <c r="C37" s="236"/>
      <c r="D37" s="2"/>
      <c r="E37" s="2">
        <v>38556</v>
      </c>
      <c r="F37" s="2">
        <v>39787</v>
      </c>
      <c r="G37" s="2">
        <v>38268</v>
      </c>
      <c r="H37" s="2">
        <v>38268</v>
      </c>
      <c r="I37" s="2">
        <v>41669</v>
      </c>
      <c r="J37" s="2">
        <v>41669</v>
      </c>
      <c r="K37" s="2">
        <v>41669</v>
      </c>
      <c r="L37" s="2">
        <f t="shared" si="0"/>
        <v>3401</v>
      </c>
    </row>
    <row r="38" spans="1:12" hidden="1" x14ac:dyDescent="0.2">
      <c r="A38" s="12" t="s">
        <v>1271</v>
      </c>
      <c r="B38" s="2">
        <f>+D7</f>
        <v>61880</v>
      </c>
      <c r="C38" s="13">
        <v>7.6499999999999999E-2</v>
      </c>
      <c r="D38" s="2">
        <f>ROUND(B38*C38,0)</f>
        <v>4734</v>
      </c>
      <c r="E38" s="2"/>
      <c r="F38" s="2"/>
      <c r="G38" s="2"/>
      <c r="H38" s="2"/>
      <c r="I38" s="2"/>
      <c r="J38" s="2"/>
      <c r="K38" s="2"/>
      <c r="L38" s="2">
        <f t="shared" si="0"/>
        <v>0</v>
      </c>
    </row>
    <row r="39" spans="1:12" hidden="1" x14ac:dyDescent="0.2">
      <c r="A39" s="12" t="s">
        <v>688</v>
      </c>
      <c r="B39" s="2">
        <f>+D23</f>
        <v>410314</v>
      </c>
      <c r="C39" s="13">
        <v>7.6499999999999999E-2</v>
      </c>
      <c r="D39" s="2">
        <f>ROUND(B39*C39,0)</f>
        <v>31389</v>
      </c>
      <c r="E39" s="2"/>
      <c r="F39" s="2"/>
      <c r="G39" s="2"/>
      <c r="H39" s="2"/>
      <c r="I39" s="2"/>
      <c r="J39" s="2"/>
      <c r="K39" s="2"/>
      <c r="L39" s="2">
        <f t="shared" si="0"/>
        <v>0</v>
      </c>
    </row>
    <row r="40" spans="1:12" hidden="1" x14ac:dyDescent="0.2">
      <c r="A40" s="12" t="s">
        <v>763</v>
      </c>
      <c r="B40" s="2">
        <f>+D26</f>
        <v>3937</v>
      </c>
      <c r="C40" s="13">
        <v>7.6499999999999999E-2</v>
      </c>
      <c r="D40" s="2">
        <f>ROUND(B40*C40,0)</f>
        <v>301</v>
      </c>
      <c r="E40" s="2"/>
      <c r="F40" s="2"/>
      <c r="G40" s="2"/>
      <c r="H40" s="2"/>
      <c r="I40" s="2"/>
      <c r="J40" s="2"/>
      <c r="K40" s="2"/>
      <c r="L40" s="2">
        <f t="shared" si="0"/>
        <v>0</v>
      </c>
    </row>
    <row r="41" spans="1:12" hidden="1" x14ac:dyDescent="0.2">
      <c r="A41" s="12" t="s">
        <v>155</v>
      </c>
      <c r="B41" s="2">
        <f>+D31</f>
        <v>38323</v>
      </c>
      <c r="C41" s="13">
        <v>7.6499999999999999E-2</v>
      </c>
      <c r="D41" s="2">
        <f>ROUND(B41*C41,0)</f>
        <v>2932</v>
      </c>
      <c r="E41" s="2"/>
      <c r="F41" s="2"/>
      <c r="G41" s="2"/>
      <c r="H41" s="2"/>
      <c r="I41" s="2"/>
      <c r="J41" s="2"/>
      <c r="K41" s="2"/>
      <c r="L41" s="2">
        <f t="shared" si="0"/>
        <v>0</v>
      </c>
    </row>
    <row r="42" spans="1:12" ht="15" hidden="1" x14ac:dyDescent="0.35">
      <c r="A42" s="12" t="s">
        <v>156</v>
      </c>
      <c r="B42" s="2">
        <f>+D35</f>
        <v>30241</v>
      </c>
      <c r="C42" s="13">
        <v>7.6499999999999999E-2</v>
      </c>
      <c r="D42" s="10">
        <f>ROUND(B42*C42,0)</f>
        <v>2313</v>
      </c>
      <c r="E42" s="2"/>
      <c r="F42" s="2"/>
      <c r="G42" s="2"/>
      <c r="H42" s="2"/>
      <c r="I42" s="2"/>
      <c r="J42" s="2"/>
      <c r="K42" s="2"/>
      <c r="L42" s="2">
        <f t="shared" ref="L42:L73" si="2">+K42-G42</f>
        <v>0</v>
      </c>
    </row>
    <row r="43" spans="1:12" hidden="1" x14ac:dyDescent="0.2">
      <c r="A43" s="236" t="s">
        <v>1073</v>
      </c>
      <c r="B43" s="236"/>
      <c r="C43" s="236"/>
      <c r="D43" s="2">
        <f>SUM(D38:D42)</f>
        <v>41669</v>
      </c>
      <c r="E43" s="2"/>
      <c r="F43" s="2"/>
      <c r="G43" s="2"/>
      <c r="H43" s="2"/>
      <c r="I43" s="2"/>
      <c r="J43" s="2"/>
      <c r="K43" s="2"/>
      <c r="L43" s="2">
        <f t="shared" si="2"/>
        <v>0</v>
      </c>
    </row>
    <row r="44" spans="1:12" x14ac:dyDescent="0.2">
      <c r="A44" s="236"/>
      <c r="B44" s="236"/>
      <c r="C44" s="236"/>
      <c r="D44" s="2"/>
      <c r="E44" s="2"/>
      <c r="F44" s="2"/>
      <c r="G44" s="2"/>
      <c r="H44" s="2"/>
      <c r="I44" s="2"/>
      <c r="J44" s="2"/>
      <c r="K44" s="2"/>
      <c r="L44" s="2">
        <f t="shared" si="2"/>
        <v>0</v>
      </c>
    </row>
    <row r="45" spans="1:12" ht="13.5" x14ac:dyDescent="0.25">
      <c r="A45" s="14" t="s">
        <v>896</v>
      </c>
      <c r="B45" s="236"/>
      <c r="C45" s="236"/>
      <c r="D45" s="2"/>
      <c r="E45" s="2">
        <v>52246</v>
      </c>
      <c r="F45" s="2">
        <v>67802</v>
      </c>
      <c r="G45" s="2">
        <v>64945</v>
      </c>
      <c r="H45" s="2">
        <v>64945</v>
      </c>
      <c r="I45" s="2">
        <v>71196</v>
      </c>
      <c r="J45" s="2">
        <v>71196</v>
      </c>
      <c r="K45" s="2">
        <v>71196</v>
      </c>
      <c r="L45" s="2">
        <f t="shared" si="2"/>
        <v>6251</v>
      </c>
    </row>
    <row r="46" spans="1:12" hidden="1" x14ac:dyDescent="0.2">
      <c r="A46" s="12" t="s">
        <v>1271</v>
      </c>
      <c r="B46" s="2">
        <f>+B38+B40</f>
        <v>65817</v>
      </c>
      <c r="C46" s="190">
        <v>0.1406</v>
      </c>
      <c r="D46" s="2">
        <f>ROUND(B46*C46,0)</f>
        <v>9254</v>
      </c>
      <c r="E46" s="2"/>
      <c r="F46" s="2"/>
      <c r="G46" s="2"/>
      <c r="H46" s="2"/>
      <c r="I46" s="2"/>
      <c r="J46" s="2"/>
      <c r="K46" s="2"/>
      <c r="L46" s="2">
        <f t="shared" si="2"/>
        <v>0</v>
      </c>
    </row>
    <row r="47" spans="1:12" ht="15" hidden="1" x14ac:dyDescent="0.35">
      <c r="A47" s="236" t="s">
        <v>1188</v>
      </c>
      <c r="B47" s="2">
        <f>+D23+D35</f>
        <v>440555</v>
      </c>
      <c r="C47" s="190">
        <v>0.1406</v>
      </c>
      <c r="D47" s="10">
        <f>ROUND(B47*C47,0)</f>
        <v>61942</v>
      </c>
      <c r="E47" s="2"/>
      <c r="F47" s="2"/>
      <c r="G47" s="2"/>
      <c r="H47" s="2"/>
      <c r="I47" s="2"/>
      <c r="J47" s="2"/>
      <c r="K47" s="2"/>
      <c r="L47" s="2">
        <f t="shared" si="2"/>
        <v>0</v>
      </c>
    </row>
    <row r="48" spans="1:12" hidden="1" x14ac:dyDescent="0.2">
      <c r="A48" s="236" t="s">
        <v>1073</v>
      </c>
      <c r="B48" s="236"/>
      <c r="C48" s="236"/>
      <c r="D48" s="2">
        <f>SUM(D46:D47)</f>
        <v>71196</v>
      </c>
      <c r="E48" s="2"/>
      <c r="F48" s="2"/>
      <c r="G48" s="2"/>
      <c r="H48" s="2"/>
      <c r="I48" s="2"/>
      <c r="J48" s="2"/>
      <c r="K48" s="2"/>
      <c r="L48" s="2">
        <f t="shared" si="2"/>
        <v>0</v>
      </c>
    </row>
    <row r="49" spans="1:12" x14ac:dyDescent="0.2">
      <c r="A49" s="236"/>
      <c r="B49" s="236"/>
      <c r="C49" s="236"/>
      <c r="D49" s="2"/>
      <c r="E49" s="2"/>
      <c r="F49" s="2"/>
      <c r="G49" s="2"/>
      <c r="H49" s="2"/>
      <c r="I49" s="2"/>
      <c r="J49" s="2"/>
      <c r="K49" s="2"/>
      <c r="L49" s="2">
        <f t="shared" si="2"/>
        <v>0</v>
      </c>
    </row>
    <row r="50" spans="1:12" ht="13.5" x14ac:dyDescent="0.25">
      <c r="A50" s="239" t="s">
        <v>961</v>
      </c>
      <c r="B50" s="236"/>
      <c r="C50" s="236"/>
      <c r="D50" s="2"/>
      <c r="E50" s="2">
        <v>145791</v>
      </c>
      <c r="F50" s="2">
        <v>158000</v>
      </c>
      <c r="G50" s="2">
        <v>156000</v>
      </c>
      <c r="H50" s="2">
        <v>156000</v>
      </c>
      <c r="I50" s="2">
        <v>171000</v>
      </c>
      <c r="J50" s="2">
        <v>171000</v>
      </c>
      <c r="K50" s="2">
        <v>175500</v>
      </c>
      <c r="L50" s="2">
        <f t="shared" si="2"/>
        <v>19500</v>
      </c>
    </row>
    <row r="51" spans="1:12" hidden="1" x14ac:dyDescent="0.2">
      <c r="A51" s="236" t="s">
        <v>1518</v>
      </c>
      <c r="B51" s="2">
        <v>1</v>
      </c>
      <c r="C51" s="2">
        <v>19000</v>
      </c>
      <c r="D51" s="2">
        <f>ROUND(B51*C51,0)</f>
        <v>19000</v>
      </c>
      <c r="E51" s="2"/>
      <c r="F51" s="2"/>
      <c r="G51" s="2"/>
      <c r="H51" s="2"/>
      <c r="I51" s="2"/>
      <c r="J51" s="2"/>
      <c r="K51" s="2"/>
      <c r="L51" s="2">
        <f t="shared" si="2"/>
        <v>0</v>
      </c>
    </row>
    <row r="52" spans="1:12" ht="15" hidden="1" x14ac:dyDescent="0.35">
      <c r="A52" s="236" t="s">
        <v>1519</v>
      </c>
      <c r="B52" s="2">
        <v>8</v>
      </c>
      <c r="C52" s="2">
        <v>19000</v>
      </c>
      <c r="D52" s="10">
        <f>ROUND(B52*C52,0)</f>
        <v>152000</v>
      </c>
      <c r="E52" s="2"/>
      <c r="F52" s="2"/>
      <c r="G52" s="2"/>
      <c r="H52" s="2"/>
      <c r="I52" s="2"/>
      <c r="J52" s="2"/>
      <c r="K52" s="2"/>
      <c r="L52" s="2">
        <f t="shared" si="2"/>
        <v>0</v>
      </c>
    </row>
    <row r="53" spans="1:12" hidden="1" x14ac:dyDescent="0.2">
      <c r="A53" s="236" t="s">
        <v>683</v>
      </c>
      <c r="B53" s="2"/>
      <c r="C53" s="2"/>
      <c r="D53" s="2">
        <f>SUM(D51:D52)</f>
        <v>171000</v>
      </c>
      <c r="E53" s="2"/>
      <c r="F53" s="2"/>
      <c r="G53" s="2"/>
      <c r="H53" s="2"/>
      <c r="I53" s="2"/>
      <c r="J53" s="2"/>
      <c r="K53" s="2"/>
      <c r="L53" s="2">
        <f t="shared" si="2"/>
        <v>0</v>
      </c>
    </row>
    <row r="54" spans="1:12" x14ac:dyDescent="0.2">
      <c r="A54" s="236"/>
      <c r="B54" s="236"/>
      <c r="C54" s="236"/>
      <c r="D54" s="2"/>
      <c r="E54" s="2"/>
      <c r="F54" s="2"/>
      <c r="G54" s="2"/>
      <c r="H54" s="2"/>
      <c r="I54" s="2"/>
      <c r="J54" s="2"/>
      <c r="K54" s="2"/>
      <c r="L54" s="2">
        <f t="shared" si="2"/>
        <v>0</v>
      </c>
    </row>
    <row r="55" spans="1:12" ht="13.5" x14ac:dyDescent="0.25">
      <c r="A55" s="239" t="s">
        <v>164</v>
      </c>
      <c r="B55" s="236"/>
      <c r="C55" s="236"/>
      <c r="D55" s="2"/>
      <c r="E55" s="2">
        <v>9310</v>
      </c>
      <c r="F55" s="2">
        <v>10220</v>
      </c>
      <c r="G55" s="2">
        <v>10038</v>
      </c>
      <c r="H55" s="2">
        <v>10038</v>
      </c>
      <c r="I55" s="2">
        <v>11413</v>
      </c>
      <c r="J55" s="2">
        <v>11413</v>
      </c>
      <c r="K55" s="2">
        <v>11413</v>
      </c>
      <c r="L55" s="2">
        <f t="shared" si="2"/>
        <v>1375</v>
      </c>
    </row>
    <row r="56" spans="1:12" hidden="1" x14ac:dyDescent="0.2">
      <c r="A56" s="236" t="s">
        <v>264</v>
      </c>
      <c r="B56" s="2">
        <v>1</v>
      </c>
      <c r="C56" s="2">
        <v>1375</v>
      </c>
      <c r="D56" s="2">
        <f>ROUND(B56*C56,0)</f>
        <v>1375</v>
      </c>
      <c r="E56" s="2"/>
      <c r="F56" s="2"/>
      <c r="G56" s="2"/>
      <c r="H56" s="2"/>
      <c r="I56" s="2"/>
      <c r="J56" s="2"/>
      <c r="K56" s="2"/>
      <c r="L56" s="2">
        <f t="shared" si="2"/>
        <v>0</v>
      </c>
    </row>
    <row r="57" spans="1:12" hidden="1" x14ac:dyDescent="0.2">
      <c r="A57" s="236" t="s">
        <v>530</v>
      </c>
      <c r="B57" s="2">
        <v>8</v>
      </c>
      <c r="C57" s="2">
        <v>1375</v>
      </c>
      <c r="D57" s="2">
        <f>ROUND(B57*C57,0)</f>
        <v>11000</v>
      </c>
      <c r="E57" s="2"/>
      <c r="F57" s="2"/>
      <c r="G57" s="2"/>
      <c r="H57" s="2"/>
      <c r="I57" s="2"/>
      <c r="J57" s="2"/>
      <c r="K57" s="2"/>
      <c r="L57" s="2">
        <f t="shared" si="2"/>
        <v>0</v>
      </c>
    </row>
    <row r="58" spans="1:12" hidden="1" x14ac:dyDescent="0.2">
      <c r="A58" s="236" t="s">
        <v>531</v>
      </c>
      <c r="B58" s="2"/>
      <c r="C58" s="2"/>
      <c r="D58" s="17">
        <f>+C57*-0.1*7</f>
        <v>-962.5</v>
      </c>
      <c r="E58" s="2"/>
      <c r="F58" s="2"/>
      <c r="G58" s="2"/>
      <c r="H58" s="2"/>
      <c r="I58" s="2"/>
      <c r="J58" s="2"/>
      <c r="K58" s="2"/>
      <c r="L58" s="2">
        <f t="shared" si="2"/>
        <v>0</v>
      </c>
    </row>
    <row r="59" spans="1:12" hidden="1" x14ac:dyDescent="0.2">
      <c r="A59" s="236" t="s">
        <v>683</v>
      </c>
      <c r="B59" s="2"/>
      <c r="C59" s="2"/>
      <c r="D59" s="2">
        <f>SUM(D56:D58)</f>
        <v>11412.5</v>
      </c>
      <c r="E59" s="2"/>
      <c r="F59" s="2"/>
      <c r="G59" s="2"/>
      <c r="H59" s="2"/>
      <c r="I59" s="2"/>
      <c r="J59" s="2"/>
      <c r="K59" s="2"/>
      <c r="L59" s="2">
        <f t="shared" si="2"/>
        <v>0</v>
      </c>
    </row>
    <row r="60" spans="1:12" x14ac:dyDescent="0.2">
      <c r="A60" s="236"/>
      <c r="B60" s="236"/>
      <c r="C60" s="236"/>
      <c r="D60" s="2"/>
      <c r="E60" s="2"/>
      <c r="F60" s="2"/>
      <c r="G60" s="2"/>
      <c r="H60" s="2"/>
      <c r="I60" s="2"/>
      <c r="J60" s="2"/>
      <c r="K60" s="2"/>
      <c r="L60" s="2">
        <f t="shared" si="2"/>
        <v>0</v>
      </c>
    </row>
    <row r="61" spans="1:12" ht="13.5" x14ac:dyDescent="0.25">
      <c r="A61" s="239" t="s">
        <v>165</v>
      </c>
      <c r="B61" s="236"/>
      <c r="C61" s="236"/>
      <c r="D61" s="2"/>
      <c r="E61" s="2">
        <v>894</v>
      </c>
      <c r="F61" s="2">
        <v>1080</v>
      </c>
      <c r="G61" s="2">
        <v>1080</v>
      </c>
      <c r="H61" s="2">
        <v>1080</v>
      </c>
      <c r="I61" s="2">
        <v>1215</v>
      </c>
      <c r="J61" s="2">
        <v>1215</v>
      </c>
      <c r="K61" s="2">
        <v>1215</v>
      </c>
      <c r="L61" s="2">
        <f t="shared" si="2"/>
        <v>135</v>
      </c>
    </row>
    <row r="62" spans="1:12" hidden="1" x14ac:dyDescent="0.2">
      <c r="A62" s="12" t="s">
        <v>1271</v>
      </c>
      <c r="B62" s="2">
        <v>1</v>
      </c>
      <c r="C62" s="2">
        <v>135</v>
      </c>
      <c r="D62" s="2">
        <f>ROUND(B62*C62,0)</f>
        <v>135</v>
      </c>
      <c r="E62" s="2"/>
      <c r="F62" s="2"/>
      <c r="G62" s="2"/>
      <c r="H62" s="2"/>
      <c r="I62" s="2"/>
      <c r="J62" s="2"/>
      <c r="K62" s="2"/>
      <c r="L62" s="2">
        <f t="shared" si="2"/>
        <v>0</v>
      </c>
    </row>
    <row r="63" spans="1:12" ht="15" hidden="1" x14ac:dyDescent="0.35">
      <c r="A63" s="12" t="s">
        <v>688</v>
      </c>
      <c r="B63" s="2">
        <v>8</v>
      </c>
      <c r="C63" s="2">
        <v>135</v>
      </c>
      <c r="D63" s="10">
        <f>ROUND(B63*C63,0)</f>
        <v>1080</v>
      </c>
      <c r="E63" s="2"/>
      <c r="F63" s="2"/>
      <c r="G63" s="2"/>
      <c r="H63" s="2"/>
      <c r="I63" s="2"/>
      <c r="J63" s="2"/>
      <c r="K63" s="2"/>
      <c r="L63" s="2">
        <f t="shared" si="2"/>
        <v>0</v>
      </c>
    </row>
    <row r="64" spans="1:12" hidden="1" x14ac:dyDescent="0.2">
      <c r="A64" s="236" t="s">
        <v>1073</v>
      </c>
      <c r="B64" s="2"/>
      <c r="C64" s="2"/>
      <c r="D64" s="2">
        <f>SUM(D62:D63)</f>
        <v>1215</v>
      </c>
      <c r="E64" s="2"/>
      <c r="F64" s="2"/>
      <c r="G64" s="2"/>
      <c r="H64" s="2"/>
      <c r="I64" s="2"/>
      <c r="J64" s="2"/>
      <c r="K64" s="2"/>
      <c r="L64" s="2">
        <f t="shared" si="2"/>
        <v>0</v>
      </c>
    </row>
    <row r="65" spans="1:12" x14ac:dyDescent="0.2">
      <c r="A65" s="236"/>
      <c r="B65" s="236"/>
      <c r="C65" s="236"/>
      <c r="D65" s="2"/>
      <c r="E65" s="2"/>
      <c r="F65" s="2"/>
      <c r="G65" s="2"/>
      <c r="H65" s="2"/>
      <c r="I65" s="2"/>
      <c r="J65" s="2"/>
      <c r="K65" s="2"/>
      <c r="L65" s="2">
        <f t="shared" si="2"/>
        <v>0</v>
      </c>
    </row>
    <row r="66" spans="1:12" ht="13.5" x14ac:dyDescent="0.25">
      <c r="A66" s="239" t="s">
        <v>166</v>
      </c>
      <c r="B66" s="236"/>
      <c r="C66" s="236"/>
      <c r="D66" s="2"/>
      <c r="E66" s="2">
        <v>4878</v>
      </c>
      <c r="F66" s="2">
        <v>4400</v>
      </c>
      <c r="G66" s="2">
        <v>4200</v>
      </c>
      <c r="H66" s="2">
        <v>4200</v>
      </c>
      <c r="I66" s="2">
        <v>4725</v>
      </c>
      <c r="J66" s="2">
        <v>4725</v>
      </c>
      <c r="K66" s="2">
        <v>4725</v>
      </c>
      <c r="L66" s="2">
        <f t="shared" si="2"/>
        <v>525</v>
      </c>
    </row>
    <row r="67" spans="1:12" hidden="1" x14ac:dyDescent="0.2">
      <c r="A67" s="12" t="s">
        <v>1271</v>
      </c>
      <c r="B67" s="2">
        <v>1</v>
      </c>
      <c r="C67" s="2">
        <v>525</v>
      </c>
      <c r="D67" s="2">
        <f>ROUND(B67*C67,0)</f>
        <v>525</v>
      </c>
      <c r="E67" s="2"/>
      <c r="F67" s="2"/>
      <c r="G67" s="2"/>
      <c r="H67" s="2"/>
      <c r="I67" s="2"/>
      <c r="J67" s="2"/>
      <c r="K67" s="2"/>
      <c r="L67" s="2">
        <f t="shared" si="2"/>
        <v>0</v>
      </c>
    </row>
    <row r="68" spans="1:12" ht="15" hidden="1" x14ac:dyDescent="0.35">
      <c r="A68" s="12" t="s">
        <v>688</v>
      </c>
      <c r="B68" s="2">
        <v>8</v>
      </c>
      <c r="C68" s="2">
        <v>525</v>
      </c>
      <c r="D68" s="10">
        <f>ROUND(B68*C68,0)</f>
        <v>4200</v>
      </c>
      <c r="E68" s="2"/>
      <c r="F68" s="2"/>
      <c r="G68" s="2"/>
      <c r="H68" s="2"/>
      <c r="I68" s="2"/>
      <c r="J68" s="2"/>
      <c r="K68" s="2"/>
      <c r="L68" s="2">
        <f t="shared" si="2"/>
        <v>0</v>
      </c>
    </row>
    <row r="69" spans="1:12" hidden="1" x14ac:dyDescent="0.2">
      <c r="A69" s="236" t="s">
        <v>1073</v>
      </c>
      <c r="B69" s="2"/>
      <c r="C69" s="2"/>
      <c r="D69" s="2">
        <f>SUM(D67:D68)</f>
        <v>4725</v>
      </c>
      <c r="E69" s="2"/>
      <c r="F69" s="2"/>
      <c r="G69" s="2"/>
      <c r="H69" s="2"/>
      <c r="I69" s="2"/>
      <c r="J69" s="2"/>
      <c r="K69" s="2"/>
      <c r="L69" s="2">
        <f t="shared" si="2"/>
        <v>0</v>
      </c>
    </row>
    <row r="70" spans="1:12" x14ac:dyDescent="0.2">
      <c r="A70" s="236"/>
      <c r="B70" s="236"/>
      <c r="C70" s="236"/>
      <c r="D70" s="236"/>
      <c r="E70" s="2"/>
      <c r="F70" s="2"/>
      <c r="G70" s="2"/>
      <c r="H70" s="2"/>
      <c r="I70" s="2"/>
      <c r="J70" s="2"/>
      <c r="K70" s="2"/>
      <c r="L70" s="2">
        <f t="shared" si="2"/>
        <v>0</v>
      </c>
    </row>
    <row r="71" spans="1:12" ht="13.5" x14ac:dyDescent="0.25">
      <c r="A71" s="239" t="s">
        <v>167</v>
      </c>
      <c r="B71" s="103"/>
      <c r="C71" s="236"/>
      <c r="D71" s="236"/>
      <c r="E71" s="2">
        <v>757</v>
      </c>
      <c r="F71" s="2">
        <v>886</v>
      </c>
      <c r="G71" s="2">
        <v>874</v>
      </c>
      <c r="H71" s="2">
        <v>874</v>
      </c>
      <c r="I71" s="2">
        <v>951</v>
      </c>
      <c r="J71" s="2">
        <v>951</v>
      </c>
      <c r="K71" s="2">
        <v>951</v>
      </c>
      <c r="L71" s="2">
        <f t="shared" si="2"/>
        <v>77</v>
      </c>
    </row>
    <row r="72" spans="1:12" hidden="1" x14ac:dyDescent="0.2">
      <c r="A72" s="12" t="s">
        <v>1271</v>
      </c>
      <c r="B72" s="2">
        <f>+B38</f>
        <v>61880</v>
      </c>
      <c r="C72" s="13">
        <v>1.74E-3</v>
      </c>
      <c r="D72" s="2">
        <f>ROUND(B72*C72,0)</f>
        <v>108</v>
      </c>
      <c r="E72" s="2"/>
      <c r="F72" s="2"/>
      <c r="G72" s="2"/>
      <c r="H72" s="2"/>
      <c r="I72" s="2"/>
      <c r="J72" s="2"/>
      <c r="K72" s="2"/>
      <c r="L72" s="2">
        <f t="shared" si="2"/>
        <v>0</v>
      </c>
    </row>
    <row r="73" spans="1:12" hidden="1" x14ac:dyDescent="0.2">
      <c r="A73" s="12" t="s">
        <v>688</v>
      </c>
      <c r="B73" s="2">
        <f>+D23</f>
        <v>410314</v>
      </c>
      <c r="C73" s="13">
        <v>1.74E-3</v>
      </c>
      <c r="D73" s="2">
        <f>ROUND(B73*C73,0)</f>
        <v>714</v>
      </c>
      <c r="E73" s="2"/>
      <c r="F73" s="2"/>
      <c r="G73" s="2"/>
      <c r="H73" s="2"/>
      <c r="I73" s="2"/>
      <c r="J73" s="2"/>
      <c r="K73" s="2"/>
      <c r="L73" s="2">
        <f t="shared" si="2"/>
        <v>0</v>
      </c>
    </row>
    <row r="74" spans="1:12" hidden="1" x14ac:dyDescent="0.2">
      <c r="A74" s="12" t="s">
        <v>1605</v>
      </c>
      <c r="B74" s="2">
        <f>+D26</f>
        <v>3937</v>
      </c>
      <c r="C74" s="13">
        <v>1.74E-3</v>
      </c>
      <c r="D74" s="2">
        <f>ROUND(B74*C74,0)</f>
        <v>7</v>
      </c>
      <c r="E74" s="236"/>
      <c r="F74" s="2"/>
      <c r="G74" s="2"/>
      <c r="H74" s="2"/>
      <c r="I74" s="2"/>
      <c r="J74" s="2"/>
      <c r="K74" s="2"/>
      <c r="L74" s="2">
        <f t="shared" ref="L74:L79" si="3">+K74-G74</f>
        <v>0</v>
      </c>
    </row>
    <row r="75" spans="1:12" hidden="1" x14ac:dyDescent="0.2">
      <c r="A75" s="12" t="s">
        <v>155</v>
      </c>
      <c r="B75" s="2">
        <f>+D31</f>
        <v>38323</v>
      </c>
      <c r="C75" s="13">
        <v>1.74E-3</v>
      </c>
      <c r="D75" s="2">
        <f>ROUND(B75*C75,0)</f>
        <v>67</v>
      </c>
      <c r="E75" s="2"/>
      <c r="F75" s="2"/>
      <c r="G75" s="2"/>
      <c r="H75" s="2"/>
      <c r="I75" s="2"/>
      <c r="J75" s="2"/>
      <c r="K75" s="2"/>
      <c r="L75" s="2">
        <f t="shared" si="3"/>
        <v>0</v>
      </c>
    </row>
    <row r="76" spans="1:12" ht="15" hidden="1" x14ac:dyDescent="0.35">
      <c r="A76" s="12" t="s">
        <v>1606</v>
      </c>
      <c r="B76" s="2">
        <f>ROUND(D35,0)</f>
        <v>30241</v>
      </c>
      <c r="C76" s="13">
        <v>1.74E-3</v>
      </c>
      <c r="D76" s="10">
        <f>ROUND(B76*C76,0)</f>
        <v>53</v>
      </c>
      <c r="E76" s="2"/>
      <c r="F76" s="2"/>
      <c r="G76" s="2"/>
      <c r="H76" s="2"/>
      <c r="I76" s="2"/>
      <c r="J76" s="2"/>
      <c r="K76" s="2"/>
      <c r="L76" s="2">
        <f t="shared" si="3"/>
        <v>0</v>
      </c>
    </row>
    <row r="77" spans="1:12" hidden="1" x14ac:dyDescent="0.2">
      <c r="A77" s="236" t="s">
        <v>1073</v>
      </c>
      <c r="B77" s="236"/>
      <c r="C77" s="236"/>
      <c r="D77" s="2">
        <f>SUM(D72:D76)+2</f>
        <v>951</v>
      </c>
      <c r="E77" s="2"/>
      <c r="F77" s="2"/>
      <c r="G77" s="2"/>
      <c r="H77" s="2"/>
      <c r="I77" s="2"/>
      <c r="J77" s="2"/>
      <c r="K77" s="2"/>
      <c r="L77" s="2">
        <f t="shared" si="3"/>
        <v>0</v>
      </c>
    </row>
    <row r="78" spans="1:12" x14ac:dyDescent="0.2">
      <c r="A78" s="236"/>
      <c r="B78" s="236"/>
      <c r="C78" s="236"/>
      <c r="D78" s="236"/>
      <c r="E78" s="2"/>
      <c r="F78" s="2"/>
      <c r="G78" s="2"/>
      <c r="H78" s="2"/>
      <c r="I78" s="2"/>
      <c r="J78" s="2"/>
      <c r="K78" s="2"/>
      <c r="L78" s="2">
        <f t="shared" si="3"/>
        <v>0</v>
      </c>
    </row>
    <row r="79" spans="1:12" ht="13.5" x14ac:dyDescent="0.25">
      <c r="A79" s="239" t="s">
        <v>1165</v>
      </c>
      <c r="B79" s="236"/>
      <c r="C79" s="236"/>
      <c r="D79" s="2"/>
      <c r="E79" s="2">
        <v>323</v>
      </c>
      <c r="F79" s="2">
        <v>181</v>
      </c>
      <c r="G79" s="2">
        <v>181</v>
      </c>
      <c r="H79" s="2">
        <v>181</v>
      </c>
      <c r="I79" s="2">
        <v>181</v>
      </c>
      <c r="J79" s="2">
        <v>181</v>
      </c>
      <c r="K79" s="2">
        <v>181</v>
      </c>
      <c r="L79" s="2">
        <f t="shared" si="3"/>
        <v>0</v>
      </c>
    </row>
    <row r="80" spans="1:12" hidden="1" x14ac:dyDescent="0.2">
      <c r="A80" s="12" t="s">
        <v>1271</v>
      </c>
      <c r="B80" s="2">
        <v>1</v>
      </c>
      <c r="C80" s="2">
        <v>20</v>
      </c>
      <c r="D80" s="2">
        <f>ROUND(B80*C80,0)</f>
        <v>20</v>
      </c>
      <c r="E80" s="2"/>
      <c r="F80" s="2"/>
      <c r="G80" s="2"/>
      <c r="H80" s="2"/>
      <c r="I80" s="2"/>
      <c r="J80" s="2"/>
    </row>
    <row r="81" spans="1:10" hidden="1" x14ac:dyDescent="0.2">
      <c r="A81" s="12" t="s">
        <v>688</v>
      </c>
      <c r="B81" s="2">
        <v>7</v>
      </c>
      <c r="C81" s="2">
        <v>20</v>
      </c>
      <c r="D81" s="2">
        <f>ROUND(B81*C81,0)</f>
        <v>140</v>
      </c>
      <c r="E81" s="2"/>
      <c r="F81" s="2"/>
      <c r="G81" s="2"/>
      <c r="H81" s="2"/>
      <c r="I81" s="2"/>
      <c r="J81" s="2"/>
    </row>
    <row r="82" spans="1:10" ht="15" hidden="1" x14ac:dyDescent="0.35">
      <c r="A82" s="12" t="s">
        <v>155</v>
      </c>
      <c r="B82" s="2">
        <f>+D29</f>
        <v>14840</v>
      </c>
      <c r="C82" s="13">
        <v>1.4E-3</v>
      </c>
      <c r="D82" s="10">
        <f>ROUND(B82*C82,0)</f>
        <v>21</v>
      </c>
      <c r="E82" s="2"/>
      <c r="F82" s="2"/>
      <c r="G82" s="2"/>
      <c r="H82" s="2"/>
      <c r="I82" s="2"/>
      <c r="J82" s="2"/>
    </row>
    <row r="83" spans="1:10" hidden="1" x14ac:dyDescent="0.2">
      <c r="A83" s="236" t="s">
        <v>1073</v>
      </c>
      <c r="B83" s="236"/>
      <c r="C83" s="236"/>
      <c r="D83" s="2">
        <f>SUM(D80:D82)</f>
        <v>181</v>
      </c>
      <c r="E83" s="2"/>
      <c r="F83" s="2"/>
      <c r="G83" s="2"/>
      <c r="H83" s="2"/>
      <c r="I83" s="2"/>
      <c r="J83" s="2"/>
    </row>
    <row r="84" spans="1:10" s="227" customFormat="1" x14ac:dyDescent="0.2">
      <c r="A84" s="236"/>
      <c r="B84" s="236"/>
      <c r="C84" s="236"/>
      <c r="D84" s="2"/>
      <c r="E84" s="2"/>
      <c r="F84" s="2"/>
      <c r="G84" s="236"/>
      <c r="H84" s="236"/>
      <c r="I84" s="236"/>
      <c r="J84" s="236"/>
    </row>
    <row r="85" spans="1:10" s="227" customFormat="1" x14ac:dyDescent="0.2">
      <c r="A85" s="236" t="s">
        <v>2073</v>
      </c>
      <c r="B85" s="236"/>
      <c r="C85" s="236"/>
      <c r="D85" s="2"/>
      <c r="E85" s="2"/>
      <c r="F85" s="2"/>
      <c r="G85" s="2">
        <f>400+75724+72</f>
        <v>76196</v>
      </c>
      <c r="H85" s="2">
        <f>400+75724+72</f>
        <v>76196</v>
      </c>
      <c r="I85" s="2"/>
      <c r="J85" s="2"/>
    </row>
    <row r="86" spans="1:10" x14ac:dyDescent="0.2">
      <c r="A86" s="236"/>
      <c r="B86" s="236"/>
      <c r="C86" s="236"/>
      <c r="D86" s="2"/>
      <c r="E86" s="2"/>
      <c r="F86" s="2"/>
      <c r="G86" s="2"/>
      <c r="H86" s="2"/>
      <c r="I86" s="2"/>
      <c r="J86" s="2"/>
    </row>
    <row r="87" spans="1:10" ht="13.5" x14ac:dyDescent="0.25">
      <c r="A87" s="239" t="s">
        <v>1166</v>
      </c>
      <c r="B87" s="236"/>
      <c r="C87" s="236"/>
      <c r="D87" s="2"/>
      <c r="E87" s="2">
        <v>5503</v>
      </c>
      <c r="F87" s="2">
        <v>4000</v>
      </c>
      <c r="G87" s="2">
        <v>4000</v>
      </c>
      <c r="H87" s="2">
        <v>4000</v>
      </c>
      <c r="I87" s="2">
        <v>4000</v>
      </c>
      <c r="J87" s="2">
        <v>4000</v>
      </c>
    </row>
    <row r="88" spans="1:10" ht="15" x14ac:dyDescent="0.35">
      <c r="A88" s="236" t="s">
        <v>669</v>
      </c>
      <c r="B88" s="236"/>
      <c r="C88" s="2"/>
      <c r="D88" s="10">
        <v>4000</v>
      </c>
      <c r="E88" s="2"/>
      <c r="F88" s="2"/>
      <c r="G88" s="2"/>
      <c r="H88" s="2"/>
      <c r="I88" s="2"/>
      <c r="J88" s="2"/>
    </row>
    <row r="89" spans="1:10" x14ac:dyDescent="0.2">
      <c r="A89" s="236"/>
      <c r="B89" s="236"/>
      <c r="C89" s="2"/>
      <c r="D89" s="2">
        <v>4000</v>
      </c>
      <c r="E89" s="2"/>
      <c r="F89" s="2"/>
      <c r="G89" s="2"/>
      <c r="H89" s="2"/>
      <c r="I89" s="2"/>
      <c r="J89" s="2"/>
    </row>
    <row r="90" spans="1:10" ht="13.5" x14ac:dyDescent="0.25">
      <c r="A90" s="239" t="s">
        <v>670</v>
      </c>
      <c r="B90" s="236"/>
      <c r="C90" s="2"/>
      <c r="D90" s="2"/>
      <c r="E90" s="2">
        <v>776</v>
      </c>
      <c r="F90" s="2">
        <v>3500</v>
      </c>
      <c r="G90" s="2">
        <v>3500</v>
      </c>
      <c r="H90" s="2">
        <v>3500</v>
      </c>
      <c r="I90" s="2">
        <v>3500</v>
      </c>
      <c r="J90" s="2">
        <v>3500</v>
      </c>
    </row>
    <row r="91" spans="1:10" x14ac:dyDescent="0.2">
      <c r="A91" s="236" t="s">
        <v>1192</v>
      </c>
      <c r="B91" s="236"/>
      <c r="C91" s="2"/>
      <c r="D91" s="2">
        <v>3500</v>
      </c>
      <c r="E91" s="2"/>
      <c r="F91" s="2"/>
      <c r="G91" s="2"/>
      <c r="H91" s="2"/>
      <c r="I91" s="2"/>
      <c r="J91" s="2"/>
    </row>
    <row r="92" spans="1:10" x14ac:dyDescent="0.2">
      <c r="A92" s="236" t="s">
        <v>345</v>
      </c>
      <c r="B92" s="236"/>
      <c r="C92" s="2" t="s">
        <v>345</v>
      </c>
      <c r="D92" s="2" t="s">
        <v>345</v>
      </c>
      <c r="E92" s="2"/>
      <c r="F92" s="2"/>
      <c r="G92" s="2"/>
      <c r="H92" s="2"/>
      <c r="I92" s="2"/>
      <c r="J92" s="2"/>
    </row>
    <row r="93" spans="1:10" ht="13.5" x14ac:dyDescent="0.25">
      <c r="A93" s="239" t="s">
        <v>1193</v>
      </c>
      <c r="B93" s="236"/>
      <c r="C93" s="2" t="s">
        <v>345</v>
      </c>
      <c r="D93" s="2" t="s">
        <v>345</v>
      </c>
      <c r="E93" s="2">
        <v>6056</v>
      </c>
      <c r="F93" s="2">
        <v>3300</v>
      </c>
      <c r="G93" s="2">
        <v>3300</v>
      </c>
      <c r="H93" s="2">
        <v>3300</v>
      </c>
      <c r="I93" s="2">
        <v>3700</v>
      </c>
      <c r="J93" s="2">
        <v>3700</v>
      </c>
    </row>
    <row r="94" spans="1:10" x14ac:dyDescent="0.2">
      <c r="A94" s="236" t="s">
        <v>183</v>
      </c>
      <c r="B94" s="2">
        <v>8</v>
      </c>
      <c r="C94" s="2">
        <v>400</v>
      </c>
      <c r="D94" s="2">
        <f>ROUND(B94*C94,0)</f>
        <v>3200</v>
      </c>
      <c r="E94" s="2"/>
      <c r="F94" s="2"/>
      <c r="G94" s="2"/>
      <c r="H94" s="2"/>
      <c r="I94" s="2"/>
      <c r="J94" s="2"/>
    </row>
    <row r="95" spans="1:10" ht="15" x14ac:dyDescent="0.35">
      <c r="A95" s="236" t="s">
        <v>191</v>
      </c>
      <c r="B95" s="2">
        <v>1</v>
      </c>
      <c r="C95" s="10">
        <v>500</v>
      </c>
      <c r="D95" s="10">
        <f>ROUND(B95*C95,0)</f>
        <v>500</v>
      </c>
      <c r="E95" s="2"/>
      <c r="F95" s="2"/>
      <c r="G95" s="2"/>
      <c r="H95" s="2"/>
      <c r="I95" s="2"/>
      <c r="J95" s="2"/>
    </row>
    <row r="96" spans="1:10" x14ac:dyDescent="0.2">
      <c r="A96" s="236" t="s">
        <v>1073</v>
      </c>
      <c r="B96" s="236"/>
      <c r="C96" s="2">
        <f>SUM(C94:C95)</f>
        <v>900</v>
      </c>
      <c r="D96" s="2">
        <f>SUM(D94:D95)</f>
        <v>3700</v>
      </c>
      <c r="E96" s="2"/>
      <c r="F96" s="2"/>
      <c r="G96" s="2"/>
      <c r="H96" s="2"/>
      <c r="I96" s="2"/>
      <c r="J96" s="2"/>
    </row>
    <row r="97" spans="1:10" x14ac:dyDescent="0.2">
      <c r="A97" s="236"/>
      <c r="B97" s="236"/>
      <c r="C97" s="2"/>
      <c r="D97" s="2"/>
      <c r="E97" s="2"/>
      <c r="F97" s="2"/>
      <c r="G97" s="2"/>
      <c r="H97" s="2"/>
      <c r="I97" s="2"/>
      <c r="J97" s="2"/>
    </row>
    <row r="98" spans="1:10" ht="13.5" x14ac:dyDescent="0.25">
      <c r="A98" s="239" t="s">
        <v>192</v>
      </c>
      <c r="B98" s="236"/>
      <c r="C98" s="2"/>
      <c r="D98" s="2"/>
      <c r="E98" s="2">
        <v>390</v>
      </c>
      <c r="F98" s="2">
        <v>270</v>
      </c>
      <c r="G98" s="2">
        <v>270</v>
      </c>
      <c r="H98" s="2">
        <v>270</v>
      </c>
      <c r="I98" s="2">
        <v>270</v>
      </c>
      <c r="J98" s="2">
        <v>270</v>
      </c>
    </row>
    <row r="99" spans="1:10" x14ac:dyDescent="0.2">
      <c r="A99" s="236" t="s">
        <v>960</v>
      </c>
      <c r="B99" s="236"/>
      <c r="C99" s="2"/>
      <c r="D99" s="2">
        <v>270</v>
      </c>
      <c r="E99" s="2"/>
      <c r="F99" s="2"/>
      <c r="G99" s="2"/>
      <c r="H99" s="2"/>
      <c r="I99" s="2"/>
      <c r="J99" s="2"/>
    </row>
    <row r="100" spans="1:10" x14ac:dyDescent="0.2">
      <c r="A100" s="236"/>
      <c r="B100" s="236"/>
      <c r="C100" s="2"/>
      <c r="D100" s="2"/>
      <c r="E100" s="2"/>
      <c r="F100" s="2"/>
      <c r="G100" s="2"/>
      <c r="H100" s="2"/>
      <c r="I100" s="2"/>
      <c r="J100" s="2"/>
    </row>
    <row r="101" spans="1:10" ht="13.5" x14ac:dyDescent="0.25">
      <c r="A101" s="239" t="s">
        <v>706</v>
      </c>
      <c r="B101" s="236"/>
      <c r="C101" s="2"/>
      <c r="D101" s="2"/>
      <c r="E101" s="2">
        <v>42852</v>
      </c>
      <c r="F101" s="2">
        <v>38260</v>
      </c>
      <c r="G101" s="2">
        <v>42550</v>
      </c>
      <c r="H101" s="2">
        <v>42550</v>
      </c>
      <c r="I101" s="2">
        <v>42550</v>
      </c>
      <c r="J101" s="2">
        <v>42550</v>
      </c>
    </row>
    <row r="102" spans="1:10" x14ac:dyDescent="0.2">
      <c r="A102" s="236" t="s">
        <v>811</v>
      </c>
      <c r="B102" s="236"/>
      <c r="C102" s="236"/>
      <c r="D102" s="2">
        <v>9600</v>
      </c>
      <c r="E102" s="236"/>
      <c r="F102" s="2"/>
      <c r="G102" s="2"/>
      <c r="H102" s="2"/>
      <c r="I102" s="2"/>
      <c r="J102" s="2"/>
    </row>
    <row r="103" spans="1:10" x14ac:dyDescent="0.2">
      <c r="A103" s="236" t="s">
        <v>1693</v>
      </c>
      <c r="B103" s="236"/>
      <c r="C103" s="236"/>
      <c r="D103" s="2">
        <v>1750</v>
      </c>
      <c r="E103" s="236"/>
      <c r="F103" s="2"/>
      <c r="G103" s="2"/>
      <c r="H103" s="2"/>
      <c r="I103" s="2"/>
      <c r="J103" s="2"/>
    </row>
    <row r="104" spans="1:10" x14ac:dyDescent="0.2">
      <c r="A104" s="236" t="s">
        <v>1725</v>
      </c>
      <c r="B104" s="236"/>
      <c r="C104" s="2"/>
      <c r="D104" s="2">
        <v>5000</v>
      </c>
      <c r="E104" s="236"/>
      <c r="F104" s="2"/>
      <c r="G104" s="2"/>
      <c r="H104" s="2"/>
      <c r="I104" s="2"/>
      <c r="J104" s="2"/>
    </row>
    <row r="105" spans="1:10" x14ac:dyDescent="0.2">
      <c r="A105" s="236" t="s">
        <v>1695</v>
      </c>
      <c r="B105" s="236"/>
      <c r="C105" s="2"/>
      <c r="D105" s="2">
        <v>4500</v>
      </c>
      <c r="E105" s="236"/>
      <c r="F105" s="2"/>
      <c r="G105" s="2"/>
      <c r="H105" s="2"/>
      <c r="I105" s="2"/>
      <c r="J105" s="2"/>
    </row>
    <row r="106" spans="1:10" x14ac:dyDescent="0.2">
      <c r="A106" s="236" t="s">
        <v>1634</v>
      </c>
      <c r="B106" s="236"/>
      <c r="C106" s="2"/>
      <c r="D106" s="2">
        <v>1000</v>
      </c>
      <c r="E106" s="236"/>
      <c r="F106" s="2"/>
      <c r="G106" s="2"/>
      <c r="H106" s="2"/>
      <c r="I106" s="2"/>
      <c r="J106" s="2"/>
    </row>
    <row r="107" spans="1:10" x14ac:dyDescent="0.2">
      <c r="A107" s="236" t="s">
        <v>1762</v>
      </c>
      <c r="B107" s="236"/>
      <c r="C107" s="2"/>
      <c r="D107" s="2">
        <v>16200</v>
      </c>
      <c r="E107" s="236"/>
      <c r="F107" s="2"/>
      <c r="G107" s="2"/>
      <c r="H107" s="2"/>
      <c r="I107" s="2"/>
      <c r="J107" s="2"/>
    </row>
    <row r="108" spans="1:10" ht="15" x14ac:dyDescent="0.35">
      <c r="A108" s="236" t="s">
        <v>1993</v>
      </c>
      <c r="B108" s="236"/>
      <c r="C108" s="236"/>
      <c r="D108" s="10">
        <v>4500</v>
      </c>
      <c r="E108" s="236"/>
      <c r="F108" s="2"/>
      <c r="G108" s="2"/>
      <c r="H108" s="2"/>
      <c r="I108" s="2"/>
      <c r="J108" s="2"/>
    </row>
    <row r="109" spans="1:10" x14ac:dyDescent="0.2">
      <c r="A109" s="236" t="s">
        <v>1073</v>
      </c>
      <c r="B109" s="236"/>
      <c r="C109" s="2"/>
      <c r="D109" s="2">
        <f>SUM(D102:D108)</f>
        <v>42550</v>
      </c>
      <c r="E109" s="236"/>
      <c r="F109" s="2"/>
      <c r="G109" s="2"/>
      <c r="H109" s="2"/>
      <c r="I109" s="2"/>
      <c r="J109" s="2"/>
    </row>
    <row r="110" spans="1:10" x14ac:dyDescent="0.2">
      <c r="A110" s="236"/>
      <c r="B110" s="236"/>
      <c r="C110" s="2"/>
      <c r="D110" s="2"/>
      <c r="E110" s="236"/>
      <c r="F110" s="2"/>
      <c r="G110" s="2"/>
      <c r="H110" s="2"/>
      <c r="I110" s="2"/>
      <c r="J110" s="2"/>
    </row>
    <row r="111" spans="1:10" x14ac:dyDescent="0.2">
      <c r="A111" s="116" t="s">
        <v>2065</v>
      </c>
      <c r="B111" s="236"/>
      <c r="C111" s="2"/>
      <c r="D111" s="2"/>
      <c r="E111" s="2">
        <v>0</v>
      </c>
      <c r="F111" s="2">
        <v>0</v>
      </c>
      <c r="G111" s="2">
        <v>576</v>
      </c>
      <c r="H111" s="2">
        <v>576</v>
      </c>
      <c r="I111" s="2">
        <v>648</v>
      </c>
      <c r="J111" s="2">
        <v>648</v>
      </c>
    </row>
    <row r="112" spans="1:10" x14ac:dyDescent="0.2">
      <c r="A112" s="236" t="s">
        <v>2066</v>
      </c>
      <c r="B112" s="236">
        <v>9</v>
      </c>
      <c r="C112" s="2">
        <v>72</v>
      </c>
      <c r="D112" s="2">
        <f>+C112*B112</f>
        <v>648</v>
      </c>
      <c r="E112" s="236"/>
      <c r="F112" s="2"/>
      <c r="G112" s="2"/>
      <c r="H112" s="2"/>
      <c r="I112" s="2"/>
      <c r="J112" s="2"/>
    </row>
    <row r="113" spans="1:10" x14ac:dyDescent="0.2">
      <c r="A113" s="236"/>
      <c r="B113" s="236"/>
      <c r="C113" s="2"/>
      <c r="D113" s="2"/>
      <c r="E113" s="2"/>
      <c r="F113" s="2"/>
      <c r="G113" s="2"/>
      <c r="H113" s="2"/>
      <c r="I113" s="2"/>
      <c r="J113" s="2"/>
    </row>
    <row r="114" spans="1:10" ht="13.5" x14ac:dyDescent="0.25">
      <c r="A114" s="16" t="s">
        <v>43</v>
      </c>
      <c r="B114" s="236"/>
      <c r="C114" s="236"/>
      <c r="D114" s="2"/>
      <c r="E114" s="2">
        <v>4592</v>
      </c>
      <c r="F114" s="2">
        <v>4481</v>
      </c>
      <c r="G114" s="2">
        <v>5586</v>
      </c>
      <c r="H114" s="2">
        <v>5586</v>
      </c>
      <c r="I114" s="2">
        <v>5586</v>
      </c>
      <c r="J114" s="2">
        <v>5586</v>
      </c>
    </row>
    <row r="115" spans="1:10" x14ac:dyDescent="0.2">
      <c r="A115" s="236" t="s">
        <v>1275</v>
      </c>
      <c r="B115" s="236"/>
      <c r="C115" s="236"/>
      <c r="D115" s="2">
        <v>5586</v>
      </c>
      <c r="E115" s="2"/>
      <c r="F115" s="2"/>
      <c r="G115" s="2"/>
      <c r="H115" s="2"/>
      <c r="I115" s="2"/>
      <c r="J115" s="2"/>
    </row>
    <row r="116" spans="1:10" x14ac:dyDescent="0.2">
      <c r="A116" s="236"/>
      <c r="B116" s="236"/>
      <c r="C116" s="2"/>
      <c r="D116" s="2"/>
      <c r="E116" s="2"/>
      <c r="F116" s="2"/>
      <c r="G116" s="2"/>
      <c r="H116" s="2"/>
      <c r="I116" s="2"/>
      <c r="J116" s="2"/>
    </row>
    <row r="117" spans="1:10" ht="13.5" x14ac:dyDescent="0.25">
      <c r="A117" s="49" t="s">
        <v>1759</v>
      </c>
      <c r="B117" s="236"/>
      <c r="C117" s="2"/>
      <c r="D117" s="2"/>
      <c r="E117" s="2">
        <v>152</v>
      </c>
      <c r="F117" s="2">
        <v>1000</v>
      </c>
      <c r="G117" s="2">
        <v>1000</v>
      </c>
      <c r="H117" s="2">
        <v>1000</v>
      </c>
      <c r="I117" s="2">
        <v>1000</v>
      </c>
      <c r="J117" s="2">
        <v>1000</v>
      </c>
    </row>
    <row r="118" spans="1:10" x14ac:dyDescent="0.2">
      <c r="A118" s="236" t="s">
        <v>1783</v>
      </c>
      <c r="B118" s="236"/>
      <c r="C118" s="2"/>
      <c r="D118" s="2">
        <v>1000</v>
      </c>
      <c r="E118" s="2"/>
      <c r="F118" s="2"/>
      <c r="G118" s="2"/>
      <c r="H118" s="2"/>
      <c r="I118" s="2"/>
      <c r="J118" s="2"/>
    </row>
    <row r="119" spans="1:10" s="236" customFormat="1" x14ac:dyDescent="0.2">
      <c r="C119" s="2"/>
      <c r="D119" s="2"/>
      <c r="E119" s="2"/>
      <c r="F119" s="2"/>
      <c r="G119" s="2"/>
      <c r="H119" s="2"/>
      <c r="I119" s="2"/>
      <c r="J119" s="2"/>
    </row>
    <row r="120" spans="1:10" ht="13.5" x14ac:dyDescent="0.25">
      <c r="A120" s="239" t="s">
        <v>6</v>
      </c>
      <c r="B120" s="236"/>
      <c r="C120" s="2"/>
      <c r="D120" s="7" t="s">
        <v>345</v>
      </c>
      <c r="E120" s="2">
        <v>30390</v>
      </c>
      <c r="F120" s="2">
        <v>7345</v>
      </c>
      <c r="G120" s="2">
        <v>41345</v>
      </c>
      <c r="H120" s="2">
        <v>41345</v>
      </c>
      <c r="I120" s="2">
        <v>7345</v>
      </c>
      <c r="J120" s="2">
        <v>7345</v>
      </c>
    </row>
    <row r="121" spans="1:10" x14ac:dyDescent="0.2">
      <c r="A121" s="236" t="s">
        <v>7</v>
      </c>
      <c r="B121" s="236"/>
      <c r="C121" s="2"/>
      <c r="D121" s="2">
        <v>2000</v>
      </c>
      <c r="E121" s="2"/>
      <c r="F121" s="2"/>
      <c r="G121" s="2"/>
      <c r="H121" s="2"/>
      <c r="I121" s="2"/>
      <c r="J121" s="2"/>
    </row>
    <row r="122" spans="1:10" x14ac:dyDescent="0.2">
      <c r="A122" s="236" t="s">
        <v>453</v>
      </c>
      <c r="B122" s="236"/>
      <c r="C122" s="2"/>
      <c r="D122" s="2">
        <v>350</v>
      </c>
      <c r="E122" s="2"/>
      <c r="F122" s="2"/>
      <c r="G122" s="2"/>
      <c r="H122" s="2"/>
      <c r="I122" s="2"/>
      <c r="J122" s="2"/>
    </row>
    <row r="123" spans="1:10" x14ac:dyDescent="0.2">
      <c r="A123" s="236" t="s">
        <v>8</v>
      </c>
      <c r="B123" s="236"/>
      <c r="C123" s="2"/>
      <c r="D123" s="2">
        <v>600</v>
      </c>
      <c r="E123" s="2"/>
      <c r="F123" s="2"/>
      <c r="G123" s="2"/>
      <c r="H123" s="2"/>
      <c r="I123" s="2"/>
      <c r="J123" s="2"/>
    </row>
    <row r="124" spans="1:10" x14ac:dyDescent="0.2">
      <c r="A124" s="236" t="s">
        <v>1464</v>
      </c>
      <c r="B124" s="236"/>
      <c r="C124" s="1"/>
      <c r="D124" s="2">
        <v>3000</v>
      </c>
      <c r="E124" s="1"/>
      <c r="F124" s="1"/>
      <c r="G124" s="1"/>
      <c r="H124" s="1"/>
      <c r="I124" s="1"/>
      <c r="J124" s="1"/>
    </row>
    <row r="125" spans="1:10" x14ac:dyDescent="0.2">
      <c r="A125" s="236" t="s">
        <v>1741</v>
      </c>
      <c r="B125" s="236"/>
      <c r="C125" s="1"/>
      <c r="D125" s="2">
        <v>0</v>
      </c>
      <c r="E125" s="1"/>
      <c r="F125" s="1"/>
      <c r="G125" s="1"/>
      <c r="H125" s="1"/>
      <c r="I125" s="1"/>
      <c r="J125" s="1"/>
    </row>
    <row r="126" spans="1:10" ht="15" x14ac:dyDescent="0.35">
      <c r="A126" s="236" t="s">
        <v>1530</v>
      </c>
      <c r="B126" s="236"/>
      <c r="C126" s="1"/>
      <c r="D126" s="2">
        <v>600</v>
      </c>
      <c r="E126" s="64"/>
      <c r="F126" s="1"/>
      <c r="G126" s="1"/>
      <c r="H126" s="1"/>
      <c r="I126" s="1"/>
      <c r="J126" s="1"/>
    </row>
    <row r="127" spans="1:10" ht="15" x14ac:dyDescent="0.35">
      <c r="A127" s="236" t="s">
        <v>1242</v>
      </c>
      <c r="B127" s="236"/>
      <c r="C127" s="64"/>
      <c r="D127" s="10">
        <v>795</v>
      </c>
      <c r="E127" s="2"/>
      <c r="F127" s="64"/>
      <c r="G127" s="64"/>
      <c r="H127" s="64"/>
      <c r="I127" s="64"/>
      <c r="J127" s="64"/>
    </row>
    <row r="128" spans="1:10" x14ac:dyDescent="0.2">
      <c r="A128" s="236" t="s">
        <v>1073</v>
      </c>
      <c r="B128" s="236"/>
      <c r="C128" s="2"/>
      <c r="D128" s="2">
        <f>SUM(D121:D127)</f>
        <v>7345</v>
      </c>
      <c r="E128" s="2"/>
      <c r="F128" s="2"/>
      <c r="G128" s="2"/>
      <c r="H128" s="2"/>
      <c r="I128" s="2"/>
      <c r="J128" s="2"/>
    </row>
    <row r="129" spans="1:10" x14ac:dyDescent="0.2">
      <c r="A129" s="236"/>
      <c r="B129" s="236"/>
      <c r="C129" s="2"/>
      <c r="D129" s="2"/>
      <c r="E129" s="236"/>
      <c r="F129" s="2"/>
      <c r="G129" s="2"/>
      <c r="H129" s="2"/>
      <c r="I129" s="2"/>
      <c r="J129" s="2"/>
    </row>
    <row r="130" spans="1:10" ht="13.5" x14ac:dyDescent="0.25">
      <c r="A130" s="239" t="s">
        <v>9</v>
      </c>
      <c r="B130" s="236"/>
      <c r="C130" s="2"/>
      <c r="D130" s="2"/>
      <c r="E130" s="2">
        <v>1759</v>
      </c>
      <c r="F130" s="2">
        <v>8000</v>
      </c>
      <c r="G130" s="2">
        <v>78120</v>
      </c>
      <c r="H130" s="2">
        <v>78120</v>
      </c>
      <c r="I130" s="2">
        <v>50370</v>
      </c>
      <c r="J130" s="2">
        <v>50370</v>
      </c>
    </row>
    <row r="131" spans="1:10" x14ac:dyDescent="0.2">
      <c r="A131" s="236" t="s">
        <v>882</v>
      </c>
      <c r="B131" s="236"/>
      <c r="C131" s="2"/>
      <c r="D131" s="2">
        <v>8000</v>
      </c>
      <c r="E131" s="2"/>
      <c r="F131" s="2"/>
      <c r="G131" s="2"/>
      <c r="H131" s="2"/>
      <c r="I131" s="2"/>
      <c r="J131" s="2"/>
    </row>
    <row r="132" spans="1:10" x14ac:dyDescent="0.2">
      <c r="A132" s="236" t="s">
        <v>2067</v>
      </c>
      <c r="B132" s="236"/>
      <c r="C132" s="2"/>
      <c r="D132" s="2">
        <v>7000</v>
      </c>
      <c r="E132" s="2"/>
      <c r="F132" s="2"/>
      <c r="G132" s="2"/>
      <c r="H132" s="2"/>
      <c r="I132" s="2"/>
      <c r="J132" s="2"/>
    </row>
    <row r="133" spans="1:10" x14ac:dyDescent="0.2">
      <c r="A133" s="236" t="s">
        <v>2068</v>
      </c>
      <c r="B133" s="236"/>
      <c r="C133" s="2"/>
      <c r="D133" s="2">
        <v>2250</v>
      </c>
      <c r="E133" s="2"/>
      <c r="F133" s="2"/>
      <c r="G133" s="2"/>
      <c r="H133" s="2"/>
      <c r="I133" s="2"/>
      <c r="J133" s="2"/>
    </row>
    <row r="134" spans="1:10" ht="15" x14ac:dyDescent="0.35">
      <c r="A134" s="236" t="s">
        <v>2069</v>
      </c>
      <c r="B134" s="236">
        <v>138</v>
      </c>
      <c r="C134" s="2">
        <v>20</v>
      </c>
      <c r="D134" s="10">
        <v>33120</v>
      </c>
      <c r="E134" s="2"/>
      <c r="F134" s="2"/>
      <c r="G134" s="2"/>
      <c r="H134" s="2"/>
      <c r="I134" s="2"/>
      <c r="J134" s="2"/>
    </row>
    <row r="135" spans="1:10" s="218" customFormat="1" x14ac:dyDescent="0.2">
      <c r="A135" s="236"/>
      <c r="B135" s="236"/>
      <c r="C135" s="2"/>
      <c r="D135" s="2">
        <f>SUM(D131:D134)</f>
        <v>50370</v>
      </c>
      <c r="E135" s="2"/>
      <c r="F135" s="2"/>
      <c r="G135" s="2"/>
      <c r="H135" s="2"/>
      <c r="I135" s="2"/>
      <c r="J135" s="2"/>
    </row>
    <row r="136" spans="1:10" x14ac:dyDescent="0.2">
      <c r="A136" s="236"/>
      <c r="B136" s="236"/>
      <c r="C136" s="2"/>
      <c r="D136" s="236"/>
      <c r="E136" s="2"/>
      <c r="F136" s="2"/>
      <c r="G136" s="2"/>
      <c r="H136" s="2"/>
      <c r="I136" s="2"/>
      <c r="J136" s="2"/>
    </row>
    <row r="137" spans="1:10" ht="13.5" x14ac:dyDescent="0.25">
      <c r="A137" s="239" t="s">
        <v>1257</v>
      </c>
      <c r="B137" s="236"/>
      <c r="C137" s="2"/>
      <c r="D137" s="2"/>
      <c r="E137" s="2">
        <v>3377</v>
      </c>
      <c r="F137" s="2">
        <v>9000</v>
      </c>
      <c r="G137" s="2">
        <v>12000</v>
      </c>
      <c r="H137" s="2">
        <v>12000</v>
      </c>
      <c r="I137" s="2">
        <v>12000</v>
      </c>
      <c r="J137" s="2">
        <v>12000</v>
      </c>
    </row>
    <row r="138" spans="1:10" s="198" customFormat="1" x14ac:dyDescent="0.2">
      <c r="A138" s="236" t="s">
        <v>1410</v>
      </c>
      <c r="B138" s="236"/>
      <c r="C138" s="2"/>
      <c r="D138" s="2">
        <v>10000</v>
      </c>
      <c r="E138" s="2"/>
      <c r="F138" s="2"/>
      <c r="G138" s="2"/>
      <c r="H138" s="2"/>
      <c r="I138" s="2"/>
      <c r="J138" s="2"/>
    </row>
    <row r="139" spans="1:10" x14ac:dyDescent="0.2">
      <c r="A139" s="236" t="s">
        <v>1512</v>
      </c>
      <c r="B139" s="236"/>
      <c r="C139" s="2"/>
      <c r="D139" s="2">
        <v>1000</v>
      </c>
      <c r="E139" s="2"/>
      <c r="F139" s="2"/>
      <c r="G139" s="2"/>
      <c r="H139" s="2"/>
      <c r="I139" s="2"/>
      <c r="J139" s="2"/>
    </row>
    <row r="140" spans="1:10" ht="15" x14ac:dyDescent="0.35">
      <c r="A140" s="236" t="s">
        <v>1025</v>
      </c>
      <c r="B140" s="236"/>
      <c r="C140" s="10"/>
      <c r="D140" s="10">
        <v>1000</v>
      </c>
      <c r="E140" s="2"/>
      <c r="F140" s="2"/>
      <c r="G140" s="2"/>
      <c r="H140" s="2"/>
      <c r="I140" s="2"/>
      <c r="J140" s="2"/>
    </row>
    <row r="141" spans="1:10" x14ac:dyDescent="0.2">
      <c r="A141" s="236" t="s">
        <v>1073</v>
      </c>
      <c r="B141" s="236"/>
      <c r="C141" s="2"/>
      <c r="D141" s="2">
        <f>SUM(D138:D140)</f>
        <v>12000</v>
      </c>
      <c r="E141" s="2"/>
      <c r="F141" s="2"/>
      <c r="G141" s="2"/>
      <c r="H141" s="2"/>
      <c r="I141" s="2"/>
      <c r="J141" s="2"/>
    </row>
    <row r="142" spans="1:10" x14ac:dyDescent="0.2">
      <c r="A142" s="236"/>
      <c r="B142" s="236"/>
      <c r="C142" s="2"/>
      <c r="D142" s="2"/>
      <c r="E142" s="236"/>
      <c r="F142" s="236"/>
      <c r="G142" s="236"/>
      <c r="H142" s="236"/>
      <c r="I142" s="236"/>
      <c r="J142" s="236"/>
    </row>
    <row r="143" spans="1:10" ht="13.5" x14ac:dyDescent="0.25">
      <c r="A143" s="239" t="s">
        <v>1784</v>
      </c>
      <c r="B143" s="236"/>
      <c r="C143" s="2"/>
      <c r="D143" s="2"/>
      <c r="E143" s="2">
        <v>3110</v>
      </c>
      <c r="F143" s="2">
        <v>6000</v>
      </c>
      <c r="G143" s="2">
        <v>6000</v>
      </c>
      <c r="H143" s="2">
        <v>6000</v>
      </c>
      <c r="I143" s="2">
        <v>6000</v>
      </c>
      <c r="J143" s="2">
        <v>6000</v>
      </c>
    </row>
    <row r="144" spans="1:10" x14ac:dyDescent="0.2">
      <c r="A144" s="22" t="s">
        <v>1785</v>
      </c>
      <c r="B144" s="236"/>
      <c r="C144" s="2"/>
      <c r="D144" s="2">
        <v>6000</v>
      </c>
      <c r="E144" s="236"/>
      <c r="F144" s="236"/>
      <c r="G144" s="236"/>
      <c r="H144" s="236"/>
      <c r="I144" s="236"/>
      <c r="J144" s="236"/>
    </row>
    <row r="145" spans="1:11" x14ac:dyDescent="0.2">
      <c r="A145" s="22"/>
      <c r="B145" s="236"/>
      <c r="C145" s="2"/>
      <c r="D145" s="2"/>
      <c r="E145" s="236"/>
      <c r="F145" s="236"/>
      <c r="G145" s="236"/>
      <c r="H145" s="236"/>
      <c r="I145" s="236"/>
      <c r="J145" s="236"/>
    </row>
    <row r="146" spans="1:11" ht="13.5" x14ac:dyDescent="0.25">
      <c r="A146" s="239" t="s">
        <v>101</v>
      </c>
      <c r="B146" s="236"/>
      <c r="C146" s="2"/>
      <c r="D146" s="2"/>
      <c r="E146" s="2">
        <v>86</v>
      </c>
      <c r="F146" s="2">
        <v>1000</v>
      </c>
      <c r="G146" s="2">
        <v>1000</v>
      </c>
      <c r="H146" s="2">
        <v>763764</v>
      </c>
      <c r="I146" s="2">
        <v>763764</v>
      </c>
      <c r="J146" s="2">
        <v>763764</v>
      </c>
    </row>
    <row r="147" spans="1:11" x14ac:dyDescent="0.2">
      <c r="A147" s="22" t="s">
        <v>1483</v>
      </c>
      <c r="B147" s="236"/>
      <c r="C147" s="2"/>
      <c r="D147" s="2">
        <v>1000</v>
      </c>
      <c r="E147" s="236"/>
      <c r="F147" s="2"/>
      <c r="G147" s="2"/>
      <c r="H147" s="2"/>
      <c r="I147" s="2"/>
      <c r="J147" s="2"/>
    </row>
    <row r="148" spans="1:11" s="229" customFormat="1" ht="15" x14ac:dyDescent="0.35">
      <c r="A148" s="22" t="s">
        <v>2078</v>
      </c>
      <c r="B148" s="236"/>
      <c r="C148" s="2"/>
      <c r="D148" s="10">
        <v>762764</v>
      </c>
      <c r="E148" s="236"/>
      <c r="F148" s="2"/>
      <c r="G148" s="2"/>
      <c r="H148" s="2"/>
      <c r="I148" s="2"/>
      <c r="J148" s="2"/>
    </row>
    <row r="149" spans="1:11" s="229" customFormat="1" x14ac:dyDescent="0.2">
      <c r="A149" s="22"/>
      <c r="B149" s="236"/>
      <c r="C149" s="2"/>
      <c r="D149" s="2">
        <f>SUM(D147:D148)</f>
        <v>763764</v>
      </c>
      <c r="E149" s="236"/>
      <c r="F149" s="2"/>
      <c r="G149" s="2"/>
      <c r="H149" s="2"/>
      <c r="I149" s="2"/>
      <c r="J149" s="2"/>
    </row>
    <row r="150" spans="1:11" s="233" customFormat="1" ht="13.5" x14ac:dyDescent="0.25">
      <c r="A150" s="239" t="s">
        <v>1229</v>
      </c>
      <c r="B150" s="2"/>
      <c r="C150" s="236"/>
      <c r="D150" s="2"/>
      <c r="E150" s="236"/>
      <c r="F150" s="2"/>
      <c r="G150" s="2"/>
      <c r="H150" s="2"/>
      <c r="I150" s="2"/>
      <c r="J150" s="2"/>
    </row>
    <row r="151" spans="1:11" s="233" customFormat="1" x14ac:dyDescent="0.2">
      <c r="A151" s="236" t="s">
        <v>483</v>
      </c>
      <c r="B151" s="2"/>
      <c r="C151" s="2">
        <v>100000</v>
      </c>
      <c r="D151" s="2"/>
      <c r="E151" s="236"/>
      <c r="F151" s="2"/>
      <c r="G151" s="2"/>
      <c r="H151" s="2"/>
      <c r="I151" s="2"/>
      <c r="J151" s="2">
        <v>100000</v>
      </c>
    </row>
    <row r="152" spans="1:11" ht="11.65" customHeight="1" x14ac:dyDescent="0.2">
      <c r="A152" s="236"/>
      <c r="B152" s="236"/>
      <c r="C152" s="2"/>
      <c r="D152" s="2"/>
      <c r="E152" s="2"/>
      <c r="F152" s="2"/>
      <c r="G152" s="2"/>
      <c r="H152" s="2"/>
      <c r="I152" s="2"/>
      <c r="J152" s="2"/>
    </row>
    <row r="153" spans="1:11" x14ac:dyDescent="0.2">
      <c r="A153" s="70"/>
      <c r="B153" s="236"/>
      <c r="C153" s="236"/>
      <c r="D153" s="236"/>
      <c r="E153" s="2"/>
      <c r="F153" s="2"/>
      <c r="G153" s="2"/>
      <c r="H153" s="2"/>
      <c r="I153" s="2"/>
      <c r="J153" s="2"/>
    </row>
    <row r="154" spans="1:11" x14ac:dyDescent="0.2">
      <c r="A154" s="236" t="s">
        <v>1151</v>
      </c>
      <c r="B154" s="236"/>
      <c r="C154" s="2"/>
      <c r="D154" s="2"/>
      <c r="E154" s="2">
        <f>SUM(E6:E152)</f>
        <v>855425</v>
      </c>
      <c r="F154" s="2">
        <f>SUM(F6:F152)</f>
        <v>889964</v>
      </c>
      <c r="G154" s="2">
        <f>SUM(G6:G152)</f>
        <v>1051264</v>
      </c>
      <c r="H154" s="2">
        <f>SUM(H6:H152)</f>
        <v>1814028</v>
      </c>
      <c r="I154" s="2">
        <f>SUM(I6:I152)</f>
        <v>1747778</v>
      </c>
      <c r="J154" s="2">
        <f>SUM(J6:J149)</f>
        <v>1747778</v>
      </c>
    </row>
    <row r="155" spans="1:11" x14ac:dyDescent="0.2">
      <c r="A155" s="236"/>
      <c r="B155" s="236"/>
      <c r="C155" s="236"/>
      <c r="D155" s="236"/>
      <c r="E155" s="236"/>
      <c r="F155" s="236"/>
      <c r="G155" s="236"/>
      <c r="H155" s="236"/>
      <c r="I155" s="236"/>
      <c r="J155" s="236"/>
    </row>
    <row r="156" spans="1:11" x14ac:dyDescent="0.2">
      <c r="A156" s="236" t="s">
        <v>519</v>
      </c>
      <c r="B156" s="236"/>
      <c r="C156" s="236"/>
      <c r="D156" s="236"/>
      <c r="E156" s="2">
        <f>SUM(E6:E79)</f>
        <v>756382</v>
      </c>
      <c r="F156" s="2">
        <f>SUM(F6:F79)</f>
        <v>803808</v>
      </c>
      <c r="G156" s="2">
        <f>SUM(G6:G85)</f>
        <v>852017</v>
      </c>
      <c r="H156" s="2">
        <f>SUM(H6:H85)</f>
        <v>852017</v>
      </c>
      <c r="I156" s="2">
        <f>SUM(I6:I85)</f>
        <v>847045</v>
      </c>
      <c r="J156" s="2">
        <f>SUM(J6:J85)</f>
        <v>847045</v>
      </c>
      <c r="K156" s="2">
        <f>+H156-F156</f>
        <v>48209</v>
      </c>
    </row>
    <row r="157" spans="1:11" x14ac:dyDescent="0.2">
      <c r="A157" s="236" t="s">
        <v>809</v>
      </c>
      <c r="B157" s="236"/>
      <c r="C157" s="236"/>
      <c r="D157" s="236"/>
      <c r="E157" s="2">
        <f t="shared" ref="E157:J157" si="4">SUM(E86:E140)</f>
        <v>95847</v>
      </c>
      <c r="F157" s="2">
        <f t="shared" si="4"/>
        <v>79156</v>
      </c>
      <c r="G157" s="2">
        <f t="shared" si="4"/>
        <v>192247</v>
      </c>
      <c r="H157" s="2">
        <f t="shared" si="4"/>
        <v>192247</v>
      </c>
      <c r="I157" s="2">
        <f t="shared" si="4"/>
        <v>130969</v>
      </c>
      <c r="J157" s="2">
        <f t="shared" si="4"/>
        <v>130969</v>
      </c>
      <c r="K157" s="2">
        <f t="shared" ref="K157:K158" si="5">+H157-F157</f>
        <v>113091</v>
      </c>
    </row>
    <row r="158" spans="1:11" ht="15" x14ac:dyDescent="0.35">
      <c r="A158" s="236" t="s">
        <v>810</v>
      </c>
      <c r="B158" s="236"/>
      <c r="C158" s="236"/>
      <c r="D158" s="236"/>
      <c r="E158" s="10">
        <f>SUM(E143:E152)</f>
        <v>3196</v>
      </c>
      <c r="F158" s="10">
        <f>SUM(F143:F146)</f>
        <v>7000</v>
      </c>
      <c r="G158" s="10">
        <f>SUM(G143:G146)</f>
        <v>7000</v>
      </c>
      <c r="H158" s="10">
        <f>SUM(H143:H146)</f>
        <v>769764</v>
      </c>
      <c r="I158" s="10">
        <f>SUM(I143:I146)</f>
        <v>769764</v>
      </c>
      <c r="J158" s="10">
        <f>SUM(J139:J152)</f>
        <v>869764</v>
      </c>
      <c r="K158" s="2">
        <f t="shared" si="5"/>
        <v>762764</v>
      </c>
    </row>
    <row r="159" spans="1:11" x14ac:dyDescent="0.2">
      <c r="A159" s="183" t="s">
        <v>1073</v>
      </c>
      <c r="E159" s="2">
        <f t="shared" ref="E159:J159" si="6">SUM(E156:E158)</f>
        <v>855425</v>
      </c>
      <c r="F159" s="2">
        <f t="shared" si="6"/>
        <v>889964</v>
      </c>
      <c r="G159" s="2">
        <f t="shared" si="6"/>
        <v>1051264</v>
      </c>
      <c r="H159" s="2">
        <f t="shared" ref="H159:I159" si="7">SUM(H156:H158)</f>
        <v>1814028</v>
      </c>
      <c r="I159" s="2">
        <f t="shared" si="7"/>
        <v>1747778</v>
      </c>
      <c r="J159" s="2">
        <f t="shared" si="6"/>
        <v>1847778</v>
      </c>
    </row>
    <row r="160" spans="1:11" x14ac:dyDescent="0.2">
      <c r="G160" s="103"/>
      <c r="H160" s="103"/>
      <c r="I160" s="103"/>
      <c r="J160" s="103"/>
    </row>
    <row r="161" spans="7:10" x14ac:dyDescent="0.2">
      <c r="G161" s="103"/>
      <c r="H161" s="103"/>
      <c r="I161" s="103"/>
      <c r="J161" s="128">
        <f>+J159-I159</f>
        <v>100000</v>
      </c>
    </row>
    <row r="162" spans="7:10" x14ac:dyDescent="0.2">
      <c r="G162" s="103"/>
      <c r="H162" s="103"/>
      <c r="I162" s="128">
        <f>+I159-H159</f>
        <v>-66250</v>
      </c>
      <c r="J162" s="103"/>
    </row>
    <row r="163" spans="7:10" x14ac:dyDescent="0.2">
      <c r="G163" s="103"/>
      <c r="H163" s="103"/>
      <c r="I163" s="103"/>
      <c r="J163" s="103"/>
    </row>
    <row r="164" spans="7:10" x14ac:dyDescent="0.2">
      <c r="G164" s="103"/>
      <c r="H164" s="103"/>
      <c r="I164" s="103"/>
      <c r="J164" s="103"/>
    </row>
    <row r="165" spans="7:10" x14ac:dyDescent="0.2">
      <c r="G165" s="103"/>
      <c r="H165" s="103"/>
      <c r="I165" s="103"/>
      <c r="J165" s="103"/>
    </row>
    <row r="166" spans="7:10" x14ac:dyDescent="0.2">
      <c r="G166" s="103"/>
      <c r="H166" s="103"/>
      <c r="I166" s="103"/>
      <c r="J166" s="103"/>
    </row>
    <row r="167" spans="7:10" x14ac:dyDescent="0.2">
      <c r="G167" s="103"/>
      <c r="H167" s="103"/>
      <c r="I167" s="103"/>
      <c r="J167" s="103"/>
    </row>
    <row r="168" spans="7:10" x14ac:dyDescent="0.2">
      <c r="G168" s="103"/>
      <c r="H168" s="103"/>
      <c r="I168" s="103"/>
      <c r="J168" s="103"/>
    </row>
    <row r="169" spans="7:10" x14ac:dyDescent="0.2">
      <c r="G169" s="103"/>
      <c r="H169" s="103"/>
      <c r="I169" s="103"/>
      <c r="J169" s="103"/>
    </row>
    <row r="170" spans="7:10" x14ac:dyDescent="0.2">
      <c r="G170" s="103"/>
      <c r="H170" s="103"/>
      <c r="I170" s="103"/>
      <c r="J170" s="103"/>
    </row>
    <row r="171" spans="7:10" x14ac:dyDescent="0.2">
      <c r="G171" s="103"/>
      <c r="H171" s="103"/>
      <c r="I171" s="103"/>
      <c r="J171" s="103"/>
    </row>
    <row r="172" spans="7:10" x14ac:dyDescent="0.2">
      <c r="G172" s="103"/>
      <c r="H172" s="103"/>
      <c r="I172" s="103"/>
      <c r="J172" s="103"/>
    </row>
    <row r="173" spans="7:10" x14ac:dyDescent="0.2">
      <c r="G173" s="103"/>
      <c r="H173" s="103"/>
      <c r="I173" s="103"/>
      <c r="J173" s="103"/>
    </row>
    <row r="174" spans="7:10" x14ac:dyDescent="0.2">
      <c r="G174" s="103"/>
      <c r="H174" s="103"/>
      <c r="I174" s="103"/>
      <c r="J174" s="103"/>
    </row>
    <row r="175" spans="7:10" x14ac:dyDescent="0.2">
      <c r="G175" s="103"/>
      <c r="H175" s="103"/>
      <c r="I175" s="103"/>
      <c r="J175" s="103"/>
    </row>
    <row r="176" spans="7:10" x14ac:dyDescent="0.2">
      <c r="G176" s="103"/>
      <c r="H176" s="103"/>
      <c r="I176" s="103"/>
      <c r="J176" s="103"/>
    </row>
    <row r="177" spans="7:10" x14ac:dyDescent="0.2">
      <c r="G177" s="103"/>
      <c r="H177" s="103"/>
      <c r="I177" s="103"/>
      <c r="J177" s="103"/>
    </row>
    <row r="178" spans="7:10" x14ac:dyDescent="0.2">
      <c r="G178" s="103"/>
      <c r="H178" s="103"/>
      <c r="I178" s="103"/>
      <c r="J178" s="103"/>
    </row>
    <row r="179" spans="7:10" x14ac:dyDescent="0.2">
      <c r="G179" s="103"/>
      <c r="H179" s="103"/>
      <c r="I179" s="103"/>
      <c r="J179" s="103"/>
    </row>
    <row r="180" spans="7:10" x14ac:dyDescent="0.2">
      <c r="G180" s="103"/>
      <c r="H180" s="103"/>
      <c r="I180" s="103"/>
      <c r="J180" s="103"/>
    </row>
    <row r="181" spans="7:10" x14ac:dyDescent="0.2">
      <c r="G181" s="103"/>
      <c r="H181" s="103"/>
      <c r="I181" s="103"/>
      <c r="J181" s="103"/>
    </row>
    <row r="182" spans="7:10" x14ac:dyDescent="0.2">
      <c r="G182" s="103"/>
      <c r="H182" s="103"/>
      <c r="I182" s="103"/>
      <c r="J182" s="103"/>
    </row>
    <row r="183" spans="7:10" x14ac:dyDescent="0.2">
      <c r="G183" s="103"/>
      <c r="H183" s="103"/>
      <c r="I183" s="103"/>
      <c r="J183" s="103"/>
    </row>
    <row r="184" spans="7:10" x14ac:dyDescent="0.2">
      <c r="G184" s="103"/>
      <c r="H184" s="103"/>
      <c r="I184" s="103"/>
      <c r="J184" s="103"/>
    </row>
    <row r="185" spans="7:10" x14ac:dyDescent="0.2">
      <c r="G185" s="103"/>
      <c r="H185" s="103"/>
      <c r="I185" s="103"/>
      <c r="J185" s="103"/>
    </row>
    <row r="186" spans="7:10" x14ac:dyDescent="0.2">
      <c r="G186" s="103"/>
      <c r="H186" s="103"/>
      <c r="I186" s="103"/>
      <c r="J186" s="103"/>
    </row>
    <row r="187" spans="7:10" x14ac:dyDescent="0.2">
      <c r="G187" s="103"/>
      <c r="H187" s="103"/>
      <c r="I187" s="103"/>
      <c r="J187" s="103"/>
    </row>
    <row r="188" spans="7:10" x14ac:dyDescent="0.2">
      <c r="G188" s="103"/>
      <c r="H188" s="103"/>
      <c r="I188" s="103"/>
      <c r="J188" s="103"/>
    </row>
    <row r="189" spans="7:10" x14ac:dyDescent="0.2">
      <c r="G189" s="103"/>
      <c r="H189" s="103"/>
      <c r="I189" s="103"/>
      <c r="J189" s="103"/>
    </row>
    <row r="190" spans="7:10" x14ac:dyDescent="0.2">
      <c r="G190" s="103"/>
      <c r="H190" s="103"/>
      <c r="I190" s="103"/>
    </row>
    <row r="191" spans="7:10" x14ac:dyDescent="0.2">
      <c r="G191" s="103"/>
      <c r="H191" s="103"/>
      <c r="I191" s="103"/>
    </row>
    <row r="192" spans="7:10" x14ac:dyDescent="0.2">
      <c r="G192" s="103"/>
      <c r="H192" s="103"/>
      <c r="I192" s="103"/>
    </row>
    <row r="193" spans="7:9" x14ac:dyDescent="0.2">
      <c r="G193" s="103"/>
      <c r="H193" s="103"/>
      <c r="I193" s="103"/>
    </row>
    <row r="194" spans="7:9" x14ac:dyDescent="0.2">
      <c r="I194" s="231"/>
    </row>
    <row r="195" spans="7:9" x14ac:dyDescent="0.2">
      <c r="I195" s="231"/>
    </row>
    <row r="196" spans="7:9" x14ac:dyDescent="0.2">
      <c r="I196" s="231"/>
    </row>
    <row r="197" spans="7:9" x14ac:dyDescent="0.2">
      <c r="I197" s="231"/>
    </row>
    <row r="198" spans="7:9" x14ac:dyDescent="0.2">
      <c r="I198" s="231"/>
    </row>
    <row r="199" spans="7:9" x14ac:dyDescent="0.2">
      <c r="I199" s="231"/>
    </row>
    <row r="200" spans="7:9" x14ac:dyDescent="0.2">
      <c r="I200" s="231"/>
    </row>
    <row r="201" spans="7:9" x14ac:dyDescent="0.2">
      <c r="I201" s="231"/>
    </row>
    <row r="202" spans="7:9" x14ac:dyDescent="0.2">
      <c r="I202" s="231"/>
    </row>
    <row r="203" spans="7:9" x14ac:dyDescent="0.2">
      <c r="I203" s="231"/>
    </row>
    <row r="204" spans="7:9" x14ac:dyDescent="0.2">
      <c r="I204" s="231"/>
    </row>
    <row r="205" spans="7:9" x14ac:dyDescent="0.2">
      <c r="I205" s="231"/>
    </row>
    <row r="206" spans="7:9" x14ac:dyDescent="0.2">
      <c r="I206" s="231"/>
    </row>
    <row r="207" spans="7:9" x14ac:dyDescent="0.2">
      <c r="I207" s="231"/>
    </row>
    <row r="208" spans="7:9" x14ac:dyDescent="0.2">
      <c r="I208" s="231"/>
    </row>
    <row r="209" spans="9:9" x14ac:dyDescent="0.2">
      <c r="I209" s="231"/>
    </row>
    <row r="210" spans="9:9" x14ac:dyDescent="0.2">
      <c r="I210" s="231"/>
    </row>
    <row r="211" spans="9:9" x14ac:dyDescent="0.2">
      <c r="I211" s="231"/>
    </row>
    <row r="212" spans="9:9" x14ac:dyDescent="0.2">
      <c r="I212" s="231"/>
    </row>
    <row r="213" spans="9:9" x14ac:dyDescent="0.2">
      <c r="I213" s="231"/>
    </row>
    <row r="214" spans="9:9" x14ac:dyDescent="0.2">
      <c r="I214" s="231"/>
    </row>
    <row r="215" spans="9:9" x14ac:dyDescent="0.2">
      <c r="I215" s="231"/>
    </row>
    <row r="216" spans="9:9" x14ac:dyDescent="0.2">
      <c r="I216" s="231"/>
    </row>
    <row r="217" spans="9:9" x14ac:dyDescent="0.2">
      <c r="I217" s="231"/>
    </row>
    <row r="218" spans="9:9" x14ac:dyDescent="0.2">
      <c r="I218" s="231"/>
    </row>
    <row r="219" spans="9:9" x14ac:dyDescent="0.2">
      <c r="I219" s="231"/>
    </row>
    <row r="220" spans="9:9" x14ac:dyDescent="0.2">
      <c r="I220" s="231"/>
    </row>
    <row r="221" spans="9:9" x14ac:dyDescent="0.2">
      <c r="I221" s="231"/>
    </row>
    <row r="222" spans="9:9" x14ac:dyDescent="0.2">
      <c r="I222" s="231"/>
    </row>
    <row r="223" spans="9:9" x14ac:dyDescent="0.2">
      <c r="I223" s="231"/>
    </row>
    <row r="224" spans="9:9" x14ac:dyDescent="0.2">
      <c r="I224" s="231"/>
    </row>
    <row r="225" spans="9:9" x14ac:dyDescent="0.2">
      <c r="I225" s="231"/>
    </row>
    <row r="226" spans="9:9" x14ac:dyDescent="0.2">
      <c r="I226" s="231"/>
    </row>
    <row r="227" spans="9:9" x14ac:dyDescent="0.2">
      <c r="I227" s="231"/>
    </row>
    <row r="228" spans="9:9" x14ac:dyDescent="0.2">
      <c r="I228" s="231"/>
    </row>
    <row r="229" spans="9:9" x14ac:dyDescent="0.2">
      <c r="I229" s="231"/>
    </row>
    <row r="230" spans="9:9" x14ac:dyDescent="0.2">
      <c r="I230" s="231"/>
    </row>
    <row r="231" spans="9:9" x14ac:dyDescent="0.2">
      <c r="I231" s="231"/>
    </row>
    <row r="232" spans="9:9" x14ac:dyDescent="0.2">
      <c r="I232" s="231"/>
    </row>
    <row r="233" spans="9:9" x14ac:dyDescent="0.2">
      <c r="I233" s="231"/>
    </row>
    <row r="234" spans="9:9" x14ac:dyDescent="0.2">
      <c r="I234" s="231"/>
    </row>
    <row r="235" spans="9:9" x14ac:dyDescent="0.2">
      <c r="I235" s="231"/>
    </row>
    <row r="236" spans="9:9" x14ac:dyDescent="0.2">
      <c r="I236" s="231"/>
    </row>
    <row r="237" spans="9:9" x14ac:dyDescent="0.2">
      <c r="I237" s="231"/>
    </row>
    <row r="238" spans="9:9" x14ac:dyDescent="0.2">
      <c r="I238" s="231"/>
    </row>
    <row r="239" spans="9:9" x14ac:dyDescent="0.2">
      <c r="I239" s="231"/>
    </row>
    <row r="240" spans="9:9" x14ac:dyDescent="0.2">
      <c r="I240" s="231"/>
    </row>
    <row r="241" spans="9:9" x14ac:dyDescent="0.2">
      <c r="I241" s="231"/>
    </row>
    <row r="242" spans="9:9" x14ac:dyDescent="0.2">
      <c r="I242" s="231"/>
    </row>
    <row r="243" spans="9:9" x14ac:dyDescent="0.2">
      <c r="I243" s="231"/>
    </row>
    <row r="244" spans="9:9" x14ac:dyDescent="0.2">
      <c r="I244" s="231"/>
    </row>
    <row r="245" spans="9:9" x14ac:dyDescent="0.2">
      <c r="I245" s="231"/>
    </row>
    <row r="246" spans="9:9" x14ac:dyDescent="0.2">
      <c r="I246" s="231"/>
    </row>
    <row r="247" spans="9:9" x14ac:dyDescent="0.2">
      <c r="I247" s="231"/>
    </row>
    <row r="248" spans="9:9" x14ac:dyDescent="0.2">
      <c r="I248" s="231"/>
    </row>
    <row r="249" spans="9:9" x14ac:dyDescent="0.2">
      <c r="I249" s="231"/>
    </row>
    <row r="250" spans="9:9" x14ac:dyDescent="0.2">
      <c r="I250" s="231"/>
    </row>
    <row r="251" spans="9:9" x14ac:dyDescent="0.2">
      <c r="I251" s="231"/>
    </row>
  </sheetData>
  <mergeCells count="1">
    <mergeCell ref="A1:J1"/>
  </mergeCells>
  <phoneticPr fontId="0" type="noConversion"/>
  <printOptions gridLines="1"/>
  <pageMargins left="0.75" right="0.16" top="0.51" bottom="0.22" header="0.5" footer="0.5"/>
  <pageSetup scale="86" fitToHeight="17"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234"/>
  <sheetViews>
    <sheetView view="pageBreakPreview" zoomScaleNormal="100" zoomScaleSheetLayoutView="100" workbookViewId="0">
      <pane ySplit="5" topLeftCell="A6" activePane="bottomLeft" state="frozen"/>
      <selection activeCell="D43" sqref="D43"/>
      <selection pane="bottomLeft" activeCell="A116" sqref="A116"/>
    </sheetView>
  </sheetViews>
  <sheetFormatPr defaultColWidth="8.85546875" defaultRowHeight="12.75" customHeight="1" x14ac:dyDescent="0.2"/>
  <cols>
    <col min="1" max="1" width="44.42578125" style="183" customWidth="1"/>
    <col min="2" max="2" width="9.5703125" style="183" bestFit="1" customWidth="1"/>
    <col min="3" max="3" width="10.140625" style="183" customWidth="1"/>
    <col min="4" max="4" width="12" style="183" customWidth="1"/>
    <col min="5" max="6" width="9.140625" style="183" bestFit="1" customWidth="1"/>
    <col min="7" max="7" width="11" style="2" bestFit="1" customWidth="1"/>
    <col min="8" max="8" width="14.140625" style="2" bestFit="1" customWidth="1"/>
    <col min="9" max="10" width="9.5703125" style="183" customWidth="1"/>
    <col min="11" max="16384" width="8.85546875" style="183"/>
  </cols>
  <sheetData>
    <row r="1" spans="1:10" x14ac:dyDescent="0.2">
      <c r="A1" s="254" t="e">
        <f>#REF!</f>
        <v>#REF!</v>
      </c>
      <c r="B1" s="254"/>
      <c r="C1" s="254"/>
      <c r="D1" s="254"/>
      <c r="E1" s="254"/>
      <c r="F1" s="254"/>
      <c r="G1" s="254"/>
      <c r="H1" s="254"/>
      <c r="I1" s="254"/>
      <c r="J1" s="254"/>
    </row>
    <row r="2" spans="1:10" ht="18.75" x14ac:dyDescent="0.3">
      <c r="A2" s="91" t="s">
        <v>1575</v>
      </c>
      <c r="B2" s="91"/>
      <c r="C2" s="91"/>
      <c r="D2" s="91"/>
      <c r="E2" s="91"/>
      <c r="F2" s="91"/>
    </row>
    <row r="3" spans="1:10" x14ac:dyDescent="0.2">
      <c r="B3" s="2"/>
      <c r="C3" s="2"/>
      <c r="D3" s="2"/>
      <c r="E3" s="2"/>
      <c r="F3" s="2"/>
    </row>
    <row r="4" spans="1:10" x14ac:dyDescent="0.2">
      <c r="B4" s="2"/>
      <c r="C4" s="2"/>
      <c r="D4" s="2"/>
      <c r="E4" s="15" t="s">
        <v>204</v>
      </c>
      <c r="F4" s="15" t="s">
        <v>205</v>
      </c>
      <c r="G4" s="15" t="s">
        <v>61</v>
      </c>
      <c r="H4" s="15" t="s">
        <v>358</v>
      </c>
      <c r="I4" s="15" t="s">
        <v>270</v>
      </c>
      <c r="J4" s="15" t="s">
        <v>301</v>
      </c>
    </row>
    <row r="5" spans="1:10" ht="15" x14ac:dyDescent="0.35">
      <c r="B5" s="2"/>
      <c r="C5" s="2"/>
      <c r="D5" s="2"/>
      <c r="E5" s="196" t="s">
        <v>1757</v>
      </c>
      <c r="F5" s="196" t="s">
        <v>1838</v>
      </c>
      <c r="G5" s="196" t="s">
        <v>1977</v>
      </c>
      <c r="H5" s="196" t="s">
        <v>1977</v>
      </c>
      <c r="I5" s="196" t="s">
        <v>1977</v>
      </c>
      <c r="J5" s="196" t="s">
        <v>1977</v>
      </c>
    </row>
    <row r="6" spans="1:10" ht="13.5" x14ac:dyDescent="0.25">
      <c r="A6" s="239" t="s">
        <v>982</v>
      </c>
      <c r="B6" s="2"/>
      <c r="C6" s="11"/>
      <c r="D6" s="2"/>
      <c r="E6" s="2">
        <v>43326</v>
      </c>
      <c r="F6" s="52">
        <v>45050</v>
      </c>
      <c r="G6" s="52">
        <v>44200</v>
      </c>
      <c r="H6" s="52">
        <v>44200</v>
      </c>
      <c r="I6" s="52">
        <v>45292</v>
      </c>
      <c r="J6" s="52">
        <v>45292</v>
      </c>
    </row>
    <row r="7" spans="1:10" ht="15" x14ac:dyDescent="0.35">
      <c r="A7" s="236" t="s">
        <v>114</v>
      </c>
      <c r="B7" s="2">
        <v>52</v>
      </c>
      <c r="C7" s="2">
        <v>871</v>
      </c>
      <c r="D7" s="10">
        <f>ROUND(B7*C7,0)</f>
        <v>45292</v>
      </c>
      <c r="E7" s="2"/>
      <c r="F7" s="2"/>
      <c r="I7" s="2"/>
      <c r="J7" s="2"/>
    </row>
    <row r="8" spans="1:10" x14ac:dyDescent="0.2">
      <c r="A8" s="236" t="s">
        <v>1073</v>
      </c>
      <c r="B8" s="2"/>
      <c r="C8" s="2"/>
      <c r="D8" s="2">
        <f>SUM(D7:D7)</f>
        <v>45292</v>
      </c>
      <c r="E8" s="2"/>
      <c r="F8" s="2"/>
      <c r="I8" s="2"/>
      <c r="J8" s="2"/>
    </row>
    <row r="9" spans="1:10" x14ac:dyDescent="0.2">
      <c r="A9" s="236"/>
      <c r="B9" s="2"/>
      <c r="C9" s="2"/>
      <c r="D9" s="2"/>
      <c r="E9" s="2"/>
      <c r="F9" s="2"/>
      <c r="I9" s="2"/>
      <c r="J9" s="2"/>
    </row>
    <row r="10" spans="1:10" ht="13.5" x14ac:dyDescent="0.25">
      <c r="A10" s="239" t="s">
        <v>983</v>
      </c>
      <c r="B10" s="2"/>
      <c r="C10" s="2"/>
      <c r="D10" s="2"/>
      <c r="E10" s="2">
        <v>78381</v>
      </c>
      <c r="F10" s="2">
        <v>83312</v>
      </c>
      <c r="G10" s="2">
        <v>80855</v>
      </c>
      <c r="H10" s="2">
        <v>80855</v>
      </c>
      <c r="I10" s="2">
        <v>82831</v>
      </c>
      <c r="J10" s="2">
        <v>82831</v>
      </c>
    </row>
    <row r="11" spans="1:10" x14ac:dyDescent="0.2">
      <c r="A11" s="236" t="s">
        <v>339</v>
      </c>
      <c r="B11" s="2">
        <v>52</v>
      </c>
      <c r="C11" s="2">
        <v>1581</v>
      </c>
      <c r="D11" s="2">
        <f>ROUND(B11*C11,0)</f>
        <v>82212</v>
      </c>
      <c r="E11" s="2"/>
      <c r="F11" s="2"/>
      <c r="I11" s="2"/>
      <c r="J11" s="2"/>
    </row>
    <row r="12" spans="1:10" ht="15" x14ac:dyDescent="0.35">
      <c r="A12" s="236" t="s">
        <v>824</v>
      </c>
      <c r="B12" s="2"/>
      <c r="C12" s="2"/>
      <c r="D12" s="10">
        <v>619</v>
      </c>
      <c r="E12" s="2"/>
      <c r="F12" s="60"/>
      <c r="G12" s="60"/>
      <c r="H12" s="60"/>
      <c r="I12" s="60"/>
      <c r="J12" s="60"/>
    </row>
    <row r="13" spans="1:10" x14ac:dyDescent="0.2">
      <c r="A13" s="236" t="s">
        <v>1073</v>
      </c>
      <c r="B13" s="2"/>
      <c r="C13" s="2"/>
      <c r="D13" s="2">
        <f>SUM(D11:D12)</f>
        <v>82831</v>
      </c>
      <c r="E13" s="2"/>
      <c r="F13" s="2"/>
      <c r="I13" s="2"/>
      <c r="J13" s="2"/>
    </row>
    <row r="14" spans="1:10" x14ac:dyDescent="0.2">
      <c r="A14" s="236"/>
      <c r="B14" s="2"/>
      <c r="C14" s="2"/>
      <c r="D14" s="2"/>
      <c r="E14" s="2"/>
      <c r="F14" s="2"/>
      <c r="I14" s="2"/>
      <c r="J14" s="2"/>
    </row>
    <row r="15" spans="1:10" ht="13.5" x14ac:dyDescent="0.25">
      <c r="A15" s="239" t="s">
        <v>984</v>
      </c>
      <c r="B15" s="2"/>
      <c r="C15" s="2"/>
      <c r="D15" s="2"/>
      <c r="E15" s="2">
        <v>123090</v>
      </c>
      <c r="F15" s="2">
        <v>134338</v>
      </c>
      <c r="G15" s="2">
        <v>130936</v>
      </c>
      <c r="H15" s="2">
        <v>130936</v>
      </c>
      <c r="I15" s="2">
        <v>134212</v>
      </c>
      <c r="J15" s="2">
        <v>134212</v>
      </c>
    </row>
    <row r="16" spans="1:10" x14ac:dyDescent="0.2">
      <c r="A16" s="236" t="s">
        <v>545</v>
      </c>
      <c r="B16" s="2">
        <v>52</v>
      </c>
      <c r="C16" s="2">
        <v>1250</v>
      </c>
      <c r="D16" s="2">
        <f>ROUND(B16*C16,0)</f>
        <v>65000</v>
      </c>
      <c r="E16" s="2"/>
      <c r="F16" s="2"/>
      <c r="I16" s="2"/>
      <c r="J16" s="2"/>
    </row>
    <row r="17" spans="1:11" x14ac:dyDescent="0.2">
      <c r="A17" s="236" t="s">
        <v>535</v>
      </c>
      <c r="B17" s="2">
        <v>52</v>
      </c>
      <c r="C17" s="2">
        <v>1331</v>
      </c>
      <c r="D17" s="2">
        <f>ROUND(B17*C17,0)</f>
        <v>69212</v>
      </c>
      <c r="E17" s="2"/>
      <c r="F17" s="2"/>
      <c r="I17" s="2"/>
      <c r="J17" s="2"/>
    </row>
    <row r="18" spans="1:11" ht="15" x14ac:dyDescent="0.35">
      <c r="A18" s="236" t="s">
        <v>824</v>
      </c>
      <c r="B18" s="2">
        <v>0</v>
      </c>
      <c r="C18" s="2">
        <v>0</v>
      </c>
      <c r="D18" s="10">
        <f>ROUND(B18*C18,0)</f>
        <v>0</v>
      </c>
      <c r="E18" s="2"/>
      <c r="F18" s="52"/>
      <c r="G18" s="52"/>
      <c r="H18" s="52"/>
      <c r="I18" s="52"/>
      <c r="J18" s="52"/>
    </row>
    <row r="19" spans="1:11" x14ac:dyDescent="0.2">
      <c r="A19" s="236" t="s">
        <v>1073</v>
      </c>
      <c r="B19" s="2"/>
      <c r="C19" s="2"/>
      <c r="D19" s="2">
        <f>SUM(D16:D18)</f>
        <v>134212</v>
      </c>
      <c r="E19" s="2"/>
      <c r="F19" s="2"/>
      <c r="I19" s="2"/>
      <c r="J19" s="2"/>
    </row>
    <row r="20" spans="1:11" x14ac:dyDescent="0.2">
      <c r="A20" s="236"/>
      <c r="B20" s="236"/>
      <c r="C20" s="236"/>
      <c r="D20" s="2"/>
      <c r="E20" s="2"/>
      <c r="F20" s="2"/>
      <c r="I20" s="2"/>
      <c r="J20" s="2"/>
    </row>
    <row r="21" spans="1:11" ht="13.5" x14ac:dyDescent="0.25">
      <c r="A21" s="239" t="s">
        <v>985</v>
      </c>
      <c r="B21" s="236"/>
      <c r="C21" s="236"/>
      <c r="D21" s="2"/>
      <c r="E21" s="2">
        <v>27967</v>
      </c>
      <c r="F21" s="2">
        <v>27647</v>
      </c>
      <c r="G21" s="2">
        <v>38072</v>
      </c>
      <c r="H21" s="2">
        <v>38072</v>
      </c>
      <c r="I21" s="2">
        <v>38771</v>
      </c>
      <c r="J21" s="2">
        <v>38771</v>
      </c>
      <c r="K21" s="2">
        <f>+I21-H21</f>
        <v>699</v>
      </c>
    </row>
    <row r="22" spans="1:11" s="230" customFormat="1" x14ac:dyDescent="0.2">
      <c r="A22" s="22" t="s">
        <v>2080</v>
      </c>
      <c r="B22" s="236"/>
      <c r="C22" s="236"/>
      <c r="D22" s="2">
        <v>10000</v>
      </c>
      <c r="E22" s="2"/>
      <c r="F22" s="2"/>
      <c r="G22" s="2"/>
      <c r="H22" s="2"/>
      <c r="I22" s="2"/>
      <c r="J22" s="2"/>
      <c r="K22" s="2">
        <f t="shared" ref="K22:K62" si="0">+I22-H22</f>
        <v>0</v>
      </c>
    </row>
    <row r="23" spans="1:11" ht="15" x14ac:dyDescent="0.35">
      <c r="A23" s="236" t="s">
        <v>1486</v>
      </c>
      <c r="B23" s="2">
        <v>1456</v>
      </c>
      <c r="C23" s="11">
        <v>19.760000000000002</v>
      </c>
      <c r="D23" s="10">
        <f>ROUND(B23*C23,0)</f>
        <v>28771</v>
      </c>
      <c r="E23" s="2"/>
      <c r="F23" s="52"/>
      <c r="G23" s="52"/>
      <c r="H23" s="52"/>
      <c r="I23" s="52"/>
      <c r="J23" s="52"/>
      <c r="K23" s="2">
        <f t="shared" si="0"/>
        <v>0</v>
      </c>
    </row>
    <row r="24" spans="1:11" x14ac:dyDescent="0.2">
      <c r="A24" s="236" t="s">
        <v>1073</v>
      </c>
      <c r="B24" s="2"/>
      <c r="C24" s="11"/>
      <c r="D24" s="2">
        <f>SUM(D22:D23)</f>
        <v>38771</v>
      </c>
      <c r="E24" s="2"/>
      <c r="F24" s="2"/>
      <c r="I24" s="2"/>
      <c r="J24" s="2"/>
      <c r="K24" s="2">
        <f t="shared" si="0"/>
        <v>0</v>
      </c>
    </row>
    <row r="25" spans="1:11" x14ac:dyDescent="0.2">
      <c r="A25" s="236"/>
      <c r="B25" s="236"/>
      <c r="C25" s="236"/>
      <c r="D25" s="2"/>
      <c r="E25" s="2"/>
      <c r="F25" s="2"/>
      <c r="I25" s="2"/>
      <c r="J25" s="2"/>
      <c r="K25" s="2">
        <f t="shared" si="0"/>
        <v>0</v>
      </c>
    </row>
    <row r="26" spans="1:11" ht="13.5" x14ac:dyDescent="0.25">
      <c r="A26" s="43" t="s">
        <v>84</v>
      </c>
      <c r="B26" s="2"/>
      <c r="C26" s="11"/>
      <c r="D26" s="2"/>
      <c r="E26" s="2">
        <v>951</v>
      </c>
      <c r="F26" s="2">
        <v>4432</v>
      </c>
      <c r="G26" s="2">
        <v>5612</v>
      </c>
      <c r="H26" s="2">
        <v>5612</v>
      </c>
      <c r="I26" s="2">
        <v>5751</v>
      </c>
      <c r="J26" s="2">
        <v>5751</v>
      </c>
      <c r="K26" s="2">
        <f t="shared" si="0"/>
        <v>139</v>
      </c>
    </row>
    <row r="27" spans="1:11" x14ac:dyDescent="0.2">
      <c r="A27" s="42" t="s">
        <v>1465</v>
      </c>
      <c r="B27" s="2">
        <v>102</v>
      </c>
      <c r="C27" s="11">
        <f>+C7/40*1.5</f>
        <v>32.662499999999994</v>
      </c>
      <c r="D27" s="2">
        <f>C27*B27</f>
        <v>3331.5749999999994</v>
      </c>
      <c r="E27" s="2"/>
      <c r="F27" s="2"/>
      <c r="I27" s="2"/>
      <c r="J27" s="2"/>
      <c r="K27" s="2">
        <f t="shared" si="0"/>
        <v>0</v>
      </c>
    </row>
    <row r="28" spans="1:11" ht="15" x14ac:dyDescent="0.35">
      <c r="A28" s="42" t="s">
        <v>2081</v>
      </c>
      <c r="B28" s="2">
        <v>50</v>
      </c>
      <c r="C28" s="11">
        <f>(+C16+C17)/40/2*1.5</f>
        <v>48.393750000000004</v>
      </c>
      <c r="D28" s="10">
        <f>C28*B28</f>
        <v>2419.6875</v>
      </c>
      <c r="E28" s="2"/>
      <c r="F28" s="2"/>
      <c r="I28" s="2"/>
      <c r="J28" s="2"/>
      <c r="K28" s="2">
        <f t="shared" si="0"/>
        <v>0</v>
      </c>
    </row>
    <row r="29" spans="1:11" x14ac:dyDescent="0.2">
      <c r="A29" s="236" t="s">
        <v>1073</v>
      </c>
      <c r="B29" s="2"/>
      <c r="C29" s="11"/>
      <c r="D29" s="2">
        <f>SUM(D27:D28)</f>
        <v>5751.2624999999989</v>
      </c>
      <c r="E29" s="2"/>
      <c r="F29" s="2"/>
      <c r="I29" s="2"/>
      <c r="J29" s="2"/>
      <c r="K29" s="2">
        <f t="shared" si="0"/>
        <v>0</v>
      </c>
    </row>
    <row r="30" spans="1:11" x14ac:dyDescent="0.2">
      <c r="A30" s="15"/>
      <c r="B30" s="2"/>
      <c r="C30" s="11"/>
      <c r="D30" s="2"/>
      <c r="E30" s="2"/>
      <c r="F30" s="2"/>
      <c r="I30" s="2"/>
      <c r="J30" s="2"/>
      <c r="K30" s="2">
        <f t="shared" si="0"/>
        <v>0</v>
      </c>
    </row>
    <row r="31" spans="1:11" ht="13.5" x14ac:dyDescent="0.25">
      <c r="A31" s="239" t="s">
        <v>986</v>
      </c>
      <c r="B31" s="61"/>
      <c r="C31" s="236"/>
      <c r="D31" s="2"/>
      <c r="E31" s="2">
        <v>22656</v>
      </c>
      <c r="F31" s="2">
        <v>22550</v>
      </c>
      <c r="G31" s="2">
        <v>22925</v>
      </c>
      <c r="H31" s="2">
        <v>22925</v>
      </c>
      <c r="I31" s="2">
        <v>22710</v>
      </c>
      <c r="J31" s="2">
        <v>22710</v>
      </c>
      <c r="K31" s="2">
        <f t="shared" si="0"/>
        <v>-215</v>
      </c>
    </row>
    <row r="32" spans="1:11" hidden="1" x14ac:dyDescent="0.2">
      <c r="A32" s="12" t="s">
        <v>1074</v>
      </c>
      <c r="B32" s="2">
        <f>D8</f>
        <v>45292</v>
      </c>
      <c r="C32" s="13">
        <v>7.6499999999999999E-2</v>
      </c>
      <c r="D32" s="2">
        <f>ROUND(B32*C32,0)</f>
        <v>3465</v>
      </c>
      <c r="E32" s="2"/>
      <c r="F32" s="2"/>
      <c r="I32" s="2"/>
      <c r="J32" s="2"/>
      <c r="K32" s="2">
        <f t="shared" si="0"/>
        <v>0</v>
      </c>
    </row>
    <row r="33" spans="1:11" hidden="1" x14ac:dyDescent="0.2">
      <c r="A33" s="12" t="s">
        <v>1075</v>
      </c>
      <c r="B33" s="2">
        <f>+D13</f>
        <v>82831</v>
      </c>
      <c r="C33" s="13">
        <v>7.6499999999999999E-2</v>
      </c>
      <c r="D33" s="2">
        <f>ROUND(B33*C33,0)</f>
        <v>6337</v>
      </c>
      <c r="E33" s="2"/>
      <c r="F33" s="2"/>
      <c r="I33" s="2"/>
      <c r="J33" s="2"/>
      <c r="K33" s="2">
        <f t="shared" si="0"/>
        <v>0</v>
      </c>
    </row>
    <row r="34" spans="1:11" hidden="1" x14ac:dyDescent="0.2">
      <c r="A34" s="12" t="s">
        <v>1076</v>
      </c>
      <c r="B34" s="2">
        <f>+D19</f>
        <v>134212</v>
      </c>
      <c r="C34" s="13">
        <v>7.6499999999999999E-2</v>
      </c>
      <c r="D34" s="2">
        <f>ROUND(B34*C34,0)</f>
        <v>10267</v>
      </c>
      <c r="E34" s="2"/>
      <c r="F34" s="2"/>
      <c r="I34" s="2"/>
      <c r="J34" s="2"/>
      <c r="K34" s="2">
        <f t="shared" si="0"/>
        <v>0</v>
      </c>
    </row>
    <row r="35" spans="1:11" hidden="1" x14ac:dyDescent="0.2">
      <c r="A35" s="12" t="s">
        <v>1077</v>
      </c>
      <c r="B35" s="2">
        <v>28771</v>
      </c>
      <c r="C35" s="13">
        <v>7.6499999999999999E-2</v>
      </c>
      <c r="D35" s="2">
        <f>ROUND(B35*C35,0)</f>
        <v>2201</v>
      </c>
      <c r="E35" s="2"/>
      <c r="F35" s="2"/>
      <c r="I35" s="2"/>
      <c r="J35" s="2"/>
      <c r="K35" s="2">
        <f t="shared" si="0"/>
        <v>0</v>
      </c>
    </row>
    <row r="36" spans="1:11" ht="15" hidden="1" x14ac:dyDescent="0.35">
      <c r="A36" s="12" t="s">
        <v>1207</v>
      </c>
      <c r="B36" s="2">
        <f>+D29</f>
        <v>5751.2624999999989</v>
      </c>
      <c r="C36" s="13">
        <v>7.6499999999999999E-2</v>
      </c>
      <c r="D36" s="10">
        <f>ROUND(B36*C36,0)</f>
        <v>440</v>
      </c>
      <c r="E36" s="2"/>
      <c r="F36" s="2"/>
      <c r="I36" s="2"/>
      <c r="J36" s="2"/>
      <c r="K36" s="2">
        <f t="shared" si="0"/>
        <v>0</v>
      </c>
    </row>
    <row r="37" spans="1:11" hidden="1" x14ac:dyDescent="0.2">
      <c r="A37" s="236" t="s">
        <v>1073</v>
      </c>
      <c r="B37" s="2"/>
      <c r="C37" s="13"/>
      <c r="D37" s="2">
        <f>SUM(D32:D36)</f>
        <v>22710</v>
      </c>
      <c r="E37" s="2"/>
      <c r="F37" s="2"/>
      <c r="I37" s="2"/>
      <c r="J37" s="2"/>
      <c r="K37" s="2">
        <f t="shared" si="0"/>
        <v>0</v>
      </c>
    </row>
    <row r="38" spans="1:11" x14ac:dyDescent="0.2">
      <c r="A38" s="236"/>
      <c r="B38" s="236"/>
      <c r="C38" s="236"/>
      <c r="D38" s="2"/>
      <c r="E38" s="2"/>
      <c r="F38" s="2"/>
      <c r="I38" s="2"/>
      <c r="J38" s="2"/>
      <c r="K38" s="2">
        <f t="shared" si="0"/>
        <v>0</v>
      </c>
    </row>
    <row r="39" spans="1:11" ht="13.5" x14ac:dyDescent="0.25">
      <c r="A39" s="14" t="s">
        <v>987</v>
      </c>
      <c r="B39" s="236"/>
      <c r="C39" s="236"/>
      <c r="D39" s="2"/>
      <c r="E39" s="2">
        <v>27619</v>
      </c>
      <c r="F39" s="2">
        <v>37559</v>
      </c>
      <c r="G39" s="2">
        <v>36782</v>
      </c>
      <c r="H39" s="2">
        <v>36782</v>
      </c>
      <c r="I39" s="2">
        <v>37693</v>
      </c>
      <c r="J39" s="2">
        <v>37693</v>
      </c>
      <c r="K39" s="2">
        <f t="shared" si="0"/>
        <v>911</v>
      </c>
    </row>
    <row r="40" spans="1:11" hidden="1" x14ac:dyDescent="0.2">
      <c r="A40" s="12" t="s">
        <v>1074</v>
      </c>
      <c r="B40" s="2">
        <f>D8</f>
        <v>45292</v>
      </c>
      <c r="C40" s="190">
        <v>0.1406</v>
      </c>
      <c r="D40" s="2">
        <f>ROUND(B40*C40,0)</f>
        <v>6368</v>
      </c>
      <c r="E40" s="2"/>
      <c r="F40" s="2"/>
      <c r="I40" s="2"/>
      <c r="J40" s="2"/>
      <c r="K40" s="2">
        <f t="shared" si="0"/>
        <v>0</v>
      </c>
    </row>
    <row r="41" spans="1:11" hidden="1" x14ac:dyDescent="0.2">
      <c r="A41" s="12" t="s">
        <v>1075</v>
      </c>
      <c r="B41" s="2">
        <f>+D13</f>
        <v>82831</v>
      </c>
      <c r="C41" s="190">
        <v>0.1406</v>
      </c>
      <c r="D41" s="2">
        <f>ROUND(B41*C41,0)</f>
        <v>11646</v>
      </c>
      <c r="E41" s="2"/>
      <c r="F41" s="2"/>
      <c r="I41" s="2"/>
      <c r="J41" s="2"/>
      <c r="K41" s="2">
        <f t="shared" si="0"/>
        <v>0</v>
      </c>
    </row>
    <row r="42" spans="1:11" hidden="1" x14ac:dyDescent="0.2">
      <c r="A42" s="12" t="s">
        <v>1076</v>
      </c>
      <c r="B42" s="2">
        <f>+D19</f>
        <v>134212</v>
      </c>
      <c r="C42" s="190">
        <v>0.1406</v>
      </c>
      <c r="D42" s="2">
        <f>ROUND(B42*C42,0)</f>
        <v>18870</v>
      </c>
      <c r="E42" s="2"/>
      <c r="F42" s="2"/>
      <c r="I42" s="2"/>
      <c r="J42" s="2"/>
      <c r="K42" s="2">
        <f t="shared" si="0"/>
        <v>0</v>
      </c>
    </row>
    <row r="43" spans="1:11" ht="15" hidden="1" x14ac:dyDescent="0.35">
      <c r="A43" s="12" t="s">
        <v>1466</v>
      </c>
      <c r="B43" s="2">
        <f>+D29</f>
        <v>5751.2624999999989</v>
      </c>
      <c r="C43" s="190">
        <v>0.1406</v>
      </c>
      <c r="D43" s="10">
        <f>ROUND(B43*C43,0)</f>
        <v>809</v>
      </c>
      <c r="E43" s="2"/>
      <c r="F43" s="52"/>
      <c r="G43" s="52"/>
      <c r="H43" s="52"/>
      <c r="I43" s="52"/>
      <c r="J43" s="52"/>
      <c r="K43" s="2">
        <f t="shared" si="0"/>
        <v>0</v>
      </c>
    </row>
    <row r="44" spans="1:11" hidden="1" x14ac:dyDescent="0.2">
      <c r="A44" s="236" t="s">
        <v>1073</v>
      </c>
      <c r="B44" s="236"/>
      <c r="C44" s="236"/>
      <c r="D44" s="2">
        <f>SUM(D40:D43)</f>
        <v>37693</v>
      </c>
      <c r="E44" s="2"/>
      <c r="F44" s="52"/>
      <c r="G44" s="52"/>
      <c r="H44" s="52"/>
      <c r="I44" s="52"/>
      <c r="J44" s="52"/>
      <c r="K44" s="2">
        <f t="shared" si="0"/>
        <v>0</v>
      </c>
    </row>
    <row r="45" spans="1:11" x14ac:dyDescent="0.2">
      <c r="A45" s="236"/>
      <c r="B45" s="236"/>
      <c r="C45" s="236"/>
      <c r="D45" s="2"/>
      <c r="E45" s="2"/>
      <c r="F45" s="2"/>
      <c r="I45" s="2"/>
      <c r="J45" s="2"/>
      <c r="K45" s="2">
        <f t="shared" si="0"/>
        <v>0</v>
      </c>
    </row>
    <row r="46" spans="1:11" ht="13.5" x14ac:dyDescent="0.25">
      <c r="A46" s="239" t="s">
        <v>988</v>
      </c>
      <c r="B46" s="236"/>
      <c r="C46" s="236"/>
      <c r="D46" s="2"/>
      <c r="E46" s="2">
        <v>76224</v>
      </c>
      <c r="F46" s="2">
        <v>79000</v>
      </c>
      <c r="G46" s="2">
        <v>78000</v>
      </c>
      <c r="H46" s="2">
        <v>78000</v>
      </c>
      <c r="I46" s="2">
        <v>76000</v>
      </c>
      <c r="J46" s="2">
        <v>76000</v>
      </c>
      <c r="K46" s="2">
        <f t="shared" si="0"/>
        <v>-2000</v>
      </c>
    </row>
    <row r="47" spans="1:11" hidden="1" x14ac:dyDescent="0.2">
      <c r="A47" s="236" t="s">
        <v>196</v>
      </c>
      <c r="B47" s="2">
        <v>4</v>
      </c>
      <c r="C47" s="2">
        <v>19000</v>
      </c>
      <c r="D47" s="2">
        <f>ROUND(B47*C47,0)</f>
        <v>76000</v>
      </c>
      <c r="E47" s="2"/>
      <c r="F47" s="2"/>
      <c r="I47" s="2"/>
      <c r="J47" s="2"/>
      <c r="K47" s="2">
        <f t="shared" si="0"/>
        <v>0</v>
      </c>
    </row>
    <row r="48" spans="1:11" x14ac:dyDescent="0.2">
      <c r="A48" s="236"/>
      <c r="B48" s="236"/>
      <c r="C48" s="236"/>
      <c r="D48" s="2"/>
      <c r="E48" s="2"/>
      <c r="F48" s="2"/>
      <c r="I48" s="2"/>
      <c r="J48" s="2"/>
      <c r="K48" s="2">
        <f t="shared" si="0"/>
        <v>0</v>
      </c>
    </row>
    <row r="49" spans="1:11" ht="13.5" x14ac:dyDescent="0.25">
      <c r="A49" s="239" t="s">
        <v>989</v>
      </c>
      <c r="B49" s="236"/>
      <c r="C49" s="236"/>
      <c r="D49" s="2"/>
      <c r="E49" s="2">
        <v>2484</v>
      </c>
      <c r="F49" s="52">
        <v>5040</v>
      </c>
      <c r="G49" s="52">
        <v>4950</v>
      </c>
      <c r="H49" s="52">
        <v>4950</v>
      </c>
      <c r="I49" s="52">
        <v>4950</v>
      </c>
      <c r="J49" s="52">
        <v>4950</v>
      </c>
      <c r="K49" s="2">
        <f t="shared" si="0"/>
        <v>0</v>
      </c>
    </row>
    <row r="50" spans="1:11" hidden="1" x14ac:dyDescent="0.2">
      <c r="A50" s="236" t="s">
        <v>365</v>
      </c>
      <c r="B50" s="2">
        <v>4</v>
      </c>
      <c r="C50" s="2">
        <v>1375</v>
      </c>
      <c r="D50" s="2">
        <f>ROUND(B50*C50,0)</f>
        <v>5500</v>
      </c>
      <c r="E50" s="2"/>
      <c r="F50" s="2"/>
      <c r="I50" s="2"/>
      <c r="J50" s="2"/>
      <c r="K50" s="2">
        <f t="shared" si="0"/>
        <v>0</v>
      </c>
    </row>
    <row r="51" spans="1:11" ht="15" hidden="1" x14ac:dyDescent="0.35">
      <c r="A51" s="236" t="s">
        <v>198</v>
      </c>
      <c r="B51" s="2"/>
      <c r="C51" s="2"/>
      <c r="D51" s="10">
        <f>-C50*B50*0.1</f>
        <v>-550</v>
      </c>
      <c r="E51" s="2"/>
      <c r="F51" s="2"/>
      <c r="I51" s="2"/>
      <c r="J51" s="2"/>
      <c r="K51" s="2">
        <f t="shared" si="0"/>
        <v>0</v>
      </c>
    </row>
    <row r="52" spans="1:11" hidden="1" x14ac:dyDescent="0.2">
      <c r="A52" s="236" t="s">
        <v>683</v>
      </c>
      <c r="B52" s="2"/>
      <c r="C52" s="2"/>
      <c r="D52" s="2">
        <f>SUM(D50:D51)</f>
        <v>4950</v>
      </c>
      <c r="E52" s="2"/>
      <c r="F52" s="2"/>
      <c r="I52" s="2"/>
      <c r="J52" s="2"/>
      <c r="K52" s="2">
        <f t="shared" si="0"/>
        <v>0</v>
      </c>
    </row>
    <row r="53" spans="1:11" x14ac:dyDescent="0.2">
      <c r="A53" s="236"/>
      <c r="B53" s="236"/>
      <c r="C53" s="236"/>
      <c r="D53" s="2"/>
      <c r="E53" s="2"/>
      <c r="F53" s="2"/>
      <c r="I53" s="2"/>
      <c r="J53" s="2"/>
      <c r="K53" s="2">
        <f t="shared" si="0"/>
        <v>0</v>
      </c>
    </row>
    <row r="54" spans="1:11" ht="13.5" x14ac:dyDescent="0.25">
      <c r="A54" s="239" t="s">
        <v>990</v>
      </c>
      <c r="B54" s="236"/>
      <c r="C54" s="236"/>
      <c r="D54" s="2"/>
      <c r="E54" s="2">
        <v>546</v>
      </c>
      <c r="F54" s="2">
        <v>540</v>
      </c>
      <c r="G54" s="2">
        <v>540</v>
      </c>
      <c r="H54" s="2">
        <v>540</v>
      </c>
      <c r="I54" s="2">
        <v>540</v>
      </c>
      <c r="J54" s="2">
        <v>540</v>
      </c>
      <c r="K54" s="2">
        <f t="shared" si="0"/>
        <v>0</v>
      </c>
    </row>
    <row r="55" spans="1:11" hidden="1" x14ac:dyDescent="0.2">
      <c r="A55" s="236" t="s">
        <v>365</v>
      </c>
      <c r="B55" s="2">
        <v>4</v>
      </c>
      <c r="C55" s="2">
        <v>135</v>
      </c>
      <c r="D55" s="2">
        <f>ROUND(B55*C55,0)</f>
        <v>540</v>
      </c>
      <c r="E55" s="2"/>
      <c r="F55" s="2"/>
      <c r="I55" s="2"/>
      <c r="J55" s="2"/>
      <c r="K55" s="2">
        <f t="shared" si="0"/>
        <v>0</v>
      </c>
    </row>
    <row r="56" spans="1:11" x14ac:dyDescent="0.2">
      <c r="A56" s="236"/>
      <c r="B56" s="236"/>
      <c r="C56" s="236"/>
      <c r="D56" s="2"/>
      <c r="E56" s="2"/>
      <c r="F56" s="2"/>
      <c r="I56" s="2"/>
      <c r="J56" s="2"/>
      <c r="K56" s="2">
        <f t="shared" si="0"/>
        <v>0</v>
      </c>
    </row>
    <row r="57" spans="1:11" ht="13.5" x14ac:dyDescent="0.25">
      <c r="A57" s="239" t="s">
        <v>991</v>
      </c>
      <c r="B57" s="236"/>
      <c r="C57" s="236"/>
      <c r="D57" s="2"/>
      <c r="E57" s="2">
        <v>2597</v>
      </c>
      <c r="F57" s="2">
        <v>2200</v>
      </c>
      <c r="G57" s="2">
        <v>2100</v>
      </c>
      <c r="H57" s="2">
        <v>2100</v>
      </c>
      <c r="I57" s="2">
        <v>2100</v>
      </c>
      <c r="J57" s="2">
        <v>2100</v>
      </c>
      <c r="K57" s="2">
        <f t="shared" si="0"/>
        <v>0</v>
      </c>
    </row>
    <row r="58" spans="1:11" hidden="1" x14ac:dyDescent="0.2">
      <c r="A58" s="236" t="s">
        <v>365</v>
      </c>
      <c r="B58" s="2">
        <v>4</v>
      </c>
      <c r="C58" s="2">
        <v>525</v>
      </c>
      <c r="D58" s="2">
        <f>ROUND(B58*C58,0)</f>
        <v>2100</v>
      </c>
      <c r="E58" s="2"/>
      <c r="F58" s="52"/>
      <c r="G58" s="52"/>
      <c r="H58" s="52"/>
      <c r="I58" s="52"/>
      <c r="J58" s="52"/>
      <c r="K58" s="2">
        <f t="shared" si="0"/>
        <v>0</v>
      </c>
    </row>
    <row r="59" spans="1:11" x14ac:dyDescent="0.2">
      <c r="A59" s="236"/>
      <c r="B59" s="236"/>
      <c r="C59" s="236"/>
      <c r="D59" s="2"/>
      <c r="E59" s="2"/>
      <c r="F59" s="3"/>
      <c r="G59" s="3"/>
      <c r="H59" s="3"/>
      <c r="I59" s="3"/>
      <c r="J59" s="3"/>
      <c r="K59" s="2">
        <f t="shared" si="0"/>
        <v>0</v>
      </c>
    </row>
    <row r="60" spans="1:11" ht="13.5" x14ac:dyDescent="0.25">
      <c r="A60" s="239" t="s">
        <v>992</v>
      </c>
      <c r="B60" s="236"/>
      <c r="C60" s="236"/>
      <c r="D60" s="2"/>
      <c r="E60" s="2">
        <v>7389</v>
      </c>
      <c r="F60" s="3">
        <v>10304</v>
      </c>
      <c r="G60" s="3">
        <v>10028</v>
      </c>
      <c r="H60" s="3">
        <v>10028</v>
      </c>
      <c r="I60" s="3">
        <v>9879</v>
      </c>
      <c r="J60" s="3">
        <v>9879</v>
      </c>
      <c r="K60" s="2">
        <f t="shared" si="0"/>
        <v>-149</v>
      </c>
    </row>
    <row r="61" spans="1:11" hidden="1" x14ac:dyDescent="0.2">
      <c r="A61" s="12" t="s">
        <v>1074</v>
      </c>
      <c r="B61" s="2">
        <f>+D8</f>
        <v>45292</v>
      </c>
      <c r="C61" s="13">
        <v>1.74E-3</v>
      </c>
      <c r="D61" s="2">
        <f>ROUND(B61*C61,0)</f>
        <v>79</v>
      </c>
      <c r="E61" s="2"/>
      <c r="F61" s="3"/>
      <c r="G61" s="3"/>
      <c r="H61" s="3"/>
      <c r="I61" s="3"/>
      <c r="J61" s="3"/>
      <c r="K61" s="2">
        <f t="shared" si="0"/>
        <v>0</v>
      </c>
    </row>
    <row r="62" spans="1:11" hidden="1" x14ac:dyDescent="0.2">
      <c r="A62" s="12" t="s">
        <v>1079</v>
      </c>
      <c r="B62" s="2">
        <f>+D13</f>
        <v>82831</v>
      </c>
      <c r="C62" s="13">
        <v>3.8899999999999997E-2</v>
      </c>
      <c r="D62" s="2">
        <f>ROUND(B62*C62,0)</f>
        <v>3222</v>
      </c>
      <c r="E62" s="2"/>
      <c r="F62" s="3"/>
      <c r="G62" s="3"/>
      <c r="H62" s="3"/>
      <c r="I62" s="3"/>
      <c r="J62" s="3"/>
      <c r="K62" s="2">
        <f t="shared" si="0"/>
        <v>0</v>
      </c>
    </row>
    <row r="63" spans="1:11" hidden="1" x14ac:dyDescent="0.2">
      <c r="A63" s="12" t="s">
        <v>417</v>
      </c>
      <c r="B63" s="2">
        <f>+D19</f>
        <v>134212</v>
      </c>
      <c r="C63" s="13">
        <v>3.8899999999999997E-2</v>
      </c>
      <c r="D63" s="2">
        <f>ROUND(B63*C63,0)</f>
        <v>5221</v>
      </c>
      <c r="E63" s="2"/>
      <c r="F63" s="3"/>
      <c r="G63" s="3"/>
      <c r="H63" s="3"/>
      <c r="I63" s="3"/>
      <c r="J63" s="3"/>
    </row>
    <row r="64" spans="1:11" hidden="1" x14ac:dyDescent="0.2">
      <c r="A64" s="12" t="s">
        <v>1080</v>
      </c>
      <c r="B64" s="2">
        <v>28771</v>
      </c>
      <c r="C64" s="13">
        <v>3.8899999999999997E-2</v>
      </c>
      <c r="D64" s="2">
        <f>ROUND(B64*C64,0)</f>
        <v>1119</v>
      </c>
      <c r="E64" s="2"/>
      <c r="F64" s="3"/>
      <c r="G64" s="3"/>
      <c r="H64" s="3"/>
      <c r="I64" s="3"/>
      <c r="J64" s="3"/>
    </row>
    <row r="65" spans="1:10" ht="15" hidden="1" x14ac:dyDescent="0.35">
      <c r="A65" s="12" t="s">
        <v>1467</v>
      </c>
      <c r="B65" s="2">
        <f>+D29</f>
        <v>5751.2624999999989</v>
      </c>
      <c r="C65" s="13">
        <v>3.8899999999999997E-2</v>
      </c>
      <c r="D65" s="10">
        <f>ROUND(B65*C65,0)</f>
        <v>224</v>
      </c>
      <c r="E65" s="2"/>
      <c r="F65" s="3"/>
      <c r="G65" s="3"/>
      <c r="H65" s="3"/>
      <c r="I65" s="3"/>
      <c r="J65" s="3"/>
    </row>
    <row r="66" spans="1:10" hidden="1" x14ac:dyDescent="0.2">
      <c r="A66" s="236" t="s">
        <v>1073</v>
      </c>
      <c r="B66" s="236"/>
      <c r="C66" s="236"/>
      <c r="D66" s="2">
        <f>SUM(D61:D65)+14</f>
        <v>9879</v>
      </c>
      <c r="E66" s="2"/>
      <c r="F66" s="3"/>
      <c r="G66" s="3"/>
      <c r="H66" s="3"/>
      <c r="I66" s="3"/>
      <c r="J66" s="3"/>
    </row>
    <row r="67" spans="1:10" x14ac:dyDescent="0.2">
      <c r="A67" s="236"/>
      <c r="B67" s="236"/>
      <c r="C67" s="236"/>
      <c r="D67" s="2"/>
      <c r="E67" s="2"/>
      <c r="F67" s="3"/>
      <c r="G67" s="3"/>
      <c r="H67" s="3"/>
      <c r="I67" s="3"/>
      <c r="J67" s="3"/>
    </row>
    <row r="68" spans="1:10" ht="13.5" x14ac:dyDescent="0.25">
      <c r="A68" s="239" t="s">
        <v>993</v>
      </c>
      <c r="B68" s="236"/>
      <c r="C68" s="236"/>
      <c r="D68" s="2"/>
      <c r="E68" s="2">
        <v>126</v>
      </c>
      <c r="F68" s="3">
        <v>100</v>
      </c>
      <c r="G68" s="3">
        <v>114</v>
      </c>
      <c r="H68" s="3">
        <v>114</v>
      </c>
      <c r="I68" s="3">
        <v>114</v>
      </c>
      <c r="J68" s="3">
        <v>114</v>
      </c>
    </row>
    <row r="69" spans="1:10" hidden="1" x14ac:dyDescent="0.2">
      <c r="A69" s="12" t="s">
        <v>1074</v>
      </c>
      <c r="B69" s="2">
        <v>1</v>
      </c>
      <c r="C69" s="2">
        <v>20</v>
      </c>
      <c r="D69" s="2">
        <f>ROUND(B69*C69,0)</f>
        <v>20</v>
      </c>
      <c r="E69" s="2"/>
      <c r="F69" s="3"/>
      <c r="G69" s="3"/>
      <c r="H69" s="3"/>
      <c r="I69" s="3"/>
      <c r="J69" s="3"/>
    </row>
    <row r="70" spans="1:10" hidden="1" x14ac:dyDescent="0.2">
      <c r="A70" s="12" t="s">
        <v>1075</v>
      </c>
      <c r="B70" s="2">
        <v>1</v>
      </c>
      <c r="C70" s="2">
        <v>20</v>
      </c>
      <c r="D70" s="2">
        <f>ROUND(B70*C70,0)</f>
        <v>20</v>
      </c>
      <c r="E70" s="2"/>
      <c r="F70" s="3"/>
      <c r="G70" s="3"/>
      <c r="H70" s="3"/>
      <c r="I70" s="3"/>
      <c r="J70" s="3"/>
    </row>
    <row r="71" spans="1:10" hidden="1" x14ac:dyDescent="0.2">
      <c r="A71" s="12" t="s">
        <v>1076</v>
      </c>
      <c r="B71" s="2">
        <v>2</v>
      </c>
      <c r="C71" s="2">
        <v>20</v>
      </c>
      <c r="D71" s="2">
        <f>ROUND(B71*C71,0)</f>
        <v>40</v>
      </c>
      <c r="E71" s="2"/>
      <c r="F71" s="3"/>
      <c r="G71" s="3"/>
      <c r="H71" s="3"/>
      <c r="I71" s="3"/>
      <c r="J71" s="3"/>
    </row>
    <row r="72" spans="1:10" hidden="1" x14ac:dyDescent="0.2">
      <c r="A72" s="12" t="s">
        <v>1667</v>
      </c>
      <c r="B72" s="2">
        <v>1</v>
      </c>
      <c r="C72" s="2">
        <v>20</v>
      </c>
      <c r="D72" s="2">
        <f>ROUND(B72*C72,0)</f>
        <v>20</v>
      </c>
      <c r="E72" s="2"/>
      <c r="F72" s="3"/>
      <c r="G72" s="3"/>
      <c r="H72" s="3"/>
      <c r="I72" s="3"/>
      <c r="J72" s="3"/>
    </row>
    <row r="73" spans="1:10" hidden="1" x14ac:dyDescent="0.2">
      <c r="A73" s="12" t="s">
        <v>1668</v>
      </c>
      <c r="B73" s="2">
        <f>+D22</f>
        <v>10000</v>
      </c>
      <c r="C73" s="13">
        <v>1.4E-3</v>
      </c>
      <c r="D73" s="17">
        <f>ROUND(B73*C73,0)</f>
        <v>14</v>
      </c>
      <c r="E73" s="2"/>
      <c r="F73" s="3"/>
      <c r="G73" s="3"/>
      <c r="H73" s="3"/>
      <c r="I73" s="3"/>
      <c r="J73" s="3"/>
    </row>
    <row r="74" spans="1:10" hidden="1" x14ac:dyDescent="0.2">
      <c r="A74" s="236" t="s">
        <v>1073</v>
      </c>
      <c r="B74" s="2" t="s">
        <v>345</v>
      </c>
      <c r="C74" s="13" t="s">
        <v>345</v>
      </c>
      <c r="D74" s="2">
        <f>SUM(D69:D73)</f>
        <v>114</v>
      </c>
      <c r="E74" s="2"/>
      <c r="F74" s="60"/>
      <c r="G74" s="60"/>
      <c r="H74" s="60"/>
      <c r="I74" s="60"/>
      <c r="J74" s="60"/>
    </row>
    <row r="75" spans="1:10" x14ac:dyDescent="0.2">
      <c r="A75" s="236"/>
      <c r="B75" s="2"/>
      <c r="C75" s="13"/>
      <c r="D75" s="2"/>
      <c r="E75" s="2"/>
      <c r="F75" s="60"/>
      <c r="G75" s="60"/>
      <c r="H75" s="60"/>
      <c r="I75" s="60"/>
      <c r="J75" s="60"/>
    </row>
    <row r="76" spans="1:10" ht="13.5" x14ac:dyDescent="0.25">
      <c r="A76" s="239" t="s">
        <v>994</v>
      </c>
      <c r="B76" s="236"/>
      <c r="C76" s="236"/>
      <c r="D76" s="2"/>
      <c r="E76" s="2">
        <v>3113</v>
      </c>
      <c r="F76" s="2">
        <v>4295</v>
      </c>
      <c r="G76" s="2">
        <v>4295</v>
      </c>
      <c r="H76" s="2">
        <v>4295</v>
      </c>
      <c r="I76" s="2">
        <v>4295</v>
      </c>
      <c r="J76" s="2">
        <v>4295</v>
      </c>
    </row>
    <row r="77" spans="1:10" x14ac:dyDescent="0.2">
      <c r="A77" s="48" t="s">
        <v>1393</v>
      </c>
      <c r="B77" s="48"/>
      <c r="C77" s="48"/>
      <c r="D77" s="3">
        <v>2500</v>
      </c>
      <c r="E77" s="3"/>
      <c r="F77" s="2"/>
      <c r="I77" s="2"/>
      <c r="J77" s="2"/>
    </row>
    <row r="78" spans="1:10" x14ac:dyDescent="0.2">
      <c r="A78" s="48" t="s">
        <v>1879</v>
      </c>
      <c r="B78" s="48"/>
      <c r="C78" s="48">
        <v>1</v>
      </c>
      <c r="D78" s="3">
        <v>615</v>
      </c>
      <c r="E78" s="3"/>
      <c r="F78" s="2"/>
      <c r="I78" s="2"/>
      <c r="J78" s="2"/>
    </row>
    <row r="79" spans="1:10" ht="15" x14ac:dyDescent="0.35">
      <c r="A79" s="48" t="s">
        <v>1880</v>
      </c>
      <c r="B79" s="48"/>
      <c r="C79" s="48">
        <v>1</v>
      </c>
      <c r="D79" s="28">
        <v>1180</v>
      </c>
      <c r="E79" s="3"/>
      <c r="F79" s="2"/>
      <c r="I79" s="2"/>
      <c r="J79" s="2"/>
    </row>
    <row r="80" spans="1:10" x14ac:dyDescent="0.2">
      <c r="A80" s="48"/>
      <c r="B80" s="48"/>
      <c r="C80" s="48"/>
      <c r="D80" s="3">
        <f>SUM(D77:D79)</f>
        <v>4295</v>
      </c>
      <c r="E80" s="3"/>
      <c r="F80" s="2"/>
      <c r="I80" s="2"/>
      <c r="J80" s="2"/>
    </row>
    <row r="81" spans="1:10" x14ac:dyDescent="0.2">
      <c r="A81" s="48" t="s">
        <v>345</v>
      </c>
      <c r="B81" s="48"/>
      <c r="C81" s="48"/>
      <c r="D81" s="3" t="s">
        <v>345</v>
      </c>
      <c r="E81" s="3"/>
      <c r="F81" s="2"/>
      <c r="I81" s="2"/>
      <c r="J81" s="2"/>
    </row>
    <row r="82" spans="1:10" ht="13.5" x14ac:dyDescent="0.25">
      <c r="A82" s="168" t="s">
        <v>1742</v>
      </c>
      <c r="B82" s="144"/>
      <c r="C82" s="144"/>
      <c r="D82" s="144"/>
      <c r="E82" s="3">
        <v>0</v>
      </c>
      <c r="F82" s="2">
        <v>1350</v>
      </c>
      <c r="G82" s="2">
        <v>3000</v>
      </c>
      <c r="H82" s="2">
        <v>3000</v>
      </c>
      <c r="I82" s="2">
        <v>3000</v>
      </c>
      <c r="J82" s="2">
        <v>3000</v>
      </c>
    </row>
    <row r="83" spans="1:10" x14ac:dyDescent="0.2">
      <c r="A83" s="146"/>
      <c r="B83" s="169" t="s">
        <v>214</v>
      </c>
      <c r="C83" s="169" t="s">
        <v>1401</v>
      </c>
      <c r="D83" s="169"/>
      <c r="E83" s="3"/>
      <c r="F83" s="2"/>
      <c r="I83" s="2"/>
      <c r="J83" s="2"/>
    </row>
    <row r="84" spans="1:10" x14ac:dyDescent="0.2">
      <c r="A84" s="144" t="s">
        <v>1881</v>
      </c>
      <c r="B84" s="144">
        <v>4</v>
      </c>
      <c r="C84" s="144">
        <v>450</v>
      </c>
      <c r="D84" s="144">
        <f>C84*B84</f>
        <v>1800</v>
      </c>
      <c r="E84" s="3"/>
      <c r="F84" s="2"/>
      <c r="I84" s="2"/>
      <c r="J84" s="2"/>
    </row>
    <row r="85" spans="1:10" ht="15" x14ac:dyDescent="0.35">
      <c r="A85" s="144" t="s">
        <v>1882</v>
      </c>
      <c r="B85" s="144">
        <v>4</v>
      </c>
      <c r="C85" s="144">
        <v>300</v>
      </c>
      <c r="D85" s="148">
        <f>C85*B85</f>
        <v>1200</v>
      </c>
      <c r="E85" s="3"/>
      <c r="F85" s="2"/>
      <c r="I85" s="2"/>
      <c r="J85" s="2"/>
    </row>
    <row r="86" spans="1:10" x14ac:dyDescent="0.2">
      <c r="A86" s="170" t="s">
        <v>1073</v>
      </c>
      <c r="B86" s="144"/>
      <c r="C86" s="144"/>
      <c r="D86" s="144">
        <f>SUM(D84:D85)</f>
        <v>3000</v>
      </c>
      <c r="E86" s="3"/>
      <c r="F86" s="2"/>
      <c r="I86" s="2"/>
      <c r="J86" s="2"/>
    </row>
    <row r="87" spans="1:10" ht="13.5" x14ac:dyDescent="0.25">
      <c r="A87" s="49"/>
      <c r="B87" s="48"/>
      <c r="C87" s="48"/>
      <c r="D87" s="48"/>
      <c r="E87" s="3"/>
      <c r="F87" s="2"/>
      <c r="I87" s="2"/>
      <c r="J87" s="2"/>
    </row>
    <row r="88" spans="1:10" ht="13.5" x14ac:dyDescent="0.25">
      <c r="A88" s="49" t="s">
        <v>995</v>
      </c>
      <c r="B88" s="48"/>
      <c r="C88" s="48"/>
      <c r="D88" s="3"/>
      <c r="E88" s="3">
        <v>100</v>
      </c>
      <c r="F88" s="2">
        <v>770</v>
      </c>
      <c r="G88" s="2">
        <v>770</v>
      </c>
      <c r="H88" s="2">
        <v>770</v>
      </c>
      <c r="I88" s="2">
        <v>770</v>
      </c>
      <c r="J88" s="2">
        <v>770</v>
      </c>
    </row>
    <row r="89" spans="1:10" ht="15" x14ac:dyDescent="0.35">
      <c r="A89" s="48" t="s">
        <v>1883</v>
      </c>
      <c r="B89" s="48"/>
      <c r="C89" s="48"/>
      <c r="D89" s="28">
        <v>770</v>
      </c>
      <c r="E89" s="3"/>
      <c r="F89" s="2"/>
      <c r="I89" s="2"/>
      <c r="J89" s="2"/>
    </row>
    <row r="90" spans="1:10" x14ac:dyDescent="0.2">
      <c r="A90" s="48"/>
      <c r="B90" s="48"/>
      <c r="C90" s="48"/>
      <c r="D90" s="3">
        <f>SUM(D89:D89)</f>
        <v>770</v>
      </c>
      <c r="E90" s="3"/>
      <c r="F90" s="2"/>
      <c r="I90" s="2"/>
      <c r="J90" s="2"/>
    </row>
    <row r="91" spans="1:10" x14ac:dyDescent="0.2">
      <c r="A91" s="48"/>
      <c r="B91" s="48"/>
      <c r="C91" s="48"/>
      <c r="D91" s="3"/>
      <c r="E91" s="3"/>
      <c r="F91" s="2"/>
      <c r="I91" s="2"/>
      <c r="J91" s="2"/>
    </row>
    <row r="92" spans="1:10" x14ac:dyDescent="0.2">
      <c r="A92" s="171" t="s">
        <v>73</v>
      </c>
      <c r="B92" s="48"/>
      <c r="C92" s="48"/>
      <c r="D92" s="48"/>
      <c r="E92" s="3">
        <v>19</v>
      </c>
      <c r="F92" s="2">
        <v>200</v>
      </c>
      <c r="G92" s="2">
        <v>50</v>
      </c>
      <c r="H92" s="2">
        <v>50</v>
      </c>
      <c r="I92" s="2">
        <v>50</v>
      </c>
      <c r="J92" s="2">
        <v>50</v>
      </c>
    </row>
    <row r="93" spans="1:10" x14ac:dyDescent="0.2">
      <c r="A93" s="3" t="s">
        <v>276</v>
      </c>
      <c r="B93" s="48"/>
      <c r="C93" s="48"/>
      <c r="D93" s="48">
        <v>50</v>
      </c>
      <c r="E93" s="3"/>
      <c r="F93" s="2"/>
      <c r="I93" s="2"/>
      <c r="J93" s="2"/>
    </row>
    <row r="94" spans="1:10" x14ac:dyDescent="0.2">
      <c r="A94" s="236"/>
      <c r="B94" s="236"/>
      <c r="C94" s="236"/>
      <c r="D94" s="236"/>
      <c r="E94" s="2"/>
      <c r="F94" s="2"/>
      <c r="I94" s="2"/>
      <c r="J94" s="2"/>
    </row>
    <row r="95" spans="1:10" ht="13.5" x14ac:dyDescent="0.25">
      <c r="A95" s="49" t="s">
        <v>996</v>
      </c>
      <c r="B95" s="48"/>
      <c r="C95" s="48"/>
      <c r="D95" s="48"/>
      <c r="E95" s="2">
        <v>2112</v>
      </c>
      <c r="F95" s="60">
        <v>2475</v>
      </c>
      <c r="G95" s="60">
        <v>3420</v>
      </c>
      <c r="H95" s="60">
        <v>3420</v>
      </c>
      <c r="I95" s="60">
        <v>3420</v>
      </c>
      <c r="J95" s="60">
        <v>3420</v>
      </c>
    </row>
    <row r="96" spans="1:10" x14ac:dyDescent="0.2">
      <c r="A96" s="48" t="s">
        <v>2079</v>
      </c>
      <c r="B96" s="3">
        <v>1200</v>
      </c>
      <c r="C96" s="11">
        <v>2.85</v>
      </c>
      <c r="D96" s="3">
        <f>+C96*B96</f>
        <v>3420</v>
      </c>
      <c r="E96" s="2"/>
      <c r="F96" s="60"/>
      <c r="G96" s="60"/>
      <c r="H96" s="60"/>
      <c r="I96" s="60"/>
      <c r="J96" s="60"/>
    </row>
    <row r="97" spans="1:10" x14ac:dyDescent="0.2">
      <c r="A97" s="236"/>
      <c r="B97" s="2"/>
      <c r="C97" s="236"/>
      <c r="D97" s="13"/>
      <c r="E97" s="2"/>
      <c r="F97" s="3"/>
      <c r="G97" s="3"/>
      <c r="H97" s="3"/>
      <c r="I97" s="3"/>
      <c r="J97" s="3"/>
    </row>
    <row r="98" spans="1:10" ht="13.5" x14ac:dyDescent="0.25">
      <c r="A98" s="239" t="s">
        <v>997</v>
      </c>
      <c r="B98" s="2"/>
      <c r="C98" s="236"/>
      <c r="D98" s="13"/>
      <c r="E98" s="2">
        <v>2629</v>
      </c>
      <c r="F98" s="3">
        <v>2730</v>
      </c>
      <c r="G98" s="3">
        <v>2830</v>
      </c>
      <c r="H98" s="3">
        <v>2830</v>
      </c>
      <c r="I98" s="3">
        <v>2830</v>
      </c>
      <c r="J98" s="3">
        <v>2830</v>
      </c>
    </row>
    <row r="99" spans="1:10" x14ac:dyDescent="0.2">
      <c r="A99" s="236" t="s">
        <v>811</v>
      </c>
      <c r="B99" s="2"/>
      <c r="C99" s="236"/>
      <c r="D99" s="2">
        <v>850</v>
      </c>
      <c r="E99" s="2"/>
      <c r="F99" s="3"/>
      <c r="G99" s="3"/>
      <c r="H99" s="3"/>
      <c r="I99" s="3"/>
      <c r="J99" s="3"/>
    </row>
    <row r="100" spans="1:10" x14ac:dyDescent="0.2">
      <c r="A100" s="2" t="s">
        <v>752</v>
      </c>
      <c r="B100" s="2">
        <v>1</v>
      </c>
      <c r="C100" s="2">
        <v>1020</v>
      </c>
      <c r="D100" s="2">
        <f>C100*B100</f>
        <v>1020</v>
      </c>
      <c r="E100" s="2"/>
      <c r="F100" s="3"/>
      <c r="G100" s="3"/>
      <c r="H100" s="3"/>
      <c r="I100" s="3"/>
      <c r="J100" s="3"/>
    </row>
    <row r="101" spans="1:10" x14ac:dyDescent="0.2">
      <c r="A101" s="2" t="s">
        <v>753</v>
      </c>
      <c r="B101" s="2">
        <v>1</v>
      </c>
      <c r="C101" s="2">
        <v>480</v>
      </c>
      <c r="D101" s="2">
        <f>C101*B101</f>
        <v>480</v>
      </c>
      <c r="E101" s="2"/>
      <c r="F101" s="60"/>
      <c r="G101" s="60"/>
      <c r="H101" s="60"/>
      <c r="I101" s="60"/>
      <c r="J101" s="60"/>
    </row>
    <row r="102" spans="1:10" ht="15" x14ac:dyDescent="0.35">
      <c r="A102" s="2" t="s">
        <v>754</v>
      </c>
      <c r="B102" s="2">
        <v>1</v>
      </c>
      <c r="C102" s="2">
        <v>480</v>
      </c>
      <c r="D102" s="10">
        <f>C102*B102</f>
        <v>480</v>
      </c>
      <c r="E102" s="2"/>
      <c r="F102" s="3"/>
      <c r="G102" s="3"/>
      <c r="H102" s="3"/>
      <c r="I102" s="3"/>
      <c r="J102" s="3"/>
    </row>
    <row r="103" spans="1:10" x14ac:dyDescent="0.2">
      <c r="A103" s="236" t="s">
        <v>1073</v>
      </c>
      <c r="B103" s="2"/>
      <c r="C103" s="236"/>
      <c r="D103" s="2">
        <f>SUM(D99:D102)</f>
        <v>2830</v>
      </c>
      <c r="E103" s="2"/>
      <c r="F103" s="3"/>
      <c r="G103" s="3"/>
      <c r="H103" s="3"/>
      <c r="I103" s="3"/>
      <c r="J103" s="3"/>
    </row>
    <row r="104" spans="1:10" x14ac:dyDescent="0.2">
      <c r="A104" s="236"/>
      <c r="B104" s="2"/>
      <c r="C104" s="236"/>
      <c r="D104" s="2"/>
      <c r="E104" s="2"/>
      <c r="F104" s="3"/>
      <c r="G104" s="3"/>
      <c r="H104" s="3"/>
      <c r="I104" s="3"/>
      <c r="J104" s="3"/>
    </row>
    <row r="105" spans="1:10" x14ac:dyDescent="0.2">
      <c r="A105" s="236"/>
      <c r="B105" s="236"/>
      <c r="C105" s="236"/>
      <c r="D105" s="2"/>
      <c r="E105" s="2"/>
      <c r="F105" s="3"/>
      <c r="G105" s="3"/>
      <c r="H105" s="3"/>
      <c r="I105" s="3"/>
      <c r="J105" s="3"/>
    </row>
    <row r="106" spans="1:10" ht="13.5" x14ac:dyDescent="0.25">
      <c r="A106" s="239" t="s">
        <v>998</v>
      </c>
      <c r="B106" s="236"/>
      <c r="C106" s="236"/>
      <c r="D106" s="2"/>
      <c r="E106" s="2">
        <v>702</v>
      </c>
      <c r="F106" s="3">
        <v>890</v>
      </c>
      <c r="G106" s="3">
        <v>890</v>
      </c>
      <c r="H106" s="3">
        <v>890</v>
      </c>
      <c r="I106" s="3">
        <v>890</v>
      </c>
      <c r="J106" s="3">
        <v>890</v>
      </c>
    </row>
    <row r="107" spans="1:10" x14ac:dyDescent="0.2">
      <c r="A107" s="236" t="s">
        <v>1815</v>
      </c>
      <c r="B107" s="2">
        <v>1</v>
      </c>
      <c r="C107" s="236">
        <v>175</v>
      </c>
      <c r="D107" s="2">
        <f>C107*B107</f>
        <v>175</v>
      </c>
      <c r="E107" s="2"/>
      <c r="F107" s="3"/>
      <c r="G107" s="3"/>
      <c r="H107" s="3"/>
      <c r="I107" s="3"/>
      <c r="J107" s="3"/>
    </row>
    <row r="108" spans="1:10" x14ac:dyDescent="0.2">
      <c r="A108" s="236" t="s">
        <v>1816</v>
      </c>
      <c r="B108" s="2">
        <v>0</v>
      </c>
      <c r="C108" s="236">
        <v>125</v>
      </c>
      <c r="D108" s="2">
        <f t="shared" ref="D108:D114" si="1">C108*B108</f>
        <v>0</v>
      </c>
      <c r="E108" s="2"/>
      <c r="F108" s="3"/>
      <c r="G108" s="3"/>
      <c r="H108" s="3"/>
      <c r="I108" s="3"/>
      <c r="J108" s="3"/>
    </row>
    <row r="109" spans="1:10" x14ac:dyDescent="0.2">
      <c r="A109" s="236" t="s">
        <v>1817</v>
      </c>
      <c r="B109" s="2">
        <v>0</v>
      </c>
      <c r="C109" s="236">
        <v>125</v>
      </c>
      <c r="D109" s="2">
        <f t="shared" si="1"/>
        <v>0</v>
      </c>
      <c r="E109" s="2"/>
      <c r="F109" s="3"/>
      <c r="G109" s="3"/>
      <c r="H109" s="3"/>
      <c r="I109" s="3"/>
      <c r="J109" s="3"/>
    </row>
    <row r="110" spans="1:10" x14ac:dyDescent="0.2">
      <c r="A110" s="236" t="s">
        <v>1363</v>
      </c>
      <c r="B110" s="2">
        <v>2</v>
      </c>
      <c r="C110" s="236">
        <v>75</v>
      </c>
      <c r="D110" s="2">
        <f t="shared" si="1"/>
        <v>150</v>
      </c>
      <c r="E110" s="2"/>
      <c r="F110" s="3"/>
      <c r="G110" s="3"/>
      <c r="H110" s="3"/>
      <c r="I110" s="3"/>
      <c r="J110" s="3"/>
    </row>
    <row r="111" spans="1:10" x14ac:dyDescent="0.2">
      <c r="A111" s="236" t="s">
        <v>149</v>
      </c>
      <c r="B111" s="2">
        <v>3</v>
      </c>
      <c r="C111" s="236">
        <v>30</v>
      </c>
      <c r="D111" s="2">
        <f t="shared" si="1"/>
        <v>90</v>
      </c>
      <c r="E111" s="2"/>
      <c r="F111" s="3"/>
      <c r="G111" s="3"/>
      <c r="H111" s="3"/>
      <c r="I111" s="3"/>
      <c r="J111" s="3"/>
    </row>
    <row r="112" spans="1:10" x14ac:dyDescent="0.2">
      <c r="A112" s="236" t="s">
        <v>1364</v>
      </c>
      <c r="B112" s="2">
        <v>0</v>
      </c>
      <c r="C112" s="236">
        <v>85</v>
      </c>
      <c r="D112" s="2">
        <f t="shared" si="1"/>
        <v>0</v>
      </c>
      <c r="E112" s="2"/>
      <c r="F112" s="3"/>
      <c r="G112" s="3"/>
      <c r="H112" s="3"/>
      <c r="I112" s="3"/>
      <c r="J112" s="3"/>
    </row>
    <row r="113" spans="1:10" x14ac:dyDescent="0.2">
      <c r="A113" s="236" t="s">
        <v>1365</v>
      </c>
      <c r="B113" s="2">
        <v>3</v>
      </c>
      <c r="C113" s="236">
        <v>75</v>
      </c>
      <c r="D113" s="2">
        <f t="shared" si="1"/>
        <v>225</v>
      </c>
      <c r="E113" s="2"/>
      <c r="F113" s="3"/>
      <c r="G113" s="3"/>
      <c r="H113" s="3"/>
      <c r="I113" s="3"/>
      <c r="J113" s="3"/>
    </row>
    <row r="114" spans="1:10" ht="15" x14ac:dyDescent="0.35">
      <c r="A114" s="236" t="s">
        <v>1818</v>
      </c>
      <c r="B114" s="2">
        <v>1</v>
      </c>
      <c r="C114" s="236">
        <v>250</v>
      </c>
      <c r="D114" s="10">
        <f t="shared" si="1"/>
        <v>250</v>
      </c>
      <c r="E114" s="2"/>
      <c r="F114" s="3"/>
      <c r="G114" s="3"/>
      <c r="H114" s="3"/>
      <c r="I114" s="3"/>
      <c r="J114" s="3"/>
    </row>
    <row r="115" spans="1:10" x14ac:dyDescent="0.2">
      <c r="A115" s="236" t="s">
        <v>1073</v>
      </c>
      <c r="B115" s="236"/>
      <c r="C115" s="236"/>
      <c r="D115" s="2">
        <f>SUM(D107:D114)</f>
        <v>890</v>
      </c>
      <c r="E115" s="2"/>
      <c r="F115" s="3"/>
      <c r="G115" s="3"/>
      <c r="H115" s="3"/>
      <c r="I115" s="3"/>
      <c r="J115" s="3"/>
    </row>
    <row r="116" spans="1:10" x14ac:dyDescent="0.2">
      <c r="A116" s="236"/>
      <c r="B116" s="236"/>
      <c r="C116" s="236"/>
      <c r="D116" s="2"/>
      <c r="E116" s="2"/>
      <c r="F116" s="3"/>
      <c r="G116" s="3"/>
      <c r="H116" s="3"/>
      <c r="I116" s="3"/>
      <c r="J116" s="3"/>
    </row>
    <row r="117" spans="1:10" ht="13.5" x14ac:dyDescent="0.25">
      <c r="A117" s="16" t="s">
        <v>999</v>
      </c>
      <c r="B117" s="236"/>
      <c r="C117" s="236"/>
      <c r="D117" s="2"/>
      <c r="E117" s="2">
        <v>1908</v>
      </c>
      <c r="F117" s="3">
        <v>2461</v>
      </c>
      <c r="G117" s="3">
        <v>2322</v>
      </c>
      <c r="H117" s="3">
        <v>2322</v>
      </c>
      <c r="I117" s="3">
        <v>2322</v>
      </c>
      <c r="J117" s="3">
        <v>2322</v>
      </c>
    </row>
    <row r="118" spans="1:10" x14ac:dyDescent="0.2">
      <c r="A118" s="236" t="s">
        <v>741</v>
      </c>
      <c r="B118" s="236"/>
      <c r="C118" s="236"/>
      <c r="D118" s="2">
        <v>2322</v>
      </c>
      <c r="E118" s="2"/>
      <c r="F118" s="3"/>
      <c r="G118" s="3"/>
      <c r="H118" s="3"/>
      <c r="I118" s="3"/>
      <c r="J118" s="3"/>
    </row>
    <row r="119" spans="1:10" x14ac:dyDescent="0.2">
      <c r="A119" s="236"/>
      <c r="B119" s="236"/>
      <c r="C119" s="236"/>
      <c r="D119" s="2"/>
      <c r="E119" s="2"/>
      <c r="F119" s="3"/>
      <c r="G119" s="3"/>
      <c r="H119" s="3"/>
      <c r="I119" s="3"/>
      <c r="J119" s="3"/>
    </row>
    <row r="120" spans="1:10" ht="13.5" x14ac:dyDescent="0.25">
      <c r="A120" s="239" t="s">
        <v>1000</v>
      </c>
      <c r="B120" s="236"/>
      <c r="C120" s="236"/>
      <c r="D120" s="2"/>
      <c r="E120" s="2">
        <v>0</v>
      </c>
      <c r="F120" s="60">
        <v>0</v>
      </c>
      <c r="G120" s="60">
        <v>1000</v>
      </c>
      <c r="H120" s="60">
        <v>1000</v>
      </c>
      <c r="I120" s="60">
        <v>1000</v>
      </c>
      <c r="J120" s="60">
        <v>1000</v>
      </c>
    </row>
    <row r="121" spans="1:10" x14ac:dyDescent="0.2">
      <c r="A121" s="236" t="s">
        <v>1394</v>
      </c>
      <c r="B121" s="236">
        <v>2</v>
      </c>
      <c r="C121" s="236">
        <v>500</v>
      </c>
      <c r="D121" s="2">
        <f>C121*B121</f>
        <v>1000</v>
      </c>
      <c r="E121" s="2"/>
      <c r="F121" s="3"/>
      <c r="G121" s="3"/>
      <c r="H121" s="3"/>
      <c r="I121" s="3"/>
      <c r="J121" s="3"/>
    </row>
    <row r="122" spans="1:10" x14ac:dyDescent="0.2">
      <c r="A122" s="236"/>
      <c r="B122" s="236"/>
      <c r="C122" s="236"/>
      <c r="D122" s="2"/>
      <c r="E122" s="2"/>
      <c r="F122" s="3"/>
      <c r="G122" s="3"/>
      <c r="H122" s="3"/>
      <c r="I122" s="3"/>
      <c r="J122" s="3"/>
    </row>
    <row r="123" spans="1:10" ht="13.5" x14ac:dyDescent="0.25">
      <c r="A123" s="90" t="s">
        <v>1395</v>
      </c>
      <c r="B123" s="172"/>
      <c r="C123" s="59"/>
      <c r="D123" s="59"/>
      <c r="E123" s="59">
        <v>0</v>
      </c>
      <c r="F123" s="60">
        <v>2100</v>
      </c>
      <c r="G123" s="60">
        <v>2100</v>
      </c>
      <c r="H123" s="60">
        <v>2100</v>
      </c>
      <c r="I123" s="60">
        <v>2100</v>
      </c>
      <c r="J123" s="60">
        <v>2100</v>
      </c>
    </row>
    <row r="124" spans="1:10" x14ac:dyDescent="0.2">
      <c r="A124" s="3" t="s">
        <v>1884</v>
      </c>
      <c r="B124" s="3">
        <v>1</v>
      </c>
      <c r="C124" s="3">
        <v>1200</v>
      </c>
      <c r="D124" s="59">
        <f>C124*B124</f>
        <v>1200</v>
      </c>
      <c r="E124" s="59"/>
      <c r="F124" s="60"/>
      <c r="G124" s="60"/>
      <c r="H124" s="60"/>
      <c r="I124" s="60"/>
      <c r="J124" s="60"/>
    </row>
    <row r="125" spans="1:10" ht="15" x14ac:dyDescent="0.35">
      <c r="A125" s="3" t="s">
        <v>1885</v>
      </c>
      <c r="B125" s="3">
        <v>1</v>
      </c>
      <c r="C125" s="3">
        <v>900</v>
      </c>
      <c r="D125" s="173">
        <v>900</v>
      </c>
      <c r="E125" s="59"/>
      <c r="F125" s="60"/>
      <c r="G125" s="60"/>
      <c r="H125" s="60"/>
      <c r="I125" s="60"/>
      <c r="J125" s="60"/>
    </row>
    <row r="126" spans="1:10" x14ac:dyDescent="0.2">
      <c r="A126" s="174" t="s">
        <v>1073</v>
      </c>
      <c r="B126" s="3"/>
      <c r="C126" s="3"/>
      <c r="D126" s="59">
        <f>SUM(D124:D125)</f>
        <v>2100</v>
      </c>
      <c r="E126" s="59"/>
      <c r="F126" s="60"/>
      <c r="G126" s="60"/>
      <c r="H126" s="60"/>
      <c r="I126" s="60"/>
      <c r="J126" s="60"/>
    </row>
    <row r="127" spans="1:10" x14ac:dyDescent="0.2">
      <c r="A127" s="174"/>
      <c r="B127" s="3"/>
      <c r="C127" s="3"/>
      <c r="D127" s="59"/>
      <c r="E127" s="59"/>
      <c r="F127" s="60"/>
      <c r="G127" s="60"/>
      <c r="H127" s="60"/>
      <c r="I127" s="60"/>
      <c r="J127" s="60"/>
    </row>
    <row r="128" spans="1:10" ht="13.5" x14ac:dyDescent="0.25">
      <c r="A128" s="49" t="s">
        <v>1001</v>
      </c>
      <c r="B128" s="48"/>
      <c r="C128" s="48"/>
      <c r="D128" s="3"/>
      <c r="E128" s="3">
        <v>2590</v>
      </c>
      <c r="F128" s="60">
        <v>4500</v>
      </c>
      <c r="G128" s="60">
        <v>4500</v>
      </c>
      <c r="H128" s="60">
        <v>4500</v>
      </c>
      <c r="I128" s="60">
        <v>4500</v>
      </c>
      <c r="J128" s="60">
        <v>4500</v>
      </c>
    </row>
    <row r="129" spans="1:10" x14ac:dyDescent="0.2">
      <c r="A129" s="48" t="s">
        <v>1886</v>
      </c>
      <c r="B129" s="48"/>
      <c r="C129" s="48"/>
      <c r="D129" s="3">
        <v>4500</v>
      </c>
      <c r="E129" s="3"/>
      <c r="F129" s="60"/>
      <c r="G129" s="60"/>
      <c r="H129" s="60"/>
      <c r="I129" s="60"/>
      <c r="J129" s="60"/>
    </row>
    <row r="130" spans="1:10" x14ac:dyDescent="0.2">
      <c r="A130" s="236"/>
      <c r="B130" s="236"/>
      <c r="C130" s="236"/>
      <c r="D130" s="2"/>
      <c r="E130" s="2"/>
      <c r="F130" s="60"/>
      <c r="G130" s="60"/>
      <c r="H130" s="60"/>
      <c r="I130" s="60"/>
      <c r="J130" s="60"/>
    </row>
    <row r="131" spans="1:10" ht="13.5" x14ac:dyDescent="0.25">
      <c r="A131" s="90" t="s">
        <v>504</v>
      </c>
      <c r="B131" s="121"/>
      <c r="C131" s="121"/>
      <c r="D131" s="121"/>
      <c r="E131" s="3">
        <v>2047</v>
      </c>
      <c r="F131" s="60">
        <v>1998</v>
      </c>
      <c r="G131" s="60">
        <v>2500</v>
      </c>
      <c r="H131" s="60">
        <v>2500</v>
      </c>
      <c r="I131" s="60">
        <v>2500</v>
      </c>
      <c r="J131" s="60">
        <v>2500</v>
      </c>
    </row>
    <row r="132" spans="1:10" x14ac:dyDescent="0.2">
      <c r="A132" s="3" t="s">
        <v>1887</v>
      </c>
      <c r="B132" s="3"/>
      <c r="C132" s="3"/>
      <c r="D132" s="3">
        <v>2500</v>
      </c>
      <c r="E132" s="3"/>
      <c r="F132" s="60"/>
      <c r="G132" s="60"/>
      <c r="H132" s="60"/>
      <c r="I132" s="60"/>
      <c r="J132" s="60"/>
    </row>
    <row r="133" spans="1:10" x14ac:dyDescent="0.2">
      <c r="A133" s="3" t="s">
        <v>1888</v>
      </c>
      <c r="B133" s="3"/>
      <c r="C133" s="3"/>
      <c r="D133" s="3"/>
      <c r="E133" s="3"/>
      <c r="F133" s="60"/>
      <c r="G133" s="60"/>
      <c r="H133" s="60"/>
      <c r="I133" s="60"/>
      <c r="J133" s="60"/>
    </row>
    <row r="134" spans="1:10" x14ac:dyDescent="0.2">
      <c r="A134" s="236"/>
      <c r="B134" s="236"/>
      <c r="C134" s="236"/>
      <c r="D134" s="2"/>
      <c r="E134" s="2"/>
      <c r="F134" s="60"/>
      <c r="G134" s="60"/>
      <c r="H134" s="60"/>
      <c r="I134" s="60"/>
      <c r="J134" s="60"/>
    </row>
    <row r="135" spans="1:10" ht="13.5" x14ac:dyDescent="0.25">
      <c r="A135" s="49" t="s">
        <v>1002</v>
      </c>
      <c r="B135" s="48"/>
      <c r="C135" s="48"/>
      <c r="D135" s="48"/>
      <c r="E135" s="3">
        <v>1099</v>
      </c>
      <c r="F135" s="60">
        <v>2380</v>
      </c>
      <c r="G135" s="60">
        <v>2380</v>
      </c>
      <c r="H135" s="60">
        <v>2380</v>
      </c>
      <c r="I135" s="60">
        <v>2380</v>
      </c>
      <c r="J135" s="60">
        <v>2380</v>
      </c>
    </row>
    <row r="136" spans="1:10" x14ac:dyDescent="0.2">
      <c r="A136" s="48" t="s">
        <v>1889</v>
      </c>
      <c r="B136" s="48"/>
      <c r="C136" s="48"/>
      <c r="D136" s="3">
        <v>2380</v>
      </c>
      <c r="E136" s="3"/>
      <c r="F136" s="60"/>
      <c r="G136" s="60"/>
      <c r="H136" s="60"/>
      <c r="I136" s="60"/>
      <c r="J136" s="60"/>
    </row>
    <row r="137" spans="1:10" x14ac:dyDescent="0.2">
      <c r="A137" s="35" t="s">
        <v>1890</v>
      </c>
      <c r="B137" s="48"/>
      <c r="C137" s="48"/>
      <c r="D137" s="3"/>
      <c r="E137" s="3"/>
      <c r="F137" s="60"/>
      <c r="G137" s="60"/>
      <c r="H137" s="60"/>
      <c r="I137" s="60"/>
      <c r="J137" s="60"/>
    </row>
    <row r="138" spans="1:10" x14ac:dyDescent="0.2">
      <c r="A138" s="236"/>
      <c r="B138" s="236"/>
      <c r="C138" s="236"/>
      <c r="D138" s="2"/>
      <c r="E138" s="2"/>
      <c r="F138" s="60"/>
      <c r="G138" s="60"/>
      <c r="H138" s="60"/>
      <c r="I138" s="60"/>
      <c r="J138" s="60"/>
    </row>
    <row r="139" spans="1:10" ht="13.5" x14ac:dyDescent="0.25">
      <c r="A139" s="49" t="s">
        <v>1003</v>
      </c>
      <c r="B139" s="48"/>
      <c r="C139" s="48"/>
      <c r="D139" s="120"/>
      <c r="E139" s="3">
        <v>0</v>
      </c>
      <c r="F139" s="60">
        <v>900</v>
      </c>
      <c r="G139" s="60">
        <v>900</v>
      </c>
      <c r="H139" s="60">
        <v>900</v>
      </c>
      <c r="I139" s="60">
        <v>900</v>
      </c>
      <c r="J139" s="60">
        <v>900</v>
      </c>
    </row>
    <row r="140" spans="1:10" x14ac:dyDescent="0.2">
      <c r="A140" s="48" t="s">
        <v>1183</v>
      </c>
      <c r="B140" s="48"/>
      <c r="C140" s="48"/>
      <c r="D140" s="3">
        <v>500</v>
      </c>
      <c r="E140" s="3"/>
      <c r="F140" s="60"/>
      <c r="G140" s="60"/>
      <c r="H140" s="60"/>
      <c r="I140" s="60"/>
      <c r="J140" s="60"/>
    </row>
    <row r="141" spans="1:10" ht="15" x14ac:dyDescent="0.35">
      <c r="A141" s="48" t="s">
        <v>193</v>
      </c>
      <c r="B141" s="48"/>
      <c r="C141" s="48"/>
      <c r="D141" s="28">
        <v>400</v>
      </c>
      <c r="E141" s="3"/>
      <c r="F141" s="60"/>
      <c r="G141" s="60"/>
      <c r="H141" s="60"/>
      <c r="I141" s="60"/>
      <c r="J141" s="60"/>
    </row>
    <row r="142" spans="1:10" x14ac:dyDescent="0.2">
      <c r="A142" s="175" t="s">
        <v>1073</v>
      </c>
      <c r="B142" s="48"/>
      <c r="C142" s="48"/>
      <c r="D142" s="3">
        <f>SUM(D140:D141)</f>
        <v>900</v>
      </c>
      <c r="E142" s="3"/>
      <c r="F142" s="60"/>
      <c r="G142" s="60"/>
      <c r="H142" s="60"/>
      <c r="I142" s="60"/>
      <c r="J142" s="60"/>
    </row>
    <row r="143" spans="1:10" x14ac:dyDescent="0.2">
      <c r="A143" s="48"/>
      <c r="B143" s="48"/>
      <c r="C143" s="48"/>
      <c r="D143" s="3"/>
      <c r="E143" s="3"/>
      <c r="F143" s="60"/>
      <c r="G143" s="60"/>
      <c r="H143" s="60"/>
      <c r="I143" s="60"/>
      <c r="J143" s="60"/>
    </row>
    <row r="144" spans="1:10" ht="13.5" x14ac:dyDescent="0.25">
      <c r="A144" s="49" t="s">
        <v>1060</v>
      </c>
      <c r="B144" s="257"/>
      <c r="C144" s="257"/>
      <c r="D144" s="59" t="s">
        <v>345</v>
      </c>
      <c r="E144" s="59"/>
      <c r="F144" s="60"/>
      <c r="G144" s="60"/>
      <c r="H144" s="60"/>
      <c r="I144" s="60"/>
      <c r="J144" s="60"/>
    </row>
    <row r="145" spans="1:10" ht="15" x14ac:dyDescent="0.35">
      <c r="A145" s="35"/>
      <c r="B145" s="38"/>
      <c r="C145" s="3"/>
      <c r="D145" s="28"/>
      <c r="E145" s="58"/>
      <c r="F145" s="60"/>
      <c r="G145" s="60"/>
      <c r="H145" s="60"/>
      <c r="I145" s="60"/>
      <c r="J145" s="60"/>
    </row>
    <row r="146" spans="1:10" x14ac:dyDescent="0.2">
      <c r="A146" s="48"/>
      <c r="B146" s="48"/>
      <c r="C146" s="48"/>
      <c r="D146" s="3"/>
      <c r="E146" s="3"/>
      <c r="F146" s="60"/>
      <c r="G146" s="60"/>
      <c r="H146" s="60"/>
      <c r="I146" s="60"/>
      <c r="J146" s="60"/>
    </row>
    <row r="147" spans="1:10" ht="15" x14ac:dyDescent="0.35">
      <c r="A147" s="90" t="s">
        <v>505</v>
      </c>
      <c r="B147" s="59"/>
      <c r="C147" s="59"/>
      <c r="D147" s="59"/>
      <c r="E147" s="28">
        <v>490</v>
      </c>
      <c r="F147" s="28">
        <v>2500</v>
      </c>
      <c r="G147" s="28">
        <v>2500</v>
      </c>
      <c r="H147" s="28">
        <v>2500</v>
      </c>
      <c r="I147" s="28">
        <v>2500</v>
      </c>
      <c r="J147" s="28">
        <v>2500</v>
      </c>
    </row>
    <row r="148" spans="1:10" ht="12.75" customHeight="1" x14ac:dyDescent="0.35">
      <c r="A148" s="3" t="s">
        <v>1891</v>
      </c>
      <c r="B148" s="3"/>
      <c r="C148" s="3"/>
      <c r="D148" s="3">
        <v>2500</v>
      </c>
      <c r="E148" s="3"/>
      <c r="F148" s="3"/>
      <c r="G148" s="3"/>
      <c r="H148" s="3"/>
      <c r="I148" s="3"/>
      <c r="J148" s="28"/>
    </row>
    <row r="149" spans="1:10" ht="12.75" customHeight="1" x14ac:dyDescent="0.25">
      <c r="A149" s="46" t="s">
        <v>345</v>
      </c>
      <c r="B149" s="236"/>
      <c r="C149" s="236"/>
      <c r="D149" s="2"/>
      <c r="E149" s="2"/>
      <c r="F149" s="2"/>
      <c r="I149" s="2"/>
      <c r="J149" s="2"/>
    </row>
    <row r="150" spans="1:10" ht="12.75" customHeight="1" x14ac:dyDescent="0.2">
      <c r="A150" s="19" t="s">
        <v>1151</v>
      </c>
      <c r="B150" s="236"/>
      <c r="C150" s="236"/>
      <c r="D150" s="2"/>
      <c r="E150" s="2">
        <f t="shared" ref="E150:J150" si="2">SUM(E6:E148)</f>
        <v>430165</v>
      </c>
      <c r="F150" s="2">
        <f t="shared" si="2"/>
        <v>481621</v>
      </c>
      <c r="G150" s="2">
        <f t="shared" si="2"/>
        <v>488571</v>
      </c>
      <c r="H150" s="2">
        <f t="shared" si="2"/>
        <v>488571</v>
      </c>
      <c r="I150" s="2">
        <f t="shared" si="2"/>
        <v>494300</v>
      </c>
      <c r="J150" s="2">
        <f t="shared" si="2"/>
        <v>494300</v>
      </c>
    </row>
    <row r="151" spans="1:10" ht="12.75" customHeight="1" x14ac:dyDescent="0.2">
      <c r="A151" s="19"/>
      <c r="B151" s="236"/>
      <c r="C151" s="236"/>
      <c r="D151" s="2"/>
      <c r="E151" s="2"/>
      <c r="F151" s="2"/>
      <c r="I151" s="2"/>
      <c r="J151" s="2"/>
    </row>
    <row r="152" spans="1:10" ht="12.75" customHeight="1" x14ac:dyDescent="0.2">
      <c r="A152" s="236" t="s">
        <v>519</v>
      </c>
      <c r="B152" s="236"/>
      <c r="C152" s="236"/>
      <c r="D152" s="236"/>
      <c r="E152" s="2">
        <f>SUM(E6:E74)</f>
        <v>413356</v>
      </c>
      <c r="F152" s="2">
        <f>SUM(F6:F74)</f>
        <v>452072</v>
      </c>
      <c r="G152" s="2">
        <f>SUM(G6:G74)</f>
        <v>455114</v>
      </c>
      <c r="H152" s="2">
        <f>SUM(H6:H74)</f>
        <v>455114</v>
      </c>
      <c r="I152" s="2">
        <f>SUM(I6:I74)</f>
        <v>460843</v>
      </c>
      <c r="J152" s="2">
        <f>SUM(J6:J75)</f>
        <v>460843</v>
      </c>
    </row>
    <row r="153" spans="1:10" ht="12.75" customHeight="1" x14ac:dyDescent="0.2">
      <c r="A153" s="236" t="s">
        <v>809</v>
      </c>
      <c r="B153" s="236"/>
      <c r="C153" s="236"/>
      <c r="D153" s="236"/>
      <c r="E153" s="2">
        <f t="shared" ref="E153:F153" si="3">SUM(E76:E142)</f>
        <v>16319</v>
      </c>
      <c r="F153" s="2">
        <f t="shared" si="3"/>
        <v>27049</v>
      </c>
      <c r="G153" s="2">
        <f t="shared" ref="G153:H153" si="4">SUM(G76:G142)</f>
        <v>30957</v>
      </c>
      <c r="H153" s="2">
        <f t="shared" si="4"/>
        <v>30957</v>
      </c>
      <c r="I153" s="2">
        <f t="shared" ref="I153" si="5">SUM(I76:I142)</f>
        <v>30957</v>
      </c>
      <c r="J153" s="2">
        <f t="shared" ref="J153" si="6">SUM(J76:J142)</f>
        <v>30957</v>
      </c>
    </row>
    <row r="154" spans="1:10" ht="12.75" customHeight="1" x14ac:dyDescent="0.35">
      <c r="A154" s="236" t="s">
        <v>810</v>
      </c>
      <c r="B154" s="236"/>
      <c r="C154" s="236"/>
      <c r="D154" s="236"/>
      <c r="E154" s="10">
        <f t="shared" ref="E154:F154" si="7">+SUM(E145:E148)</f>
        <v>490</v>
      </c>
      <c r="F154" s="10">
        <f t="shared" si="7"/>
        <v>2500</v>
      </c>
      <c r="G154" s="10">
        <f t="shared" ref="G154:H154" si="8">+SUM(G145:G148)</f>
        <v>2500</v>
      </c>
      <c r="H154" s="10">
        <f t="shared" si="8"/>
        <v>2500</v>
      </c>
      <c r="I154" s="10">
        <f t="shared" ref="I154" si="9">+SUM(I145:I148)</f>
        <v>2500</v>
      </c>
      <c r="J154" s="10">
        <f t="shared" ref="J154" si="10">+SUM(J145:J148)</f>
        <v>2500</v>
      </c>
    </row>
    <row r="155" spans="1:10" ht="12.75" customHeight="1" x14ac:dyDescent="0.2">
      <c r="A155" s="236"/>
      <c r="B155" s="236"/>
      <c r="C155" s="236"/>
      <c r="D155" s="236"/>
      <c r="E155" s="2">
        <f t="shared" ref="E155:F155" si="11">SUM(E152:E154)</f>
        <v>430165</v>
      </c>
      <c r="F155" s="2">
        <f t="shared" si="11"/>
        <v>481621</v>
      </c>
      <c r="G155" s="2">
        <f t="shared" ref="G155:H155" si="12">SUM(G152:G154)</f>
        <v>488571</v>
      </c>
      <c r="H155" s="2">
        <f t="shared" si="12"/>
        <v>488571</v>
      </c>
      <c r="I155" s="2">
        <f t="shared" ref="I155" si="13">SUM(I152:I154)</f>
        <v>494300</v>
      </c>
      <c r="J155" s="2">
        <f t="shared" ref="J155" si="14">SUM(J152:J154)</f>
        <v>494300</v>
      </c>
    </row>
    <row r="156" spans="1:10" ht="12.75" customHeight="1" x14ac:dyDescent="0.2">
      <c r="A156" s="236"/>
      <c r="B156" s="236"/>
      <c r="C156" s="236"/>
      <c r="D156" s="236"/>
      <c r="E156" s="236"/>
      <c r="F156" s="236"/>
      <c r="I156" s="2"/>
      <c r="J156" s="2"/>
    </row>
    <row r="157" spans="1:10" ht="12.75" customHeight="1" x14ac:dyDescent="0.2">
      <c r="I157" s="2"/>
      <c r="J157" s="2"/>
    </row>
    <row r="158" spans="1:10" ht="12.75" customHeight="1" x14ac:dyDescent="0.2">
      <c r="I158" s="2"/>
      <c r="J158" s="2"/>
    </row>
    <row r="159" spans="1:10" ht="12.75" customHeight="1" x14ac:dyDescent="0.2">
      <c r="I159" s="2"/>
      <c r="J159" s="2"/>
    </row>
    <row r="160" spans="1:10" ht="12.75" customHeight="1" x14ac:dyDescent="0.2">
      <c r="I160" s="2"/>
      <c r="J160" s="2"/>
    </row>
    <row r="161" spans="7:10" ht="12.75" customHeight="1" x14ac:dyDescent="0.2">
      <c r="G161" s="183"/>
      <c r="H161" s="227"/>
      <c r="I161" s="231"/>
      <c r="J161" s="2"/>
    </row>
    <row r="162" spans="7:10" ht="12.75" customHeight="1" x14ac:dyDescent="0.2">
      <c r="G162" s="183"/>
      <c r="H162" s="227"/>
      <c r="I162" s="231"/>
      <c r="J162" s="2"/>
    </row>
    <row r="163" spans="7:10" ht="12.75" customHeight="1" x14ac:dyDescent="0.2">
      <c r="G163" s="183"/>
      <c r="H163" s="227"/>
      <c r="I163" s="231"/>
      <c r="J163" s="2"/>
    </row>
    <row r="164" spans="7:10" ht="12.75" customHeight="1" x14ac:dyDescent="0.2">
      <c r="G164" s="183"/>
      <c r="H164" s="227"/>
      <c r="I164" s="231"/>
      <c r="J164" s="2"/>
    </row>
    <row r="165" spans="7:10" ht="12.75" customHeight="1" x14ac:dyDescent="0.2">
      <c r="G165" s="183"/>
      <c r="H165" s="227"/>
      <c r="I165" s="231"/>
      <c r="J165" s="2"/>
    </row>
    <row r="166" spans="7:10" ht="12.75" customHeight="1" x14ac:dyDescent="0.2">
      <c r="G166" s="183"/>
      <c r="H166" s="227"/>
      <c r="I166" s="231"/>
      <c r="J166" s="2"/>
    </row>
    <row r="167" spans="7:10" ht="12.75" customHeight="1" x14ac:dyDescent="0.2">
      <c r="G167" s="183"/>
      <c r="H167" s="227"/>
      <c r="I167" s="231"/>
      <c r="J167" s="2"/>
    </row>
    <row r="168" spans="7:10" ht="12.75" customHeight="1" x14ac:dyDescent="0.2">
      <c r="G168" s="183"/>
      <c r="H168" s="227"/>
      <c r="J168" s="2"/>
    </row>
    <row r="169" spans="7:10" ht="12.75" customHeight="1" x14ac:dyDescent="0.2">
      <c r="G169" s="183"/>
      <c r="H169" s="227"/>
      <c r="J169" s="2"/>
    </row>
    <row r="170" spans="7:10" ht="12.75" customHeight="1" x14ac:dyDescent="0.2">
      <c r="G170" s="183"/>
      <c r="H170" s="227"/>
      <c r="J170" s="2"/>
    </row>
    <row r="171" spans="7:10" ht="12.75" customHeight="1" x14ac:dyDescent="0.2">
      <c r="G171" s="183"/>
      <c r="H171" s="227"/>
      <c r="J171" s="2"/>
    </row>
    <row r="172" spans="7:10" ht="12.75" customHeight="1" x14ac:dyDescent="0.2">
      <c r="G172" s="183"/>
      <c r="H172" s="227"/>
      <c r="J172" s="2"/>
    </row>
    <row r="173" spans="7:10" ht="12.75" customHeight="1" x14ac:dyDescent="0.2">
      <c r="G173" s="183"/>
      <c r="H173" s="227"/>
      <c r="J173" s="2"/>
    </row>
    <row r="174" spans="7:10" ht="12.75" customHeight="1" x14ac:dyDescent="0.2">
      <c r="G174" s="183"/>
      <c r="H174" s="227"/>
      <c r="J174" s="2"/>
    </row>
    <row r="175" spans="7:10" ht="12.75" customHeight="1" x14ac:dyDescent="0.2">
      <c r="G175" s="183"/>
      <c r="H175" s="227"/>
      <c r="J175" s="2"/>
    </row>
    <row r="176" spans="7:10" ht="12.75" customHeight="1" x14ac:dyDescent="0.2">
      <c r="G176" s="183"/>
      <c r="H176" s="227"/>
      <c r="J176" s="2"/>
    </row>
    <row r="177" spans="7:10" ht="12.75" customHeight="1" x14ac:dyDescent="0.2">
      <c r="G177" s="183"/>
      <c r="H177" s="227"/>
      <c r="J177" s="2"/>
    </row>
    <row r="178" spans="7:10" ht="12.75" customHeight="1" x14ac:dyDescent="0.2">
      <c r="G178" s="183"/>
      <c r="H178" s="227"/>
      <c r="J178" s="2"/>
    </row>
    <row r="179" spans="7:10" ht="12.75" customHeight="1" x14ac:dyDescent="0.2">
      <c r="G179" s="183"/>
      <c r="H179" s="227"/>
    </row>
    <row r="180" spans="7:10" ht="12.75" customHeight="1" x14ac:dyDescent="0.2">
      <c r="G180" s="183"/>
      <c r="H180" s="227"/>
    </row>
    <row r="181" spans="7:10" ht="12.75" customHeight="1" x14ac:dyDescent="0.2">
      <c r="G181" s="183"/>
      <c r="H181" s="227"/>
    </row>
    <row r="182" spans="7:10" ht="12.75" customHeight="1" x14ac:dyDescent="0.2">
      <c r="G182" s="183"/>
      <c r="H182" s="227"/>
    </row>
    <row r="183" spans="7:10" ht="12.75" customHeight="1" x14ac:dyDescent="0.2">
      <c r="G183" s="183"/>
      <c r="H183" s="227"/>
    </row>
    <row r="184" spans="7:10" ht="12.75" customHeight="1" x14ac:dyDescent="0.2">
      <c r="G184" s="183"/>
      <c r="H184" s="227"/>
    </row>
    <row r="185" spans="7:10" ht="12.75" customHeight="1" x14ac:dyDescent="0.2">
      <c r="G185" s="183"/>
      <c r="H185" s="227"/>
    </row>
    <row r="186" spans="7:10" ht="12.75" customHeight="1" x14ac:dyDescent="0.2">
      <c r="G186" s="183"/>
      <c r="H186" s="227"/>
    </row>
    <row r="187" spans="7:10" ht="12.75" customHeight="1" x14ac:dyDescent="0.2">
      <c r="G187" s="183"/>
      <c r="H187" s="227"/>
    </row>
    <row r="188" spans="7:10" ht="12.75" customHeight="1" x14ac:dyDescent="0.2">
      <c r="G188" s="183"/>
      <c r="H188" s="227"/>
    </row>
    <row r="189" spans="7:10" ht="12.75" customHeight="1" x14ac:dyDescent="0.2">
      <c r="G189" s="183"/>
      <c r="H189" s="227"/>
    </row>
    <row r="190" spans="7:10" ht="12.75" customHeight="1" x14ac:dyDescent="0.2">
      <c r="G190" s="183"/>
      <c r="H190" s="227"/>
    </row>
    <row r="191" spans="7:10" ht="12.75" customHeight="1" x14ac:dyDescent="0.2">
      <c r="G191" s="183"/>
      <c r="H191" s="227"/>
    </row>
    <row r="192" spans="7:10" ht="12.75" customHeight="1" x14ac:dyDescent="0.2">
      <c r="G192" s="183"/>
      <c r="H192" s="227"/>
    </row>
    <row r="193" spans="7:8" ht="12.75" customHeight="1" x14ac:dyDescent="0.2">
      <c r="G193" s="183"/>
      <c r="H193" s="227"/>
    </row>
    <row r="194" spans="7:8" ht="12.75" customHeight="1" x14ac:dyDescent="0.2">
      <c r="G194" s="183"/>
      <c r="H194" s="227"/>
    </row>
    <row r="195" spans="7:8" ht="12.75" customHeight="1" x14ac:dyDescent="0.2">
      <c r="G195" s="183"/>
      <c r="H195" s="227"/>
    </row>
    <row r="196" spans="7:8" ht="12.75" customHeight="1" x14ac:dyDescent="0.2">
      <c r="G196" s="183"/>
      <c r="H196" s="227"/>
    </row>
    <row r="197" spans="7:8" ht="12.75" customHeight="1" x14ac:dyDescent="0.2">
      <c r="G197" s="183"/>
      <c r="H197" s="227"/>
    </row>
    <row r="198" spans="7:8" ht="12.75" customHeight="1" x14ac:dyDescent="0.2">
      <c r="G198" s="183"/>
      <c r="H198" s="227"/>
    </row>
    <row r="199" spans="7:8" ht="12.75" customHeight="1" x14ac:dyDescent="0.2">
      <c r="G199" s="183"/>
      <c r="H199" s="227"/>
    </row>
    <row r="200" spans="7:8" ht="12.75" customHeight="1" x14ac:dyDescent="0.2">
      <c r="G200" s="183"/>
      <c r="H200" s="227"/>
    </row>
    <row r="201" spans="7:8" ht="12.75" customHeight="1" x14ac:dyDescent="0.2">
      <c r="G201" s="183"/>
      <c r="H201" s="227"/>
    </row>
    <row r="202" spans="7:8" ht="12.75" customHeight="1" x14ac:dyDescent="0.2">
      <c r="G202" s="183"/>
      <c r="H202" s="227"/>
    </row>
    <row r="203" spans="7:8" ht="12.75" customHeight="1" x14ac:dyDescent="0.2">
      <c r="G203" s="183"/>
      <c r="H203" s="227"/>
    </row>
    <row r="204" spans="7:8" ht="12.75" customHeight="1" x14ac:dyDescent="0.2">
      <c r="G204" s="183"/>
      <c r="H204" s="227"/>
    </row>
    <row r="205" spans="7:8" ht="12.75" customHeight="1" x14ac:dyDescent="0.2">
      <c r="G205" s="183"/>
      <c r="H205" s="227"/>
    </row>
    <row r="206" spans="7:8" ht="12.75" customHeight="1" x14ac:dyDescent="0.2">
      <c r="G206" s="183"/>
      <c r="H206" s="227"/>
    </row>
    <row r="207" spans="7:8" ht="12.75" customHeight="1" x14ac:dyDescent="0.2">
      <c r="G207" s="183"/>
      <c r="H207" s="227"/>
    </row>
    <row r="208" spans="7:8" ht="12.75" customHeight="1" x14ac:dyDescent="0.2">
      <c r="G208" s="183"/>
      <c r="H208" s="227"/>
    </row>
    <row r="209" spans="7:8" ht="12.75" customHeight="1" x14ac:dyDescent="0.2">
      <c r="G209" s="183"/>
      <c r="H209" s="227"/>
    </row>
    <row r="210" spans="7:8" ht="12.75" customHeight="1" x14ac:dyDescent="0.2">
      <c r="G210" s="183"/>
      <c r="H210" s="183"/>
    </row>
    <row r="211" spans="7:8" ht="12.75" customHeight="1" x14ac:dyDescent="0.2">
      <c r="G211" s="183"/>
      <c r="H211" s="183"/>
    </row>
    <row r="212" spans="7:8" ht="12.75" customHeight="1" x14ac:dyDescent="0.2">
      <c r="G212" s="183"/>
      <c r="H212" s="183"/>
    </row>
    <row r="213" spans="7:8" ht="12.75" customHeight="1" x14ac:dyDescent="0.2">
      <c r="G213" s="183"/>
      <c r="H213" s="183"/>
    </row>
    <row r="214" spans="7:8" ht="12.75" customHeight="1" x14ac:dyDescent="0.2">
      <c r="G214" s="183"/>
      <c r="H214" s="183"/>
    </row>
    <row r="215" spans="7:8" ht="12.75" customHeight="1" x14ac:dyDescent="0.2">
      <c r="G215" s="183"/>
      <c r="H215" s="183"/>
    </row>
    <row r="216" spans="7:8" ht="12.75" customHeight="1" x14ac:dyDescent="0.2">
      <c r="G216" s="183"/>
      <c r="H216" s="183"/>
    </row>
    <row r="217" spans="7:8" ht="12.75" customHeight="1" x14ac:dyDescent="0.2">
      <c r="G217" s="183"/>
      <c r="H217" s="183"/>
    </row>
    <row r="218" spans="7:8" ht="12.75" customHeight="1" x14ac:dyDescent="0.2">
      <c r="G218" s="183"/>
      <c r="H218" s="183"/>
    </row>
    <row r="219" spans="7:8" ht="12.75" customHeight="1" x14ac:dyDescent="0.2">
      <c r="G219" s="183"/>
      <c r="H219" s="183"/>
    </row>
    <row r="220" spans="7:8" ht="12.75" customHeight="1" x14ac:dyDescent="0.2">
      <c r="G220" s="183"/>
      <c r="H220" s="183"/>
    </row>
    <row r="221" spans="7:8" ht="12.75" customHeight="1" x14ac:dyDescent="0.2">
      <c r="G221" s="183"/>
      <c r="H221" s="183"/>
    </row>
    <row r="222" spans="7:8" ht="12.75" customHeight="1" x14ac:dyDescent="0.2">
      <c r="G222" s="183"/>
      <c r="H222" s="183"/>
    </row>
    <row r="223" spans="7:8" ht="12.75" customHeight="1" x14ac:dyDescent="0.2">
      <c r="G223" s="183"/>
      <c r="H223" s="183"/>
    </row>
    <row r="224" spans="7:8" ht="12.75" customHeight="1" x14ac:dyDescent="0.2">
      <c r="G224" s="183"/>
      <c r="H224" s="183"/>
    </row>
    <row r="225" spans="7:8" ht="12.75" customHeight="1" x14ac:dyDescent="0.2">
      <c r="G225" s="183"/>
      <c r="H225" s="183"/>
    </row>
    <row r="226" spans="7:8" ht="12.75" customHeight="1" x14ac:dyDescent="0.2">
      <c r="G226" s="183"/>
      <c r="H226" s="183"/>
    </row>
    <row r="227" spans="7:8" ht="12.75" customHeight="1" x14ac:dyDescent="0.2">
      <c r="G227" s="183"/>
      <c r="H227" s="183"/>
    </row>
    <row r="228" spans="7:8" ht="12.75" customHeight="1" x14ac:dyDescent="0.2">
      <c r="G228" s="183"/>
      <c r="H228" s="183"/>
    </row>
    <row r="229" spans="7:8" ht="12.75" customHeight="1" x14ac:dyDescent="0.2">
      <c r="G229" s="183"/>
      <c r="H229" s="183"/>
    </row>
    <row r="230" spans="7:8" ht="12.75" customHeight="1" x14ac:dyDescent="0.2">
      <c r="G230" s="183"/>
      <c r="H230" s="183"/>
    </row>
    <row r="231" spans="7:8" ht="12.75" customHeight="1" x14ac:dyDescent="0.2">
      <c r="G231" s="183"/>
      <c r="H231" s="183"/>
    </row>
    <row r="232" spans="7:8" ht="12.75" customHeight="1" x14ac:dyDescent="0.2">
      <c r="G232" s="183"/>
      <c r="H232" s="183"/>
    </row>
    <row r="233" spans="7:8" ht="12.75" customHeight="1" x14ac:dyDescent="0.2">
      <c r="G233" s="183"/>
      <c r="H233" s="183"/>
    </row>
    <row r="234" spans="7:8" ht="12.75" customHeight="1" x14ac:dyDescent="0.2">
      <c r="G234" s="183"/>
      <c r="H234" s="183"/>
    </row>
  </sheetData>
  <mergeCells count="2">
    <mergeCell ref="A1:J1"/>
    <mergeCell ref="B144:C144"/>
  </mergeCells>
  <phoneticPr fontId="7" type="noConversion"/>
  <printOptions gridLines="1"/>
  <pageMargins left="0.75" right="0.16" top="0.51" bottom="0.22" header="0.5" footer="0.5"/>
  <pageSetup scale="86" fitToHeight="4" orientation="landscape" r:id="rId1"/>
  <headerFooter alignWithMargins="0"/>
  <rowBreaks count="2" manualBreakCount="2">
    <brk id="75" max="9" man="1"/>
    <brk id="119"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68"/>
  <sheetViews>
    <sheetView view="pageBreakPreview" zoomScaleNormal="100" zoomScaleSheetLayoutView="100" workbookViewId="0">
      <pane ySplit="5" topLeftCell="A6" activePane="bottomLeft" state="frozen"/>
      <selection activeCell="D43" sqref="D43"/>
      <selection pane="bottomLeft" activeCell="B116" sqref="B116"/>
    </sheetView>
  </sheetViews>
  <sheetFormatPr defaultColWidth="8.85546875" defaultRowHeight="12.75" x14ac:dyDescent="0.2"/>
  <cols>
    <col min="1" max="1" width="44.42578125" style="183" customWidth="1"/>
    <col min="2" max="2" width="8.7109375" style="183" bestFit="1" customWidth="1"/>
    <col min="3" max="3" width="9.7109375" style="183" bestFit="1" customWidth="1"/>
    <col min="4" max="4" width="11" style="183" bestFit="1" customWidth="1"/>
    <col min="5" max="5" width="13.7109375" style="183" customWidth="1"/>
    <col min="6" max="6" width="10.28515625" style="183" bestFit="1" customWidth="1"/>
    <col min="7" max="7" width="14.42578125" style="183" bestFit="1" customWidth="1"/>
    <col min="8" max="8" width="14" style="183" bestFit="1" customWidth="1"/>
    <col min="9" max="10" width="9.5703125" style="183" customWidth="1"/>
    <col min="11" max="11" width="0" style="183" hidden="1" customWidth="1"/>
    <col min="12" max="16384" width="8.85546875" style="183"/>
  </cols>
  <sheetData>
    <row r="1" spans="1:10" x14ac:dyDescent="0.2">
      <c r="A1" s="254" t="e">
        <f>#REF!</f>
        <v>#REF!</v>
      </c>
      <c r="B1" s="255"/>
      <c r="C1" s="255"/>
      <c r="D1" s="255"/>
      <c r="E1" s="255"/>
      <c r="F1" s="255"/>
      <c r="G1" s="255"/>
      <c r="H1" s="255"/>
      <c r="I1" s="255"/>
      <c r="J1" s="255"/>
    </row>
    <row r="2" spans="1:10" ht="18.75" x14ac:dyDescent="0.3">
      <c r="A2" s="91" t="s">
        <v>1576</v>
      </c>
      <c r="B2" s="91"/>
      <c r="C2" s="91"/>
      <c r="D2" s="91"/>
      <c r="E2" s="91"/>
      <c r="F2" s="91"/>
    </row>
    <row r="3" spans="1:10" x14ac:dyDescent="0.2">
      <c r="B3" s="2"/>
      <c r="C3" s="2"/>
      <c r="D3" s="2"/>
      <c r="E3" s="2"/>
      <c r="F3" s="2"/>
    </row>
    <row r="4" spans="1:10" x14ac:dyDescent="0.2">
      <c r="B4" s="2"/>
      <c r="C4" s="2"/>
      <c r="D4" s="2"/>
      <c r="E4" s="15" t="s">
        <v>204</v>
      </c>
      <c r="F4" s="15" t="s">
        <v>205</v>
      </c>
      <c r="G4" s="15" t="s">
        <v>61</v>
      </c>
      <c r="H4" s="15" t="s">
        <v>358</v>
      </c>
      <c r="I4" s="15" t="s">
        <v>270</v>
      </c>
      <c r="J4" s="15" t="s">
        <v>301</v>
      </c>
    </row>
    <row r="5" spans="1:10" ht="15" x14ac:dyDescent="0.35">
      <c r="B5" s="2"/>
      <c r="C5" s="2"/>
      <c r="D5" s="2"/>
      <c r="E5" s="196" t="s">
        <v>1757</v>
      </c>
      <c r="F5" s="196" t="s">
        <v>1838</v>
      </c>
      <c r="G5" s="196" t="s">
        <v>1977</v>
      </c>
      <c r="H5" s="196" t="s">
        <v>1977</v>
      </c>
      <c r="I5" s="196" t="s">
        <v>1977</v>
      </c>
      <c r="J5" s="196" t="s">
        <v>1977</v>
      </c>
    </row>
    <row r="6" spans="1:10" ht="13.5" x14ac:dyDescent="0.25">
      <c r="A6" s="216" t="s">
        <v>2</v>
      </c>
      <c r="B6" s="2"/>
      <c r="C6" s="2"/>
      <c r="D6" s="2"/>
      <c r="E6" s="2">
        <v>53630</v>
      </c>
      <c r="F6" s="2">
        <v>56922</v>
      </c>
      <c r="G6" s="2">
        <v>55848</v>
      </c>
      <c r="H6" s="2">
        <v>55848</v>
      </c>
      <c r="I6" s="2">
        <v>57252</v>
      </c>
      <c r="J6" s="2">
        <v>57252</v>
      </c>
    </row>
    <row r="7" spans="1:10" ht="15" x14ac:dyDescent="0.35">
      <c r="A7" s="215" t="s">
        <v>391</v>
      </c>
      <c r="B7" s="2">
        <v>52</v>
      </c>
      <c r="C7" s="2">
        <v>1101</v>
      </c>
      <c r="D7" s="10">
        <f>ROUND(B7*C7,0)</f>
        <v>57252</v>
      </c>
      <c r="E7" s="2"/>
      <c r="F7" s="2"/>
      <c r="G7" s="2"/>
      <c r="H7" s="2"/>
      <c r="I7" s="2"/>
      <c r="J7" s="2"/>
    </row>
    <row r="8" spans="1:10" x14ac:dyDescent="0.2">
      <c r="A8" s="215" t="s">
        <v>1073</v>
      </c>
      <c r="B8" s="2"/>
      <c r="C8" s="2"/>
      <c r="D8" s="2">
        <f>SUM(D7:D7)</f>
        <v>57252</v>
      </c>
      <c r="E8" s="2"/>
      <c r="F8" s="2"/>
      <c r="G8" s="2"/>
      <c r="H8" s="2"/>
      <c r="I8" s="2"/>
      <c r="J8" s="2"/>
    </row>
    <row r="9" spans="1:10" x14ac:dyDescent="0.2">
      <c r="A9" s="215"/>
      <c r="B9" s="2"/>
      <c r="C9" s="2"/>
      <c r="D9" s="2"/>
      <c r="E9" s="2"/>
      <c r="F9" s="2"/>
      <c r="G9" s="2"/>
      <c r="H9" s="2"/>
      <c r="I9" s="2"/>
      <c r="J9" s="2"/>
    </row>
    <row r="10" spans="1:10" ht="13.5" x14ac:dyDescent="0.25">
      <c r="A10" s="216" t="s">
        <v>210</v>
      </c>
      <c r="B10" s="2"/>
      <c r="C10" s="2"/>
      <c r="D10" s="2"/>
      <c r="E10" s="2">
        <v>205227</v>
      </c>
      <c r="F10" s="2">
        <v>215568</v>
      </c>
      <c r="G10" s="2">
        <v>211664</v>
      </c>
      <c r="H10" s="2">
        <v>211664</v>
      </c>
      <c r="I10" s="2">
        <v>216916</v>
      </c>
      <c r="J10" s="2">
        <v>216916</v>
      </c>
    </row>
    <row r="11" spans="1:10" x14ac:dyDescent="0.2">
      <c r="A11" s="215" t="s">
        <v>211</v>
      </c>
      <c r="B11" s="2">
        <v>52</v>
      </c>
      <c r="C11" s="2">
        <v>2261</v>
      </c>
      <c r="D11" s="2">
        <f>ROUND(B11*C11,0)</f>
        <v>117572</v>
      </c>
      <c r="E11" s="2"/>
      <c r="F11" s="2"/>
      <c r="G11" s="2"/>
      <c r="H11" s="2"/>
      <c r="I11" s="2"/>
      <c r="J11" s="2"/>
    </row>
    <row r="12" spans="1:10" x14ac:dyDescent="0.2">
      <c r="A12" s="215" t="s">
        <v>1342</v>
      </c>
      <c r="B12" s="2">
        <v>52</v>
      </c>
      <c r="C12" s="2">
        <v>1868</v>
      </c>
      <c r="D12" s="2">
        <f>ROUND(B12*C12,0)</f>
        <v>97136</v>
      </c>
      <c r="E12" s="2"/>
      <c r="F12" s="2"/>
      <c r="G12" s="2"/>
      <c r="H12" s="2"/>
      <c r="I12" s="2"/>
      <c r="J12" s="2"/>
    </row>
    <row r="13" spans="1:10" ht="15" x14ac:dyDescent="0.35">
      <c r="A13" s="215" t="s">
        <v>824</v>
      </c>
      <c r="B13" s="2" t="s">
        <v>345</v>
      </c>
      <c r="C13" s="2" t="s">
        <v>345</v>
      </c>
      <c r="D13" s="10">
        <v>2208</v>
      </c>
      <c r="E13" s="2"/>
      <c r="F13" s="2"/>
      <c r="G13" s="2"/>
      <c r="H13" s="2"/>
      <c r="I13" s="2"/>
      <c r="J13" s="2"/>
    </row>
    <row r="14" spans="1:10" x14ac:dyDescent="0.2">
      <c r="A14" s="215" t="s">
        <v>1073</v>
      </c>
      <c r="B14" s="2"/>
      <c r="C14" s="2"/>
      <c r="D14" s="2">
        <f>SUM(D11:D13)</f>
        <v>216916</v>
      </c>
      <c r="E14" s="2"/>
      <c r="F14" s="2"/>
      <c r="G14" s="2"/>
      <c r="H14" s="2"/>
      <c r="I14" s="2"/>
      <c r="J14" s="2"/>
    </row>
    <row r="15" spans="1:10" x14ac:dyDescent="0.2">
      <c r="A15" s="215"/>
      <c r="B15" s="2"/>
      <c r="C15" s="2"/>
      <c r="D15" s="2"/>
      <c r="E15" s="2"/>
      <c r="F15" s="2"/>
      <c r="G15" s="2"/>
      <c r="H15" s="2"/>
      <c r="I15" s="2"/>
      <c r="J15" s="2"/>
    </row>
    <row r="16" spans="1:10" ht="13.5" x14ac:dyDescent="0.25">
      <c r="A16" s="216" t="s">
        <v>1807</v>
      </c>
      <c r="B16" s="2"/>
      <c r="C16" s="2"/>
      <c r="D16" s="2"/>
      <c r="E16" s="2">
        <v>26367</v>
      </c>
      <c r="F16" s="2">
        <v>67840</v>
      </c>
      <c r="G16" s="2">
        <v>69368</v>
      </c>
      <c r="H16" s="2">
        <v>69368</v>
      </c>
      <c r="I16" s="2">
        <v>71084</v>
      </c>
      <c r="J16" s="2">
        <v>71084</v>
      </c>
    </row>
    <row r="17" spans="1:10" x14ac:dyDescent="0.2">
      <c r="A17" s="215" t="s">
        <v>1840</v>
      </c>
      <c r="B17" s="2">
        <v>52</v>
      </c>
      <c r="C17" s="2">
        <v>1367</v>
      </c>
      <c r="D17" s="2">
        <f>ROUND(B17*C17,0)</f>
        <v>71084</v>
      </c>
      <c r="E17" s="2"/>
      <c r="F17" s="2"/>
      <c r="G17" s="2"/>
      <c r="H17" s="2"/>
      <c r="I17" s="2"/>
      <c r="J17" s="2"/>
    </row>
    <row r="18" spans="1:10" ht="15" x14ac:dyDescent="0.35">
      <c r="A18" s="215" t="s">
        <v>824</v>
      </c>
      <c r="B18" s="2" t="s">
        <v>345</v>
      </c>
      <c r="C18" s="2" t="s">
        <v>345</v>
      </c>
      <c r="D18" s="10">
        <v>0</v>
      </c>
      <c r="E18" s="2"/>
      <c r="F18" s="2"/>
      <c r="G18" s="2"/>
      <c r="H18" s="2"/>
      <c r="I18" s="2"/>
      <c r="J18" s="2"/>
    </row>
    <row r="19" spans="1:10" x14ac:dyDescent="0.2">
      <c r="A19" s="215" t="s">
        <v>1073</v>
      </c>
      <c r="B19" s="2"/>
      <c r="C19" s="2"/>
      <c r="D19" s="2">
        <f>SUM(D17:D18)</f>
        <v>71084</v>
      </c>
      <c r="E19" s="2"/>
      <c r="F19" s="2"/>
      <c r="G19" s="2"/>
      <c r="H19" s="2"/>
      <c r="I19" s="2"/>
      <c r="J19" s="2"/>
    </row>
    <row r="20" spans="1:10" x14ac:dyDescent="0.2">
      <c r="A20" s="215"/>
      <c r="B20" s="2"/>
      <c r="C20" s="2"/>
      <c r="D20" s="2"/>
      <c r="E20" s="2"/>
      <c r="F20" s="2"/>
      <c r="G20" s="2"/>
      <c r="H20" s="2"/>
      <c r="I20" s="2"/>
      <c r="J20" s="2"/>
    </row>
    <row r="21" spans="1:10" ht="13.5" x14ac:dyDescent="0.25">
      <c r="A21" s="216" t="s">
        <v>682</v>
      </c>
      <c r="B21" s="215"/>
      <c r="C21" s="215"/>
      <c r="D21" s="2"/>
      <c r="E21" s="2">
        <v>29596</v>
      </c>
      <c r="F21" s="2">
        <v>18480</v>
      </c>
      <c r="G21" s="2">
        <v>18480</v>
      </c>
      <c r="H21" s="2">
        <v>18480</v>
      </c>
      <c r="I21" s="2">
        <v>18480</v>
      </c>
      <c r="J21" s="2">
        <v>18480</v>
      </c>
    </row>
    <row r="22" spans="1:10" x14ac:dyDescent="0.2">
      <c r="A22" s="215" t="s">
        <v>1642</v>
      </c>
      <c r="B22" s="2">
        <v>1320</v>
      </c>
      <c r="C22" s="11">
        <v>14</v>
      </c>
      <c r="D22" s="2">
        <f>ROUND(B22*C22,0)</f>
        <v>18480</v>
      </c>
      <c r="E22" s="2"/>
      <c r="F22" s="2"/>
      <c r="G22" s="2"/>
      <c r="H22" s="2"/>
      <c r="I22" s="2"/>
      <c r="J22" s="2"/>
    </row>
    <row r="23" spans="1:10" ht="15" x14ac:dyDescent="0.35">
      <c r="A23" s="215" t="s">
        <v>1435</v>
      </c>
      <c r="B23" s="2">
        <v>0</v>
      </c>
      <c r="C23" s="11">
        <v>10</v>
      </c>
      <c r="D23" s="10">
        <f>+C23*B23</f>
        <v>0</v>
      </c>
      <c r="E23" s="2"/>
      <c r="F23" s="2"/>
      <c r="G23" s="2"/>
      <c r="H23" s="2"/>
      <c r="I23" s="2"/>
      <c r="J23" s="2"/>
    </row>
    <row r="24" spans="1:10" x14ac:dyDescent="0.2">
      <c r="A24" s="215"/>
      <c r="B24" s="2"/>
      <c r="C24" s="13"/>
      <c r="D24" s="2">
        <f>SUM(D22:D23)</f>
        <v>18480</v>
      </c>
      <c r="E24" s="2"/>
      <c r="F24" s="2"/>
      <c r="G24" s="2"/>
      <c r="H24" s="2"/>
      <c r="I24" s="2"/>
      <c r="J24" s="2"/>
    </row>
    <row r="25" spans="1:10" x14ac:dyDescent="0.2">
      <c r="A25" s="215"/>
      <c r="B25" s="2"/>
      <c r="C25" s="13"/>
      <c r="D25" s="2"/>
      <c r="E25" s="2"/>
      <c r="F25" s="2"/>
      <c r="G25" s="2"/>
      <c r="H25" s="2"/>
      <c r="I25" s="2"/>
      <c r="J25" s="2"/>
    </row>
    <row r="26" spans="1:10" x14ac:dyDescent="0.2">
      <c r="A26" s="215"/>
      <c r="B26" s="2"/>
      <c r="C26" s="13"/>
      <c r="D26" s="2"/>
      <c r="E26" s="2"/>
      <c r="F26" s="2"/>
      <c r="G26" s="2"/>
      <c r="H26" s="2"/>
      <c r="I26" s="2"/>
      <c r="J26" s="2"/>
    </row>
    <row r="27" spans="1:10" ht="13.5" x14ac:dyDescent="0.25">
      <c r="A27" s="43" t="s">
        <v>1600</v>
      </c>
      <c r="B27" s="2"/>
      <c r="C27" s="13"/>
      <c r="D27" s="2"/>
      <c r="E27" s="2">
        <v>816</v>
      </c>
      <c r="F27" s="2">
        <v>720</v>
      </c>
      <c r="G27" s="2">
        <v>750</v>
      </c>
      <c r="H27" s="2">
        <v>750</v>
      </c>
      <c r="I27" s="2">
        <v>769</v>
      </c>
      <c r="J27" s="2">
        <v>769</v>
      </c>
    </row>
    <row r="28" spans="1:10" x14ac:dyDescent="0.2">
      <c r="A28" s="42" t="s">
        <v>1947</v>
      </c>
      <c r="B28" s="2">
        <v>15</v>
      </c>
      <c r="C28" s="179">
        <f>+C17/40*1.5</f>
        <v>51.262499999999996</v>
      </c>
      <c r="D28" s="2">
        <f>C28*B28</f>
        <v>768.93749999999989</v>
      </c>
      <c r="E28" s="2"/>
      <c r="F28" s="2"/>
      <c r="G28" s="2"/>
      <c r="H28" s="2"/>
      <c r="I28" s="2"/>
      <c r="J28" s="2"/>
    </row>
    <row r="29" spans="1:10" x14ac:dyDescent="0.2">
      <c r="A29" s="215"/>
      <c r="B29" s="2"/>
      <c r="C29" s="13"/>
      <c r="D29" s="2"/>
      <c r="E29" s="2"/>
      <c r="F29" s="2"/>
      <c r="G29" s="2"/>
      <c r="H29" s="2"/>
      <c r="I29" s="2"/>
      <c r="J29" s="2"/>
    </row>
    <row r="30" spans="1:10" ht="13.5" x14ac:dyDescent="0.25">
      <c r="A30" s="216" t="s">
        <v>172</v>
      </c>
      <c r="B30" s="215"/>
      <c r="C30" s="215"/>
      <c r="D30" s="2"/>
      <c r="E30" s="2">
        <v>24286</v>
      </c>
      <c r="F30" s="2">
        <v>27422</v>
      </c>
      <c r="G30" s="2">
        <v>27242</v>
      </c>
      <c r="H30" s="2">
        <v>27242</v>
      </c>
      <c r="I30" s="2">
        <v>27885</v>
      </c>
      <c r="J30" s="2">
        <v>27885</v>
      </c>
    </row>
    <row r="31" spans="1:10" hidden="1" x14ac:dyDescent="0.2">
      <c r="A31" s="12" t="s">
        <v>762</v>
      </c>
      <c r="B31" s="2">
        <f>+D7</f>
        <v>57252</v>
      </c>
      <c r="C31" s="13">
        <v>7.6499999999999999E-2</v>
      </c>
      <c r="D31" s="2">
        <f>ROUND(B31*C31,0)</f>
        <v>4380</v>
      </c>
      <c r="E31" s="2"/>
      <c r="F31" s="2"/>
      <c r="G31" s="2"/>
      <c r="H31" s="2"/>
      <c r="I31" s="2"/>
      <c r="J31" s="2"/>
    </row>
    <row r="32" spans="1:10" hidden="1" x14ac:dyDescent="0.2">
      <c r="A32" s="12" t="s">
        <v>1271</v>
      </c>
      <c r="B32" s="2">
        <f>+D14</f>
        <v>216916</v>
      </c>
      <c r="C32" s="13">
        <v>7.6499999999999999E-2</v>
      </c>
      <c r="D32" s="2">
        <f>ROUND(B32*C32,0)</f>
        <v>16594</v>
      </c>
      <c r="E32" s="2"/>
      <c r="F32" s="2"/>
      <c r="G32" s="2"/>
      <c r="H32" s="2"/>
      <c r="I32" s="2"/>
      <c r="J32" s="2"/>
    </row>
    <row r="33" spans="1:10" hidden="1" x14ac:dyDescent="0.2">
      <c r="A33" s="30">
        <v>8104</v>
      </c>
      <c r="B33" s="2">
        <f>+D19</f>
        <v>71084</v>
      </c>
      <c r="C33" s="13">
        <v>7.6499999999999999E-2</v>
      </c>
      <c r="D33" s="2">
        <f>ROUND(B33*C33,0)</f>
        <v>5438</v>
      </c>
      <c r="E33" s="2"/>
      <c r="F33" s="2"/>
      <c r="G33" s="2"/>
      <c r="H33" s="2"/>
      <c r="I33" s="2"/>
      <c r="J33" s="2"/>
    </row>
    <row r="34" spans="1:10" hidden="1" x14ac:dyDescent="0.2">
      <c r="A34" s="12" t="s">
        <v>155</v>
      </c>
      <c r="B34" s="2">
        <f>+D24</f>
        <v>18480</v>
      </c>
      <c r="C34" s="13">
        <v>7.6499999999999999E-2</v>
      </c>
      <c r="D34" s="2">
        <f>ROUND(B34*C34,0)</f>
        <v>1414</v>
      </c>
      <c r="E34" s="2"/>
      <c r="F34" s="2"/>
      <c r="G34" s="2"/>
      <c r="H34" s="2"/>
      <c r="I34" s="2"/>
      <c r="J34" s="2"/>
    </row>
    <row r="35" spans="1:10" ht="15" hidden="1" x14ac:dyDescent="0.35">
      <c r="A35" s="12" t="s">
        <v>156</v>
      </c>
      <c r="B35" s="2">
        <f>+D28</f>
        <v>768.93749999999989</v>
      </c>
      <c r="C35" s="13">
        <v>7.6499999999999999E-2</v>
      </c>
      <c r="D35" s="10">
        <f>ROUND(B35*C35,0)</f>
        <v>59</v>
      </c>
      <c r="E35" s="2"/>
      <c r="F35" s="2"/>
      <c r="G35" s="2"/>
      <c r="H35" s="2"/>
      <c r="I35" s="2"/>
      <c r="J35" s="2"/>
    </row>
    <row r="36" spans="1:10" hidden="1" x14ac:dyDescent="0.2">
      <c r="A36" s="215" t="s">
        <v>1073</v>
      </c>
      <c r="B36" s="215"/>
      <c r="C36" s="215"/>
      <c r="D36" s="2">
        <f>SUM(D31:D35)</f>
        <v>27885</v>
      </c>
      <c r="E36" s="2"/>
      <c r="F36" s="2"/>
      <c r="G36" s="2"/>
      <c r="H36" s="2"/>
      <c r="I36" s="2"/>
      <c r="J36" s="2"/>
    </row>
    <row r="37" spans="1:10" x14ac:dyDescent="0.2">
      <c r="A37" s="215"/>
      <c r="B37" s="215"/>
      <c r="C37" s="215"/>
      <c r="D37" s="2"/>
      <c r="E37" s="2"/>
      <c r="F37" s="2"/>
      <c r="G37" s="2"/>
      <c r="H37" s="2"/>
      <c r="I37" s="2"/>
      <c r="J37" s="2"/>
    </row>
    <row r="38" spans="1:10" ht="13.5" x14ac:dyDescent="0.25">
      <c r="A38" s="14" t="s">
        <v>173</v>
      </c>
      <c r="B38" s="215"/>
      <c r="C38" s="215"/>
      <c r="D38" s="2"/>
      <c r="E38" s="2">
        <v>32285</v>
      </c>
      <c r="F38" s="2">
        <v>47800</v>
      </c>
      <c r="G38" s="2">
        <v>47471</v>
      </c>
      <c r="H38" s="2">
        <v>47471</v>
      </c>
      <c r="I38" s="2">
        <v>48650</v>
      </c>
      <c r="J38" s="2">
        <v>48650</v>
      </c>
    </row>
    <row r="39" spans="1:10" hidden="1" x14ac:dyDescent="0.2">
      <c r="A39" s="12" t="s">
        <v>762</v>
      </c>
      <c r="B39" s="2">
        <f>+B31</f>
        <v>57252</v>
      </c>
      <c r="C39" s="190">
        <v>0.1406</v>
      </c>
      <c r="D39" s="2">
        <f>ROUND(B39*C39,0)</f>
        <v>8050</v>
      </c>
      <c r="E39" s="2"/>
      <c r="F39" s="2"/>
      <c r="G39" s="2"/>
      <c r="H39" s="2"/>
      <c r="I39" s="2"/>
      <c r="J39" s="2"/>
    </row>
    <row r="40" spans="1:10" hidden="1" x14ac:dyDescent="0.2">
      <c r="A40" s="12" t="s">
        <v>1271</v>
      </c>
      <c r="B40" s="2">
        <f>+D14</f>
        <v>216916</v>
      </c>
      <c r="C40" s="190">
        <v>0.1406</v>
      </c>
      <c r="D40" s="2">
        <f>ROUND(B40*C40,0)</f>
        <v>30498</v>
      </c>
      <c r="E40" s="2"/>
      <c r="F40" s="2"/>
      <c r="G40" s="2"/>
      <c r="H40" s="2"/>
      <c r="I40" s="2"/>
      <c r="J40" s="2"/>
    </row>
    <row r="41" spans="1:10" hidden="1" x14ac:dyDescent="0.2">
      <c r="A41" s="30">
        <v>8104</v>
      </c>
      <c r="B41" s="2">
        <f>++B33</f>
        <v>71084</v>
      </c>
      <c r="C41" s="190">
        <v>0.1406</v>
      </c>
      <c r="D41" s="2">
        <f>ROUND(B41*C41,0)</f>
        <v>9994</v>
      </c>
      <c r="E41" s="2"/>
      <c r="F41" s="2"/>
      <c r="G41" s="2"/>
      <c r="H41" s="2"/>
      <c r="I41" s="2"/>
      <c r="J41" s="2"/>
    </row>
    <row r="42" spans="1:10" ht="15" hidden="1" x14ac:dyDescent="0.35">
      <c r="A42" s="30">
        <v>8111</v>
      </c>
      <c r="B42" s="2">
        <f>+B35</f>
        <v>768.93749999999989</v>
      </c>
      <c r="C42" s="190">
        <v>0.1406</v>
      </c>
      <c r="D42" s="10">
        <f>ROUND(B42*C42,0)</f>
        <v>108</v>
      </c>
      <c r="E42" s="2"/>
      <c r="F42" s="2"/>
      <c r="G42" s="2"/>
      <c r="H42" s="2"/>
      <c r="I42" s="2"/>
      <c r="J42" s="2"/>
    </row>
    <row r="43" spans="1:10" hidden="1" x14ac:dyDescent="0.2">
      <c r="A43" s="215" t="s">
        <v>1073</v>
      </c>
      <c r="B43" s="215" t="s">
        <v>345</v>
      </c>
      <c r="C43" s="2" t="s">
        <v>345</v>
      </c>
      <c r="D43" s="2">
        <f>SUM(D39:D42)</f>
        <v>48650</v>
      </c>
      <c r="E43" s="2"/>
      <c r="F43" s="2"/>
      <c r="G43" s="2"/>
      <c r="H43" s="2"/>
      <c r="I43" s="2"/>
      <c r="J43" s="2"/>
    </row>
    <row r="44" spans="1:10" x14ac:dyDescent="0.2">
      <c r="A44" s="215"/>
      <c r="B44" s="215"/>
      <c r="C44" s="215"/>
      <c r="D44" s="2"/>
      <c r="E44" s="2"/>
      <c r="F44" s="2"/>
      <c r="G44" s="2"/>
      <c r="H44" s="2"/>
      <c r="I44" s="2"/>
      <c r="J44" s="2"/>
    </row>
    <row r="45" spans="1:10" ht="13.5" x14ac:dyDescent="0.25">
      <c r="A45" s="216" t="s">
        <v>564</v>
      </c>
      <c r="B45" s="215"/>
      <c r="C45" s="215"/>
      <c r="D45" s="2"/>
      <c r="E45" s="2">
        <v>63350</v>
      </c>
      <c r="F45" s="2">
        <v>79000</v>
      </c>
      <c r="G45" s="2">
        <v>78000</v>
      </c>
      <c r="H45" s="2">
        <v>78000</v>
      </c>
      <c r="I45" s="2">
        <v>76000</v>
      </c>
      <c r="J45" s="2">
        <v>76000</v>
      </c>
    </row>
    <row r="46" spans="1:10" hidden="1" x14ac:dyDescent="0.2">
      <c r="A46" s="215" t="s">
        <v>365</v>
      </c>
      <c r="B46" s="2">
        <v>4</v>
      </c>
      <c r="C46" s="2">
        <v>19000</v>
      </c>
      <c r="D46" s="2">
        <f>ROUND(B46*C46,0)</f>
        <v>76000</v>
      </c>
      <c r="E46" s="2"/>
      <c r="F46" s="2"/>
      <c r="G46" s="2"/>
      <c r="H46" s="2"/>
      <c r="I46" s="2"/>
      <c r="J46" s="2"/>
    </row>
    <row r="47" spans="1:10" x14ac:dyDescent="0.2">
      <c r="A47" s="215"/>
      <c r="B47" s="215"/>
      <c r="C47" s="215"/>
      <c r="D47" s="2"/>
      <c r="E47" s="2"/>
      <c r="F47" s="2"/>
      <c r="G47" s="2"/>
      <c r="H47" s="2"/>
      <c r="I47" s="2"/>
      <c r="J47" s="2"/>
    </row>
    <row r="48" spans="1:10" ht="13.5" x14ac:dyDescent="0.25">
      <c r="A48" s="216" t="s">
        <v>848</v>
      </c>
      <c r="B48" s="215"/>
      <c r="C48" s="215"/>
      <c r="D48" s="2"/>
      <c r="E48" s="2">
        <v>4041</v>
      </c>
      <c r="F48" s="2">
        <v>5040</v>
      </c>
      <c r="G48" s="2">
        <v>4950</v>
      </c>
      <c r="H48" s="2">
        <v>4950</v>
      </c>
      <c r="I48" s="2">
        <v>4950</v>
      </c>
      <c r="J48" s="2">
        <v>4950</v>
      </c>
    </row>
    <row r="49" spans="1:10" hidden="1" x14ac:dyDescent="0.2">
      <c r="A49" s="215" t="s">
        <v>365</v>
      </c>
      <c r="B49" s="2">
        <v>4</v>
      </c>
      <c r="C49" s="2">
        <v>1375</v>
      </c>
      <c r="D49" s="2">
        <f>ROUND(B49*C49,0)</f>
        <v>5500</v>
      </c>
      <c r="E49" s="2"/>
      <c r="F49" s="2"/>
      <c r="G49" s="2"/>
      <c r="H49" s="2"/>
      <c r="I49" s="2"/>
      <c r="J49" s="2"/>
    </row>
    <row r="50" spans="1:10" ht="15" hidden="1" x14ac:dyDescent="0.35">
      <c r="A50" s="215" t="s">
        <v>198</v>
      </c>
      <c r="B50" s="215"/>
      <c r="C50" s="215"/>
      <c r="D50" s="10">
        <f>+C49*-0.1*4</f>
        <v>-550</v>
      </c>
      <c r="E50" s="2"/>
      <c r="F50" s="2"/>
      <c r="G50" s="2"/>
      <c r="H50" s="2"/>
      <c r="I50" s="2"/>
      <c r="J50" s="2"/>
    </row>
    <row r="51" spans="1:10" hidden="1" x14ac:dyDescent="0.2">
      <c r="A51" s="215" t="s">
        <v>1073</v>
      </c>
      <c r="B51" s="215"/>
      <c r="C51" s="215"/>
      <c r="D51" s="2">
        <f>SUM(D49:D50)</f>
        <v>4950</v>
      </c>
      <c r="E51" s="2"/>
      <c r="F51" s="2"/>
      <c r="G51" s="2"/>
      <c r="H51" s="2"/>
      <c r="I51" s="2"/>
      <c r="J51" s="2"/>
    </row>
    <row r="52" spans="1:10" x14ac:dyDescent="0.2">
      <c r="A52" s="215"/>
      <c r="B52" s="215"/>
      <c r="C52" s="215"/>
      <c r="D52" s="2"/>
      <c r="E52" s="2"/>
      <c r="F52" s="2"/>
      <c r="G52" s="2"/>
      <c r="H52" s="2"/>
      <c r="I52" s="2"/>
      <c r="J52" s="2"/>
    </row>
    <row r="53" spans="1:10" ht="13.5" x14ac:dyDescent="0.25">
      <c r="A53" s="216" t="s">
        <v>673</v>
      </c>
      <c r="B53" s="215"/>
      <c r="C53" s="215"/>
      <c r="D53" s="2"/>
      <c r="E53" s="2">
        <v>622</v>
      </c>
      <c r="F53" s="2">
        <v>540</v>
      </c>
      <c r="G53" s="2">
        <v>540</v>
      </c>
      <c r="H53" s="2">
        <v>540</v>
      </c>
      <c r="I53" s="2">
        <v>540</v>
      </c>
      <c r="J53" s="2">
        <v>540</v>
      </c>
    </row>
    <row r="54" spans="1:10" hidden="1" x14ac:dyDescent="0.2">
      <c r="A54" s="215" t="s">
        <v>365</v>
      </c>
      <c r="B54" s="2">
        <v>4</v>
      </c>
      <c r="C54" s="2">
        <v>135</v>
      </c>
      <c r="D54" s="2">
        <f>ROUND(B54*C54,0)</f>
        <v>540</v>
      </c>
      <c r="E54" s="2"/>
      <c r="F54" s="2"/>
      <c r="G54" s="2"/>
      <c r="H54" s="2"/>
      <c r="I54" s="2"/>
      <c r="J54" s="2"/>
    </row>
    <row r="55" spans="1:10" x14ac:dyDescent="0.2">
      <c r="A55" s="215"/>
      <c r="B55" s="215"/>
      <c r="C55" s="215"/>
      <c r="D55" s="2"/>
      <c r="E55" s="2"/>
      <c r="F55" s="2"/>
      <c r="G55" s="2"/>
      <c r="H55" s="2"/>
      <c r="I55" s="2"/>
      <c r="J55" s="2"/>
    </row>
    <row r="56" spans="1:10" ht="13.5" x14ac:dyDescent="0.25">
      <c r="A56" s="216" t="s">
        <v>674</v>
      </c>
      <c r="B56" s="215"/>
      <c r="C56" s="215"/>
      <c r="D56" s="2"/>
      <c r="E56" s="2">
        <v>3520</v>
      </c>
      <c r="F56" s="2">
        <v>2200</v>
      </c>
      <c r="G56" s="2">
        <v>2100</v>
      </c>
      <c r="H56" s="2">
        <v>2100</v>
      </c>
      <c r="I56" s="2">
        <v>2100</v>
      </c>
      <c r="J56" s="2">
        <v>2100</v>
      </c>
    </row>
    <row r="57" spans="1:10" hidden="1" x14ac:dyDescent="0.2">
      <c r="A57" s="215" t="s">
        <v>365</v>
      </c>
      <c r="B57" s="2">
        <v>4</v>
      </c>
      <c r="C57" s="2">
        <v>525</v>
      </c>
      <c r="D57" s="2">
        <f>ROUND(B57*C57,0)</f>
        <v>2100</v>
      </c>
      <c r="E57" s="2"/>
      <c r="F57" s="2"/>
      <c r="G57" s="2"/>
      <c r="H57" s="2"/>
      <c r="I57" s="2"/>
      <c r="J57" s="2"/>
    </row>
    <row r="58" spans="1:10" x14ac:dyDescent="0.2">
      <c r="A58" s="215"/>
      <c r="B58" s="215"/>
      <c r="C58" s="215"/>
      <c r="D58" s="2"/>
      <c r="E58" s="2"/>
      <c r="F58" s="2"/>
      <c r="G58" s="2"/>
      <c r="H58" s="2"/>
      <c r="I58" s="2"/>
      <c r="J58" s="2"/>
    </row>
    <row r="59" spans="1:10" ht="13.5" x14ac:dyDescent="0.25">
      <c r="A59" s="216" t="s">
        <v>675</v>
      </c>
      <c r="B59" s="215"/>
      <c r="C59" s="215"/>
      <c r="D59" s="2"/>
      <c r="E59" s="2">
        <v>3455</v>
      </c>
      <c r="F59" s="2">
        <v>5215</v>
      </c>
      <c r="G59" s="2">
        <v>4838</v>
      </c>
      <c r="H59" s="2">
        <v>4838</v>
      </c>
      <c r="I59" s="2">
        <v>4957</v>
      </c>
      <c r="J59" s="2">
        <v>4957</v>
      </c>
    </row>
    <row r="60" spans="1:10" hidden="1" x14ac:dyDescent="0.2">
      <c r="A60" s="12" t="s">
        <v>762</v>
      </c>
      <c r="B60" s="2">
        <f>+B39</f>
        <v>57252</v>
      </c>
      <c r="C60" s="13">
        <v>1.74E-3</v>
      </c>
      <c r="D60" s="2">
        <f>ROUND(B60*C60,0)</f>
        <v>100</v>
      </c>
      <c r="E60" s="2"/>
      <c r="F60" s="2"/>
      <c r="G60" s="2"/>
      <c r="H60" s="2"/>
      <c r="I60" s="2"/>
      <c r="J60" s="2"/>
    </row>
    <row r="61" spans="1:10" hidden="1" x14ac:dyDescent="0.2">
      <c r="A61" s="12" t="s">
        <v>1271</v>
      </c>
      <c r="B61" s="2">
        <f>+D14</f>
        <v>216916</v>
      </c>
      <c r="C61" s="13">
        <v>1.67E-2</v>
      </c>
      <c r="D61" s="2">
        <f>ROUND(B61*C61,0)</f>
        <v>3622</v>
      </c>
      <c r="E61" s="2"/>
      <c r="F61" s="2"/>
      <c r="G61" s="2"/>
      <c r="H61" s="2"/>
      <c r="I61" s="2"/>
      <c r="J61" s="2"/>
    </row>
    <row r="62" spans="1:10" hidden="1" x14ac:dyDescent="0.2">
      <c r="A62" s="30">
        <v>8104</v>
      </c>
      <c r="B62" s="2">
        <f>+B41</f>
        <v>71084</v>
      </c>
      <c r="C62" s="13">
        <v>1.67E-2</v>
      </c>
      <c r="D62" s="2">
        <f>ROUND(B62*C62,0)</f>
        <v>1187</v>
      </c>
      <c r="E62" s="2"/>
      <c r="F62" s="2"/>
      <c r="G62" s="2"/>
      <c r="H62" s="2"/>
      <c r="I62" s="2"/>
      <c r="J62" s="2"/>
    </row>
    <row r="63" spans="1:10" hidden="1" x14ac:dyDescent="0.2">
      <c r="A63" s="12" t="s">
        <v>155</v>
      </c>
      <c r="B63" s="2">
        <f>+B34</f>
        <v>18480</v>
      </c>
      <c r="C63" s="13">
        <v>1.74E-3</v>
      </c>
      <c r="D63" s="2">
        <f t="shared" ref="D63:D64" si="0">ROUND(B63*C63,0)</f>
        <v>32</v>
      </c>
      <c r="E63" s="2"/>
      <c r="F63" s="2"/>
      <c r="G63" s="2"/>
      <c r="H63" s="2"/>
      <c r="I63" s="2"/>
      <c r="J63" s="2"/>
    </row>
    <row r="64" spans="1:10" ht="15" hidden="1" x14ac:dyDescent="0.35">
      <c r="A64" s="12" t="s">
        <v>156</v>
      </c>
      <c r="B64" s="2">
        <f>+B42</f>
        <v>768.93749999999989</v>
      </c>
      <c r="C64" s="13">
        <v>1.67E-2</v>
      </c>
      <c r="D64" s="10">
        <f t="shared" si="0"/>
        <v>13</v>
      </c>
      <c r="E64" s="2"/>
      <c r="F64" s="2"/>
      <c r="G64" s="2"/>
      <c r="H64" s="2"/>
      <c r="I64" s="2"/>
      <c r="J64" s="2"/>
    </row>
    <row r="65" spans="1:10" hidden="1" x14ac:dyDescent="0.2">
      <c r="A65" s="215" t="s">
        <v>1073</v>
      </c>
      <c r="B65" s="215"/>
      <c r="C65" s="215"/>
      <c r="D65" s="2">
        <f>SUM(D60:D64)+3</f>
        <v>4957</v>
      </c>
      <c r="E65" s="2"/>
      <c r="F65" s="2"/>
      <c r="G65" s="2"/>
      <c r="H65" s="2"/>
      <c r="I65" s="2"/>
      <c r="J65" s="2"/>
    </row>
    <row r="66" spans="1:10" x14ac:dyDescent="0.2">
      <c r="A66" s="215"/>
      <c r="B66" s="215"/>
      <c r="C66" s="215"/>
      <c r="D66" s="2"/>
      <c r="E66" s="2"/>
      <c r="F66" s="2"/>
      <c r="G66" s="2"/>
      <c r="H66" s="2"/>
      <c r="I66" s="2"/>
      <c r="J66" s="2"/>
    </row>
    <row r="67" spans="1:10" ht="13.5" x14ac:dyDescent="0.25">
      <c r="A67" s="216" t="s">
        <v>306</v>
      </c>
      <c r="B67" s="215"/>
      <c r="C67" s="215"/>
      <c r="D67" s="2"/>
      <c r="E67" s="2">
        <v>105</v>
      </c>
      <c r="F67" s="2">
        <v>107</v>
      </c>
      <c r="G67" s="2">
        <v>106</v>
      </c>
      <c r="H67" s="2">
        <v>106</v>
      </c>
      <c r="I67" s="2">
        <v>106</v>
      </c>
      <c r="J67" s="2">
        <v>106</v>
      </c>
    </row>
    <row r="68" spans="1:10" hidden="1" x14ac:dyDescent="0.2">
      <c r="A68" s="12" t="s">
        <v>762</v>
      </c>
      <c r="B68" s="2">
        <v>1</v>
      </c>
      <c r="C68" s="2">
        <v>20</v>
      </c>
      <c r="D68" s="2">
        <f>ROUND(B68*C68,0)</f>
        <v>20</v>
      </c>
      <c r="E68" s="2"/>
      <c r="F68" s="2"/>
      <c r="G68" s="2"/>
      <c r="H68" s="2"/>
      <c r="I68" s="2"/>
      <c r="J68" s="2"/>
    </row>
    <row r="69" spans="1:10" hidden="1" x14ac:dyDescent="0.2">
      <c r="A69" s="12" t="s">
        <v>1271</v>
      </c>
      <c r="B69" s="2">
        <v>2</v>
      </c>
      <c r="C69" s="2">
        <v>20</v>
      </c>
      <c r="D69" s="2">
        <f>ROUND(B69*C69,0)</f>
        <v>40</v>
      </c>
      <c r="E69" s="2"/>
      <c r="F69" s="2"/>
      <c r="G69" s="2"/>
      <c r="H69" s="2"/>
      <c r="I69" s="2"/>
      <c r="J69" s="2"/>
    </row>
    <row r="70" spans="1:10" hidden="1" x14ac:dyDescent="0.2">
      <c r="A70" s="30">
        <v>8104</v>
      </c>
      <c r="B70" s="2">
        <v>1</v>
      </c>
      <c r="C70" s="2">
        <v>20</v>
      </c>
      <c r="D70" s="2">
        <f>ROUND(B70*C70,0)</f>
        <v>20</v>
      </c>
      <c r="E70" s="2"/>
      <c r="F70" s="2"/>
      <c r="G70" s="2"/>
      <c r="H70" s="2"/>
      <c r="I70" s="2"/>
      <c r="J70" s="2"/>
    </row>
    <row r="71" spans="1:10" ht="15" hidden="1" x14ac:dyDescent="0.35">
      <c r="A71" s="12" t="s">
        <v>155</v>
      </c>
      <c r="B71" s="2">
        <f>D24</f>
        <v>18480</v>
      </c>
      <c r="C71" s="13">
        <v>1.4E-3</v>
      </c>
      <c r="D71" s="10">
        <f>ROUND(B71*C71,0)</f>
        <v>26</v>
      </c>
      <c r="E71" s="2"/>
      <c r="F71" s="2"/>
      <c r="G71" s="2"/>
      <c r="H71" s="2"/>
      <c r="I71" s="2"/>
      <c r="J71" s="2"/>
    </row>
    <row r="72" spans="1:10" hidden="1" x14ac:dyDescent="0.2">
      <c r="A72" s="215" t="s">
        <v>1073</v>
      </c>
      <c r="B72" s="215"/>
      <c r="C72" s="215"/>
      <c r="D72" s="2">
        <f>SUM(D68:D71)</f>
        <v>106</v>
      </c>
      <c r="E72" s="2"/>
      <c r="F72" s="2"/>
      <c r="G72" s="2"/>
      <c r="H72" s="2"/>
      <c r="I72" s="2"/>
      <c r="J72" s="2"/>
    </row>
    <row r="73" spans="1:10" x14ac:dyDescent="0.2">
      <c r="A73" s="215"/>
      <c r="B73" s="215"/>
      <c r="C73" s="215"/>
      <c r="D73" s="2"/>
      <c r="E73" s="2"/>
      <c r="F73" s="2"/>
      <c r="G73" s="2"/>
      <c r="H73" s="2"/>
      <c r="I73" s="2"/>
      <c r="J73" s="2"/>
    </row>
    <row r="74" spans="1:10" ht="13.5" x14ac:dyDescent="0.25">
      <c r="A74" s="216" t="s">
        <v>307</v>
      </c>
      <c r="B74" s="215"/>
      <c r="C74" s="215"/>
      <c r="D74" s="2"/>
      <c r="E74" s="2">
        <v>3184</v>
      </c>
      <c r="F74" s="2">
        <v>1600</v>
      </c>
      <c r="G74" s="2">
        <v>2000</v>
      </c>
      <c r="H74" s="2">
        <v>2000</v>
      </c>
      <c r="I74" s="2">
        <v>2000</v>
      </c>
      <c r="J74" s="2">
        <v>2000</v>
      </c>
    </row>
    <row r="75" spans="1:10" x14ac:dyDescent="0.2">
      <c r="A75" s="215" t="s">
        <v>308</v>
      </c>
      <c r="B75" s="215"/>
      <c r="C75" s="2"/>
      <c r="D75" s="2">
        <v>1600</v>
      </c>
      <c r="E75" s="215"/>
      <c r="F75" s="2"/>
      <c r="G75" s="2"/>
      <c r="H75" s="2"/>
      <c r="I75" s="2"/>
      <c r="J75" s="2"/>
    </row>
    <row r="76" spans="1:10" x14ac:dyDescent="0.2">
      <c r="A76" s="215"/>
      <c r="B76" s="215"/>
      <c r="C76" s="2"/>
      <c r="D76" s="2"/>
      <c r="E76" s="2"/>
      <c r="F76" s="2"/>
      <c r="G76" s="2"/>
      <c r="H76" s="2"/>
      <c r="I76" s="2"/>
      <c r="J76" s="2"/>
    </row>
    <row r="77" spans="1:10" ht="13.5" x14ac:dyDescent="0.25">
      <c r="A77" s="216" t="s">
        <v>1343</v>
      </c>
      <c r="B77" s="215"/>
      <c r="C77" s="2"/>
      <c r="D77" s="2"/>
      <c r="E77" s="2">
        <v>446</v>
      </c>
      <c r="F77" s="2">
        <v>1250</v>
      </c>
      <c r="G77" s="2">
        <v>1250</v>
      </c>
      <c r="H77" s="2">
        <v>1250</v>
      </c>
      <c r="I77" s="2">
        <v>1250</v>
      </c>
      <c r="J77" s="2">
        <v>1250</v>
      </c>
    </row>
    <row r="78" spans="1:10" x14ac:dyDescent="0.2">
      <c r="A78" s="22" t="s">
        <v>1372</v>
      </c>
      <c r="B78" s="215"/>
      <c r="C78" s="2"/>
      <c r="D78" s="2"/>
      <c r="E78" s="2"/>
      <c r="F78" s="2"/>
      <c r="G78" s="2"/>
      <c r="H78" s="2"/>
      <c r="I78" s="2"/>
      <c r="J78" s="2"/>
    </row>
    <row r="79" spans="1:10" x14ac:dyDescent="0.2">
      <c r="A79" s="22" t="s">
        <v>1722</v>
      </c>
      <c r="B79" s="215"/>
      <c r="C79" s="2"/>
      <c r="D79" s="215">
        <v>500</v>
      </c>
      <c r="E79" s="215"/>
      <c r="F79" s="215"/>
      <c r="G79" s="215"/>
      <c r="H79" s="227"/>
      <c r="I79" s="231"/>
      <c r="J79" s="233"/>
    </row>
    <row r="80" spans="1:10" ht="15" x14ac:dyDescent="0.35">
      <c r="A80" s="22" t="s">
        <v>1808</v>
      </c>
      <c r="B80" s="215"/>
      <c r="C80" s="2"/>
      <c r="D80" s="10">
        <v>750</v>
      </c>
      <c r="E80" s="215"/>
      <c r="F80" s="215"/>
      <c r="G80" s="215"/>
      <c r="H80" s="227"/>
      <c r="I80" s="231"/>
      <c r="J80" s="233"/>
    </row>
    <row r="81" spans="1:10" x14ac:dyDescent="0.2">
      <c r="A81" s="22"/>
      <c r="B81" s="215"/>
      <c r="C81" s="2"/>
      <c r="D81" s="215">
        <f>SUM(D79:D80)</f>
        <v>1250</v>
      </c>
      <c r="E81" s="215"/>
      <c r="F81" s="215"/>
      <c r="G81" s="215"/>
      <c r="H81" s="227"/>
      <c r="I81" s="231"/>
      <c r="J81" s="233"/>
    </row>
    <row r="82" spans="1:10" x14ac:dyDescent="0.2">
      <c r="A82" s="215"/>
      <c r="B82" s="215"/>
      <c r="C82" s="17"/>
      <c r="D82" s="2"/>
      <c r="E82" s="2"/>
      <c r="F82" s="2"/>
      <c r="G82" s="2"/>
      <c r="H82" s="2"/>
      <c r="I82" s="2"/>
      <c r="J82" s="2"/>
    </row>
    <row r="83" spans="1:10" ht="13.5" x14ac:dyDescent="0.25">
      <c r="A83" s="216" t="s">
        <v>1760</v>
      </c>
      <c r="B83" s="215"/>
      <c r="C83" s="17"/>
      <c r="D83" s="2"/>
      <c r="E83" s="2">
        <v>325</v>
      </c>
      <c r="F83" s="2">
        <v>450</v>
      </c>
      <c r="G83" s="2">
        <v>450</v>
      </c>
      <c r="H83" s="2">
        <v>450</v>
      </c>
      <c r="I83" s="2">
        <v>450</v>
      </c>
      <c r="J83" s="2">
        <v>450</v>
      </c>
    </row>
    <row r="84" spans="1:10" x14ac:dyDescent="0.2">
      <c r="A84" s="215" t="s">
        <v>1948</v>
      </c>
      <c r="B84" s="215"/>
      <c r="C84" s="17"/>
      <c r="D84" s="2">
        <v>450</v>
      </c>
      <c r="E84" s="2"/>
      <c r="F84" s="2"/>
      <c r="G84" s="2"/>
      <c r="H84" s="2"/>
      <c r="I84" s="2"/>
      <c r="J84" s="2"/>
    </row>
    <row r="85" spans="1:10" x14ac:dyDescent="0.2">
      <c r="A85" s="215"/>
      <c r="B85" s="215"/>
      <c r="C85" s="17"/>
      <c r="D85" s="2"/>
      <c r="E85" s="2"/>
      <c r="F85" s="2"/>
      <c r="G85" s="2"/>
      <c r="H85" s="2"/>
      <c r="I85" s="2"/>
      <c r="J85" s="2"/>
    </row>
    <row r="86" spans="1:10" ht="13.5" x14ac:dyDescent="0.25">
      <c r="A86" s="216" t="s">
        <v>315</v>
      </c>
      <c r="B86" s="215"/>
      <c r="C86" s="2"/>
      <c r="D86" s="2"/>
      <c r="E86" s="2">
        <v>50</v>
      </c>
      <c r="F86" s="2">
        <v>100</v>
      </c>
      <c r="G86" s="2">
        <v>100</v>
      </c>
      <c r="H86" s="2">
        <v>100</v>
      </c>
      <c r="I86" s="2">
        <v>100</v>
      </c>
      <c r="J86" s="2">
        <v>100</v>
      </c>
    </row>
    <row r="87" spans="1:10" x14ac:dyDescent="0.2">
      <c r="A87" s="215" t="s">
        <v>966</v>
      </c>
      <c r="B87" s="215"/>
      <c r="C87" s="2"/>
      <c r="D87" s="2">
        <v>100</v>
      </c>
      <c r="E87" s="2"/>
      <c r="F87" s="2"/>
      <c r="G87" s="2"/>
      <c r="H87" s="2"/>
      <c r="I87" s="2"/>
      <c r="J87" s="2"/>
    </row>
    <row r="88" spans="1:10" x14ac:dyDescent="0.2">
      <c r="A88" s="215"/>
      <c r="B88" s="215"/>
      <c r="C88" s="2"/>
      <c r="D88" s="2"/>
      <c r="E88" s="2"/>
      <c r="F88" s="2"/>
      <c r="G88" s="2"/>
      <c r="H88" s="2"/>
      <c r="I88" s="2"/>
      <c r="J88" s="2"/>
    </row>
    <row r="89" spans="1:10" ht="13.5" x14ac:dyDescent="0.25">
      <c r="A89" s="216" t="s">
        <v>750</v>
      </c>
      <c r="B89" s="215"/>
      <c r="C89" s="2"/>
      <c r="D89" s="2"/>
      <c r="E89" s="2">
        <v>242</v>
      </c>
      <c r="F89" s="2">
        <v>400</v>
      </c>
      <c r="G89" s="2">
        <v>230</v>
      </c>
      <c r="H89" s="2">
        <v>230</v>
      </c>
      <c r="I89" s="2">
        <v>230</v>
      </c>
      <c r="J89" s="2">
        <v>230</v>
      </c>
    </row>
    <row r="90" spans="1:10" x14ac:dyDescent="0.2">
      <c r="A90" s="215" t="s">
        <v>340</v>
      </c>
      <c r="B90" s="2" t="s">
        <v>345</v>
      </c>
      <c r="C90" s="2"/>
      <c r="D90" s="2">
        <v>230</v>
      </c>
      <c r="E90" s="2"/>
      <c r="F90" s="2"/>
      <c r="G90" s="2"/>
      <c r="H90" s="2"/>
      <c r="I90" s="2"/>
      <c r="J90" s="2"/>
    </row>
    <row r="91" spans="1:10" x14ac:dyDescent="0.2">
      <c r="A91" s="215"/>
      <c r="B91" s="215"/>
      <c r="C91" s="2"/>
      <c r="D91" s="2"/>
      <c r="E91" s="2"/>
      <c r="F91" s="2"/>
      <c r="G91" s="2"/>
      <c r="H91" s="2"/>
      <c r="I91" s="2"/>
      <c r="J91" s="2"/>
    </row>
    <row r="92" spans="1:10" ht="13.5" x14ac:dyDescent="0.25">
      <c r="A92" s="216" t="s">
        <v>1323</v>
      </c>
      <c r="B92" s="215"/>
      <c r="C92" s="2"/>
      <c r="D92" s="2"/>
      <c r="E92" s="2">
        <v>3133</v>
      </c>
      <c r="F92" s="2">
        <v>2990</v>
      </c>
      <c r="G92" s="2">
        <v>3040</v>
      </c>
      <c r="H92" s="2">
        <v>3040</v>
      </c>
      <c r="I92" s="2">
        <v>3040</v>
      </c>
      <c r="J92" s="2">
        <v>3040</v>
      </c>
    </row>
    <row r="93" spans="1:10" x14ac:dyDescent="0.2">
      <c r="A93" s="215" t="s">
        <v>811</v>
      </c>
      <c r="B93" s="215"/>
      <c r="C93" s="2"/>
      <c r="D93" s="2">
        <v>850</v>
      </c>
      <c r="E93" s="2"/>
      <c r="F93" s="2"/>
      <c r="G93" s="2"/>
      <c r="H93" s="2"/>
      <c r="I93" s="2"/>
      <c r="J93" s="2"/>
    </row>
    <row r="94" spans="1:10" x14ac:dyDescent="0.2">
      <c r="A94" s="215" t="s">
        <v>1764</v>
      </c>
      <c r="B94" s="215"/>
      <c r="C94" s="2"/>
      <c r="D94" s="2">
        <v>150</v>
      </c>
      <c r="E94" s="2"/>
      <c r="F94" s="2"/>
      <c r="G94" s="2"/>
      <c r="H94" s="2"/>
      <c r="I94" s="2"/>
      <c r="J94" s="2"/>
    </row>
    <row r="95" spans="1:10" ht="15" x14ac:dyDescent="0.35">
      <c r="A95" s="215" t="s">
        <v>1144</v>
      </c>
      <c r="B95" s="215"/>
      <c r="C95" s="10"/>
      <c r="D95" s="10">
        <v>2040</v>
      </c>
      <c r="E95" s="2"/>
      <c r="F95" s="2"/>
      <c r="G95" s="2"/>
      <c r="H95" s="2"/>
      <c r="I95" s="2"/>
      <c r="J95" s="2"/>
    </row>
    <row r="96" spans="1:10" x14ac:dyDescent="0.2">
      <c r="A96" s="215" t="s">
        <v>1073</v>
      </c>
      <c r="B96" s="215"/>
      <c r="C96" s="2"/>
      <c r="D96" s="2">
        <f>SUM(D93:D95)</f>
        <v>3040</v>
      </c>
      <c r="E96" s="2"/>
      <c r="F96" s="2"/>
      <c r="G96" s="2"/>
      <c r="H96" s="2"/>
      <c r="I96" s="2"/>
      <c r="J96" s="2"/>
    </row>
    <row r="97" spans="1:10" x14ac:dyDescent="0.2">
      <c r="A97" s="215"/>
      <c r="B97" s="215"/>
      <c r="C97" s="17"/>
      <c r="D97" s="2"/>
      <c r="E97" s="2"/>
      <c r="F97" s="2"/>
      <c r="G97" s="2"/>
      <c r="H97" s="2"/>
      <c r="I97" s="2"/>
      <c r="J97" s="2"/>
    </row>
    <row r="98" spans="1:10" ht="13.5" x14ac:dyDescent="0.25">
      <c r="A98" s="216" t="s">
        <v>107</v>
      </c>
      <c r="B98" s="215"/>
      <c r="C98" s="2"/>
      <c r="D98" s="2"/>
      <c r="E98" s="2">
        <v>2034</v>
      </c>
      <c r="F98" s="2">
        <v>2505</v>
      </c>
      <c r="G98" s="2">
        <v>2505</v>
      </c>
      <c r="H98" s="2">
        <v>2505</v>
      </c>
      <c r="I98" s="2">
        <v>2505</v>
      </c>
      <c r="J98" s="2">
        <v>2505</v>
      </c>
    </row>
    <row r="99" spans="1:10" x14ac:dyDescent="0.2">
      <c r="A99" s="215" t="s">
        <v>108</v>
      </c>
      <c r="B99" s="215"/>
      <c r="C99" s="2"/>
      <c r="D99" s="2">
        <v>550</v>
      </c>
      <c r="E99" s="2"/>
      <c r="F99" s="2"/>
      <c r="G99" s="2"/>
      <c r="H99" s="2"/>
      <c r="I99" s="2"/>
      <c r="J99" s="2"/>
    </row>
    <row r="100" spans="1:10" x14ac:dyDescent="0.2">
      <c r="A100" s="215" t="s">
        <v>1169</v>
      </c>
      <c r="B100" s="215"/>
      <c r="C100" s="2"/>
      <c r="D100" s="2">
        <v>25</v>
      </c>
      <c r="E100" s="2"/>
      <c r="F100" s="2"/>
      <c r="G100" s="2"/>
      <c r="H100" s="2"/>
      <c r="I100" s="2"/>
      <c r="J100" s="2"/>
    </row>
    <row r="101" spans="1:10" x14ac:dyDescent="0.2">
      <c r="A101" s="215" t="s">
        <v>1809</v>
      </c>
      <c r="B101" s="215"/>
      <c r="C101" s="2"/>
      <c r="D101" s="2">
        <v>80</v>
      </c>
      <c r="E101" s="2"/>
      <c r="F101" s="2"/>
      <c r="G101" s="2"/>
      <c r="H101" s="2"/>
      <c r="I101" s="2"/>
      <c r="J101" s="2"/>
    </row>
    <row r="102" spans="1:10" x14ac:dyDescent="0.2">
      <c r="A102" s="215" t="s">
        <v>1541</v>
      </c>
      <c r="B102" s="215"/>
      <c r="C102" s="2"/>
      <c r="D102" s="2">
        <v>150</v>
      </c>
      <c r="E102" s="2"/>
      <c r="F102" s="2"/>
      <c r="G102" s="2"/>
      <c r="H102" s="2"/>
      <c r="I102" s="2"/>
      <c r="J102" s="2"/>
    </row>
    <row r="103" spans="1:10" x14ac:dyDescent="0.2">
      <c r="A103" s="215" t="s">
        <v>1810</v>
      </c>
      <c r="B103" s="215"/>
      <c r="C103" s="2"/>
      <c r="D103" s="2">
        <v>150</v>
      </c>
      <c r="E103" s="2"/>
      <c r="F103" s="2"/>
      <c r="G103" s="2"/>
      <c r="H103" s="2"/>
      <c r="I103" s="2"/>
      <c r="J103" s="2"/>
    </row>
    <row r="104" spans="1:10" x14ac:dyDescent="0.2">
      <c r="A104" s="215" t="s">
        <v>1811</v>
      </c>
      <c r="B104" s="215"/>
      <c r="C104" s="2"/>
      <c r="D104" s="2">
        <v>150</v>
      </c>
      <c r="E104" s="2"/>
      <c r="F104" s="2"/>
      <c r="G104" s="2"/>
      <c r="H104" s="2"/>
      <c r="I104" s="2"/>
      <c r="J104" s="2"/>
    </row>
    <row r="105" spans="1:10" x14ac:dyDescent="0.2">
      <c r="A105" s="215" t="s">
        <v>967</v>
      </c>
      <c r="B105" s="215"/>
      <c r="C105" s="2"/>
      <c r="D105" s="2">
        <v>100</v>
      </c>
      <c r="E105" s="2"/>
      <c r="F105" s="2"/>
      <c r="G105" s="2"/>
      <c r="H105" s="2"/>
      <c r="I105" s="2"/>
      <c r="J105" s="2"/>
    </row>
    <row r="106" spans="1:10" x14ac:dyDescent="0.2">
      <c r="A106" s="215" t="s">
        <v>1643</v>
      </c>
      <c r="B106" s="215"/>
      <c r="C106" s="2"/>
      <c r="D106" s="2">
        <v>100</v>
      </c>
      <c r="E106" s="2"/>
      <c r="F106" s="2"/>
      <c r="G106" s="2"/>
      <c r="H106" s="2"/>
      <c r="I106" s="2"/>
      <c r="J106" s="2"/>
    </row>
    <row r="107" spans="1:10" ht="15" x14ac:dyDescent="0.35">
      <c r="A107" s="215" t="s">
        <v>90</v>
      </c>
      <c r="B107" s="215"/>
      <c r="C107" s="10"/>
      <c r="D107" s="10">
        <v>1200</v>
      </c>
      <c r="E107" s="2"/>
      <c r="F107" s="2"/>
      <c r="G107" s="2"/>
      <c r="H107" s="2"/>
      <c r="I107" s="2"/>
      <c r="J107" s="2"/>
    </row>
    <row r="108" spans="1:10" x14ac:dyDescent="0.2">
      <c r="A108" s="215" t="s">
        <v>1073</v>
      </c>
      <c r="B108" s="215"/>
      <c r="C108" s="2"/>
      <c r="D108" s="2">
        <f>SUM(D99:D107)</f>
        <v>2505</v>
      </c>
      <c r="E108" s="2"/>
      <c r="F108" s="2"/>
      <c r="G108" s="2"/>
      <c r="H108" s="2"/>
      <c r="I108" s="2"/>
      <c r="J108" s="2"/>
    </row>
    <row r="109" spans="1:10" x14ac:dyDescent="0.2">
      <c r="A109" s="215"/>
      <c r="B109" s="215"/>
      <c r="C109" s="17"/>
      <c r="D109" s="2"/>
      <c r="E109" s="2"/>
      <c r="F109" s="215"/>
      <c r="G109" s="215"/>
      <c r="H109" s="227"/>
      <c r="I109" s="231"/>
      <c r="J109" s="233"/>
    </row>
    <row r="110" spans="1:10" ht="13.5" x14ac:dyDescent="0.25">
      <c r="A110" s="16" t="s">
        <v>959</v>
      </c>
      <c r="B110" s="215"/>
      <c r="C110" s="2"/>
      <c r="D110" s="2"/>
      <c r="E110" s="2">
        <v>2773</v>
      </c>
      <c r="F110" s="2">
        <v>2020</v>
      </c>
      <c r="G110" s="2">
        <v>3374</v>
      </c>
      <c r="H110" s="2">
        <v>3374</v>
      </c>
      <c r="I110" s="2">
        <v>3374</v>
      </c>
      <c r="J110" s="2">
        <v>3374</v>
      </c>
    </row>
    <row r="111" spans="1:10" x14ac:dyDescent="0.2">
      <c r="A111" s="215" t="s">
        <v>738</v>
      </c>
      <c r="B111" s="215"/>
      <c r="C111" s="2"/>
      <c r="D111" s="2">
        <v>3374</v>
      </c>
      <c r="E111" s="2"/>
      <c r="F111" s="2"/>
      <c r="G111" s="2"/>
      <c r="H111" s="2"/>
      <c r="I111" s="2"/>
      <c r="J111" s="2"/>
    </row>
    <row r="112" spans="1:10" x14ac:dyDescent="0.2">
      <c r="A112" s="215"/>
      <c r="B112" s="215"/>
      <c r="C112" s="2"/>
      <c r="D112" s="2"/>
      <c r="E112" s="2"/>
      <c r="F112" s="215"/>
      <c r="G112" s="215"/>
      <c r="H112" s="227"/>
      <c r="I112" s="231"/>
      <c r="J112" s="233"/>
    </row>
    <row r="113" spans="1:10" ht="13.5" x14ac:dyDescent="0.25">
      <c r="A113" s="216" t="s">
        <v>608</v>
      </c>
      <c r="B113" s="215"/>
      <c r="C113" s="2"/>
      <c r="D113" s="2"/>
      <c r="E113" s="2">
        <v>825</v>
      </c>
      <c r="F113" s="2">
        <v>500</v>
      </c>
      <c r="G113" s="2">
        <v>500</v>
      </c>
      <c r="H113" s="2">
        <v>500</v>
      </c>
      <c r="I113" s="2">
        <v>500</v>
      </c>
      <c r="J113" s="2">
        <v>500</v>
      </c>
    </row>
    <row r="114" spans="1:10" x14ac:dyDescent="0.2">
      <c r="A114" s="215" t="s">
        <v>1307</v>
      </c>
      <c r="B114" s="215"/>
      <c r="C114" s="2"/>
      <c r="D114" s="2">
        <v>500</v>
      </c>
      <c r="E114" s="2"/>
      <c r="F114" s="2"/>
      <c r="G114" s="2"/>
      <c r="H114" s="2"/>
      <c r="I114" s="2"/>
      <c r="J114" s="2"/>
    </row>
    <row r="115" spans="1:10" x14ac:dyDescent="0.2">
      <c r="A115" s="215"/>
      <c r="B115" s="215"/>
      <c r="C115" s="2"/>
      <c r="D115" s="2"/>
      <c r="E115" s="2"/>
      <c r="F115" s="2"/>
      <c r="G115" s="2"/>
      <c r="H115" s="2"/>
      <c r="I115" s="2"/>
      <c r="J115" s="2"/>
    </row>
    <row r="116" spans="1:10" ht="13.5" x14ac:dyDescent="0.25">
      <c r="A116" s="216" t="s">
        <v>1308</v>
      </c>
      <c r="B116" s="215"/>
      <c r="C116" s="2"/>
      <c r="D116" s="2"/>
      <c r="E116" s="2">
        <v>1559</v>
      </c>
      <c r="F116" s="2">
        <v>5175</v>
      </c>
      <c r="G116" s="2">
        <v>5175</v>
      </c>
      <c r="H116" s="2">
        <v>5175</v>
      </c>
      <c r="I116" s="2">
        <v>5175</v>
      </c>
      <c r="J116" s="2">
        <v>5175</v>
      </c>
    </row>
    <row r="117" spans="1:10" x14ac:dyDescent="0.2">
      <c r="A117" s="215" t="s">
        <v>730</v>
      </c>
      <c r="B117" s="215"/>
      <c r="C117" s="2"/>
      <c r="D117" s="2">
        <v>1350</v>
      </c>
      <c r="E117" s="2"/>
      <c r="F117" s="2"/>
      <c r="G117" s="2"/>
      <c r="H117" s="2"/>
      <c r="I117" s="2"/>
      <c r="J117" s="2"/>
    </row>
    <row r="118" spans="1:10" x14ac:dyDescent="0.2">
      <c r="A118" s="215" t="s">
        <v>1542</v>
      </c>
      <c r="B118" s="215"/>
      <c r="C118" s="2"/>
      <c r="D118" s="2">
        <v>825</v>
      </c>
      <c r="E118" s="2"/>
      <c r="F118" s="2"/>
      <c r="G118" s="2"/>
      <c r="H118" s="2"/>
      <c r="I118" s="2"/>
      <c r="J118" s="2"/>
    </row>
    <row r="119" spans="1:10" ht="15" x14ac:dyDescent="0.35">
      <c r="A119" s="215" t="s">
        <v>1432</v>
      </c>
      <c r="B119" s="215"/>
      <c r="C119" s="2"/>
      <c r="D119" s="10">
        <v>3000</v>
      </c>
      <c r="E119" s="2"/>
      <c r="F119" s="2"/>
      <c r="G119" s="2"/>
      <c r="H119" s="2"/>
      <c r="I119" s="2"/>
      <c r="J119" s="2"/>
    </row>
    <row r="120" spans="1:10" x14ac:dyDescent="0.2">
      <c r="A120" s="215" t="s">
        <v>1073</v>
      </c>
      <c r="B120" s="215"/>
      <c r="C120" s="2"/>
      <c r="D120" s="2">
        <f>SUM(D117:D119)</f>
        <v>5175</v>
      </c>
      <c r="E120" s="2"/>
      <c r="F120" s="2"/>
      <c r="G120" s="2"/>
      <c r="H120" s="2"/>
      <c r="I120" s="2"/>
      <c r="J120" s="2"/>
    </row>
    <row r="121" spans="1:10" x14ac:dyDescent="0.2">
      <c r="A121" s="215"/>
      <c r="B121" s="215"/>
      <c r="C121" s="2"/>
      <c r="D121" s="2"/>
      <c r="E121" s="2"/>
      <c r="F121" s="2"/>
      <c r="G121" s="2"/>
      <c r="H121" s="2"/>
      <c r="I121" s="2"/>
      <c r="J121" s="2"/>
    </row>
    <row r="122" spans="1:10" ht="13.5" x14ac:dyDescent="0.25">
      <c r="A122" s="216" t="s">
        <v>886</v>
      </c>
      <c r="B122" s="215"/>
      <c r="C122" s="2"/>
      <c r="D122" s="2"/>
      <c r="E122" s="2">
        <v>1560</v>
      </c>
      <c r="F122" s="2">
        <v>1500</v>
      </c>
      <c r="G122" s="2">
        <v>1500</v>
      </c>
      <c r="H122" s="2">
        <v>1500</v>
      </c>
      <c r="I122" s="2">
        <v>1500</v>
      </c>
      <c r="J122" s="2">
        <v>1500</v>
      </c>
    </row>
    <row r="123" spans="1:10" x14ac:dyDescent="0.2">
      <c r="A123" s="215" t="s">
        <v>1473</v>
      </c>
      <c r="B123" s="215"/>
      <c r="C123" s="2"/>
      <c r="D123" s="2">
        <v>1500</v>
      </c>
      <c r="E123" s="2"/>
      <c r="F123" s="2"/>
      <c r="G123" s="2"/>
      <c r="H123" s="2"/>
      <c r="I123" s="2"/>
      <c r="J123" s="2"/>
    </row>
    <row r="124" spans="1:10" x14ac:dyDescent="0.2">
      <c r="A124" s="215"/>
      <c r="B124" s="215"/>
      <c r="C124" s="2"/>
      <c r="D124" s="2"/>
      <c r="E124" s="2"/>
      <c r="F124" s="2"/>
      <c r="G124" s="2"/>
      <c r="H124" s="2"/>
      <c r="I124" s="2"/>
      <c r="J124" s="2"/>
    </row>
    <row r="125" spans="1:10" ht="13.5" x14ac:dyDescent="0.25">
      <c r="A125" s="216" t="s">
        <v>102</v>
      </c>
      <c r="B125" s="215"/>
      <c r="C125" s="2"/>
      <c r="D125" s="2"/>
      <c r="E125" s="2">
        <v>8583</v>
      </c>
      <c r="F125" s="2">
        <v>2500</v>
      </c>
      <c r="G125" s="2">
        <v>2500</v>
      </c>
      <c r="H125" s="2">
        <v>2500</v>
      </c>
      <c r="I125" s="2">
        <v>2500</v>
      </c>
      <c r="J125" s="2">
        <v>2500</v>
      </c>
    </row>
    <row r="126" spans="1:10" x14ac:dyDescent="0.2">
      <c r="A126" s="22" t="s">
        <v>1723</v>
      </c>
      <c r="B126" s="215"/>
      <c r="C126" s="2"/>
      <c r="D126" s="2">
        <v>2000</v>
      </c>
      <c r="E126" s="2"/>
      <c r="F126" s="215"/>
      <c r="G126" s="215"/>
      <c r="H126" s="227"/>
      <c r="I126" s="231"/>
      <c r="J126" s="233"/>
    </row>
    <row r="127" spans="1:10" ht="15" x14ac:dyDescent="0.35">
      <c r="A127" s="22" t="s">
        <v>1433</v>
      </c>
      <c r="B127" s="215"/>
      <c r="C127" s="2"/>
      <c r="D127" s="10">
        <v>500</v>
      </c>
      <c r="E127" s="2"/>
      <c r="F127" s="215"/>
      <c r="G127" s="215"/>
      <c r="H127" s="227"/>
      <c r="I127" s="231"/>
      <c r="J127" s="233"/>
    </row>
    <row r="128" spans="1:10" x14ac:dyDescent="0.2">
      <c r="A128" s="22" t="s">
        <v>1073</v>
      </c>
      <c r="B128" s="215"/>
      <c r="C128" s="2"/>
      <c r="D128" s="2">
        <f>SUM(D126:D127)</f>
        <v>2500</v>
      </c>
      <c r="E128" s="2"/>
      <c r="F128" s="215"/>
      <c r="G128" s="215"/>
      <c r="H128" s="227"/>
      <c r="I128" s="231"/>
      <c r="J128" s="233"/>
    </row>
    <row r="129" spans="1:10" x14ac:dyDescent="0.2">
      <c r="A129" s="22"/>
      <c r="B129" s="215"/>
      <c r="C129" s="2"/>
      <c r="D129" s="2"/>
      <c r="E129" s="2"/>
      <c r="F129" s="215"/>
      <c r="G129" s="215"/>
      <c r="H129" s="227"/>
      <c r="I129" s="231"/>
      <c r="J129" s="233"/>
    </row>
    <row r="130" spans="1:10" x14ac:dyDescent="0.2">
      <c r="A130" s="215"/>
      <c r="B130" s="215"/>
      <c r="C130" s="2"/>
      <c r="D130" s="2"/>
      <c r="E130" s="2"/>
      <c r="F130" s="2"/>
      <c r="G130" s="2"/>
      <c r="H130" s="2"/>
      <c r="I130" s="2"/>
      <c r="J130" s="2"/>
    </row>
    <row r="131" spans="1:10" ht="13.5" x14ac:dyDescent="0.25">
      <c r="A131" s="216" t="s">
        <v>887</v>
      </c>
      <c r="B131" s="215"/>
      <c r="C131" s="2"/>
      <c r="D131" s="2"/>
      <c r="E131" s="2">
        <v>0</v>
      </c>
      <c r="F131" s="2">
        <v>100</v>
      </c>
      <c r="G131" s="2">
        <v>100</v>
      </c>
      <c r="H131" s="2">
        <v>100</v>
      </c>
      <c r="I131" s="2">
        <v>100</v>
      </c>
      <c r="J131" s="2">
        <v>100</v>
      </c>
    </row>
    <row r="132" spans="1:10" x14ac:dyDescent="0.2">
      <c r="A132" s="215" t="s">
        <v>1276</v>
      </c>
      <c r="B132" s="215"/>
      <c r="C132" s="2"/>
      <c r="D132" s="2">
        <v>100</v>
      </c>
      <c r="E132" s="2"/>
      <c r="F132" s="2"/>
      <c r="G132" s="2"/>
      <c r="H132" s="2"/>
      <c r="I132" s="2"/>
      <c r="J132" s="2"/>
    </row>
    <row r="133" spans="1:10" x14ac:dyDescent="0.2">
      <c r="A133" s="215"/>
      <c r="B133" s="215"/>
      <c r="C133" s="2"/>
      <c r="D133" s="2"/>
      <c r="E133" s="2"/>
      <c r="F133" s="2"/>
      <c r="G133" s="2"/>
      <c r="H133" s="2"/>
      <c r="I133" s="2"/>
      <c r="J133" s="2"/>
    </row>
    <row r="134" spans="1:10" ht="13.5" x14ac:dyDescent="0.25">
      <c r="A134" s="216" t="s">
        <v>660</v>
      </c>
      <c r="B134" s="215"/>
      <c r="C134" s="2"/>
      <c r="D134" s="2"/>
      <c r="E134" s="2">
        <v>764</v>
      </c>
      <c r="F134" s="2">
        <v>1500</v>
      </c>
      <c r="G134" s="2">
        <v>1500</v>
      </c>
      <c r="H134" s="2">
        <v>1500</v>
      </c>
      <c r="I134" s="2">
        <v>1500</v>
      </c>
      <c r="J134" s="2">
        <v>1500</v>
      </c>
    </row>
    <row r="135" spans="1:10" x14ac:dyDescent="0.2">
      <c r="A135" s="215" t="s">
        <v>1644</v>
      </c>
      <c r="B135" s="215"/>
      <c r="C135" s="2"/>
      <c r="D135" s="2">
        <v>1500</v>
      </c>
      <c r="E135" s="2"/>
      <c r="F135" s="2"/>
      <c r="G135" s="2"/>
      <c r="H135" s="2"/>
      <c r="I135" s="2"/>
      <c r="J135" s="2"/>
    </row>
    <row r="136" spans="1:10" x14ac:dyDescent="0.2">
      <c r="A136" s="215"/>
      <c r="B136" s="215"/>
      <c r="C136" s="18"/>
      <c r="D136" s="2"/>
      <c r="E136" s="2"/>
      <c r="F136" s="2"/>
      <c r="G136" s="2"/>
      <c r="H136" s="2"/>
      <c r="I136" s="2"/>
      <c r="J136" s="2"/>
    </row>
    <row r="137" spans="1:10" ht="15" x14ac:dyDescent="0.35">
      <c r="A137" s="216" t="s">
        <v>661</v>
      </c>
      <c r="B137" s="215"/>
      <c r="C137" s="2"/>
      <c r="D137" s="10">
        <v>0</v>
      </c>
      <c r="E137" s="10">
        <v>5095</v>
      </c>
      <c r="F137" s="10">
        <v>2000</v>
      </c>
      <c r="G137" s="10">
        <v>2000</v>
      </c>
      <c r="H137" s="10">
        <v>2000</v>
      </c>
      <c r="I137" s="10">
        <v>2000</v>
      </c>
      <c r="J137" s="10">
        <v>2000</v>
      </c>
    </row>
    <row r="138" spans="1:10" x14ac:dyDescent="0.2">
      <c r="A138" s="215" t="s">
        <v>1434</v>
      </c>
      <c r="B138" s="215"/>
      <c r="C138" s="2"/>
      <c r="D138" s="215"/>
      <c r="E138" s="215"/>
      <c r="F138" s="215"/>
      <c r="G138" s="215"/>
      <c r="H138" s="227"/>
      <c r="I138" s="231"/>
    </row>
    <row r="139" spans="1:10" x14ac:dyDescent="0.2">
      <c r="B139" s="215"/>
      <c r="C139" s="2"/>
      <c r="D139" s="2"/>
      <c r="E139" s="3"/>
      <c r="H139" s="227"/>
      <c r="I139" s="231"/>
    </row>
    <row r="140" spans="1:10" x14ac:dyDescent="0.2">
      <c r="A140" s="183" t="s">
        <v>1151</v>
      </c>
      <c r="B140" s="215"/>
      <c r="C140" s="2"/>
      <c r="D140" s="2"/>
      <c r="E140" s="2">
        <f t="shared" ref="E140:J140" si="1">SUM(E6:E139)</f>
        <v>477873</v>
      </c>
      <c r="F140" s="2">
        <f t="shared" si="1"/>
        <v>551444</v>
      </c>
      <c r="G140" s="2">
        <f t="shared" si="1"/>
        <v>547581</v>
      </c>
      <c r="H140" s="2">
        <f t="shared" si="1"/>
        <v>547581</v>
      </c>
      <c r="I140" s="2">
        <f t="shared" si="1"/>
        <v>555913</v>
      </c>
      <c r="J140" s="2">
        <f t="shared" si="1"/>
        <v>555913</v>
      </c>
    </row>
    <row r="141" spans="1:10" x14ac:dyDescent="0.2">
      <c r="B141" s="215"/>
      <c r="C141" s="2"/>
      <c r="D141" s="215"/>
      <c r="H141" s="227"/>
      <c r="I141" s="231"/>
    </row>
    <row r="142" spans="1:10" x14ac:dyDescent="0.2">
      <c r="A142" s="183" t="s">
        <v>519</v>
      </c>
      <c r="E142" s="2">
        <f t="shared" ref="E142:J142" si="2">SUM(E6:E73)</f>
        <v>447300</v>
      </c>
      <c r="F142" s="2">
        <f t="shared" si="2"/>
        <v>526854</v>
      </c>
      <c r="G142" s="2">
        <f t="shared" si="2"/>
        <v>521357</v>
      </c>
      <c r="H142" s="2">
        <f t="shared" si="2"/>
        <v>521357</v>
      </c>
      <c r="I142" s="2">
        <f t="shared" si="2"/>
        <v>529689</v>
      </c>
      <c r="J142" s="2">
        <f t="shared" si="2"/>
        <v>529689</v>
      </c>
    </row>
    <row r="143" spans="1:10" x14ac:dyDescent="0.2">
      <c r="A143" s="183" t="s">
        <v>809</v>
      </c>
      <c r="E143" s="2">
        <f t="shared" ref="E143:J143" si="3">SUM(E74:E134)</f>
        <v>25478</v>
      </c>
      <c r="F143" s="2">
        <f t="shared" si="3"/>
        <v>22590</v>
      </c>
      <c r="G143" s="2">
        <f t="shared" si="3"/>
        <v>24224</v>
      </c>
      <c r="H143" s="2">
        <f t="shared" ref="H143:I143" si="4">SUM(H74:H134)</f>
        <v>24224</v>
      </c>
      <c r="I143" s="2">
        <f t="shared" si="4"/>
        <v>24224</v>
      </c>
      <c r="J143" s="2">
        <f t="shared" si="3"/>
        <v>24224</v>
      </c>
    </row>
    <row r="144" spans="1:10" ht="15" x14ac:dyDescent="0.35">
      <c r="A144" s="183" t="s">
        <v>810</v>
      </c>
      <c r="E144" s="10">
        <f t="shared" ref="E144:J144" si="5">SUM(E137:E139)</f>
        <v>5095</v>
      </c>
      <c r="F144" s="10">
        <f t="shared" si="5"/>
        <v>2000</v>
      </c>
      <c r="G144" s="10">
        <f t="shared" si="5"/>
        <v>2000</v>
      </c>
      <c r="H144" s="10">
        <f t="shared" ref="H144:I144" si="6">SUM(H137:H139)</f>
        <v>2000</v>
      </c>
      <c r="I144" s="10">
        <f t="shared" si="6"/>
        <v>2000</v>
      </c>
      <c r="J144" s="10">
        <f t="shared" si="5"/>
        <v>2000</v>
      </c>
    </row>
    <row r="145" spans="1:10" x14ac:dyDescent="0.2">
      <c r="A145" s="183" t="s">
        <v>1073</v>
      </c>
      <c r="E145" s="2">
        <f t="shared" ref="E145:J145" si="7">SUM(E142:E144)</f>
        <v>477873</v>
      </c>
      <c r="F145" s="2">
        <f t="shared" si="7"/>
        <v>551444</v>
      </c>
      <c r="G145" s="2">
        <f t="shared" si="7"/>
        <v>547581</v>
      </c>
      <c r="H145" s="2">
        <f t="shared" ref="H145:I145" si="8">SUM(H142:H144)</f>
        <v>547581</v>
      </c>
      <c r="I145" s="2">
        <f t="shared" si="8"/>
        <v>555913</v>
      </c>
      <c r="J145" s="2">
        <f t="shared" si="7"/>
        <v>555913</v>
      </c>
    </row>
    <row r="146" spans="1:10" x14ac:dyDescent="0.2">
      <c r="H146" s="227"/>
      <c r="I146" s="231"/>
    </row>
    <row r="147" spans="1:10" x14ac:dyDescent="0.2">
      <c r="I147" s="231"/>
    </row>
    <row r="148" spans="1:10" x14ac:dyDescent="0.2">
      <c r="I148" s="231"/>
    </row>
    <row r="149" spans="1:10" x14ac:dyDescent="0.2">
      <c r="I149" s="231"/>
    </row>
    <row r="150" spans="1:10" x14ac:dyDescent="0.2">
      <c r="I150" s="231"/>
    </row>
    <row r="151" spans="1:10" x14ac:dyDescent="0.2">
      <c r="I151" s="231"/>
    </row>
    <row r="152" spans="1:10" x14ac:dyDescent="0.2">
      <c r="I152" s="231"/>
    </row>
    <row r="153" spans="1:10" x14ac:dyDescent="0.2">
      <c r="I153" s="231"/>
    </row>
    <row r="154" spans="1:10" x14ac:dyDescent="0.2">
      <c r="I154" s="231"/>
    </row>
    <row r="155" spans="1:10" x14ac:dyDescent="0.2">
      <c r="I155" s="231"/>
    </row>
    <row r="156" spans="1:10" x14ac:dyDescent="0.2">
      <c r="I156" s="231"/>
    </row>
    <row r="157" spans="1:10" x14ac:dyDescent="0.2">
      <c r="I157" s="231"/>
    </row>
    <row r="158" spans="1:10" x14ac:dyDescent="0.2">
      <c r="I158" s="231"/>
    </row>
    <row r="159" spans="1:10" x14ac:dyDescent="0.2">
      <c r="I159" s="231"/>
    </row>
    <row r="160" spans="1:10" x14ac:dyDescent="0.2">
      <c r="I160" s="231"/>
    </row>
    <row r="161" spans="9:9" x14ac:dyDescent="0.2">
      <c r="I161" s="231"/>
    </row>
    <row r="162" spans="9:9" x14ac:dyDescent="0.2">
      <c r="I162" s="231"/>
    </row>
    <row r="163" spans="9:9" x14ac:dyDescent="0.2">
      <c r="I163" s="231"/>
    </row>
    <row r="164" spans="9:9" x14ac:dyDescent="0.2">
      <c r="I164" s="231"/>
    </row>
    <row r="165" spans="9:9" x14ac:dyDescent="0.2">
      <c r="I165" s="231"/>
    </row>
    <row r="166" spans="9:9" x14ac:dyDescent="0.2">
      <c r="I166" s="231"/>
    </row>
    <row r="167" spans="9:9" x14ac:dyDescent="0.2">
      <c r="I167" s="231"/>
    </row>
    <row r="168" spans="9:9" x14ac:dyDescent="0.2">
      <c r="I168" s="231"/>
    </row>
  </sheetData>
  <mergeCells count="1">
    <mergeCell ref="A1:J1"/>
  </mergeCells>
  <phoneticPr fontId="0" type="noConversion"/>
  <printOptions gridLines="1"/>
  <pageMargins left="0.75" right="0.16" top="0.51" bottom="0.22" header="0.5" footer="0.5"/>
  <pageSetup scale="86" fitToHeight="16" orientation="landscape" r:id="rId1"/>
  <headerFooter alignWithMargins="0"/>
  <rowBreaks count="2" manualBreakCount="2">
    <brk id="73" max="9" man="1"/>
    <brk id="115" max="9"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K383"/>
  <sheetViews>
    <sheetView view="pageBreakPreview" zoomScaleNormal="100" zoomScaleSheetLayoutView="100" workbookViewId="0">
      <pane ySplit="5" topLeftCell="A339" activePane="bottomLeft" state="frozen"/>
      <selection activeCell="D43" sqref="D43"/>
      <selection pane="bottomLeft" activeCell="G350" sqref="G350"/>
    </sheetView>
  </sheetViews>
  <sheetFormatPr defaultColWidth="51.140625" defaultRowHeight="12.75" x14ac:dyDescent="0.2"/>
  <cols>
    <col min="1" max="1" width="51.140625" style="183" customWidth="1"/>
    <col min="2" max="6" width="10.85546875" style="183" customWidth="1"/>
    <col min="7" max="7" width="11.7109375" style="183" bestFit="1" customWidth="1"/>
    <col min="8" max="8" width="12.85546875" style="183" customWidth="1"/>
    <col min="9" max="9" width="11.28515625" style="183" bestFit="1" customWidth="1"/>
    <col min="10" max="10" width="10.85546875" style="183" customWidth="1"/>
    <col min="11" max="73" width="12.7109375" style="183" customWidth="1"/>
    <col min="74" max="16384" width="51.140625" style="183"/>
  </cols>
  <sheetData>
    <row r="1" spans="1:10" x14ac:dyDescent="0.2">
      <c r="A1" s="254" t="e">
        <f>#REF!</f>
        <v>#REF!</v>
      </c>
      <c r="B1" s="255"/>
      <c r="C1" s="255"/>
      <c r="D1" s="255"/>
      <c r="E1" s="255"/>
      <c r="F1" s="255"/>
      <c r="G1" s="255"/>
      <c r="H1" s="255"/>
      <c r="I1" s="255"/>
      <c r="J1" s="255"/>
    </row>
    <row r="2" spans="1:10" ht="18.75" x14ac:dyDescent="0.3">
      <c r="A2" s="91" t="s">
        <v>1570</v>
      </c>
      <c r="B2" s="91"/>
      <c r="C2" s="91"/>
      <c r="D2" s="91"/>
      <c r="E2" s="91"/>
      <c r="F2" s="91"/>
      <c r="G2" s="236"/>
      <c r="H2" s="236"/>
      <c r="I2" s="236"/>
      <c r="J2" s="236"/>
    </row>
    <row r="3" spans="1:10" x14ac:dyDescent="0.2">
      <c r="A3" s="236"/>
      <c r="B3" s="2"/>
      <c r="C3" s="2"/>
      <c r="D3" s="2"/>
      <c r="E3" s="2"/>
      <c r="F3" s="2"/>
      <c r="G3" s="236"/>
      <c r="H3" s="236"/>
      <c r="I3" s="236"/>
      <c r="J3" s="236"/>
    </row>
    <row r="4" spans="1:10" x14ac:dyDescent="0.2">
      <c r="A4" s="236"/>
      <c r="B4" s="2"/>
      <c r="C4" s="2"/>
      <c r="D4" s="2"/>
      <c r="E4" s="15" t="s">
        <v>204</v>
      </c>
      <c r="F4" s="15" t="s">
        <v>205</v>
      </c>
      <c r="G4" s="15" t="s">
        <v>61</v>
      </c>
      <c r="H4" s="15" t="s">
        <v>358</v>
      </c>
      <c r="I4" s="15" t="s">
        <v>270</v>
      </c>
      <c r="J4" s="15" t="s">
        <v>301</v>
      </c>
    </row>
    <row r="5" spans="1:10" ht="15" x14ac:dyDescent="0.35">
      <c r="A5" s="236"/>
      <c r="B5" s="2"/>
      <c r="C5" s="2"/>
      <c r="D5" s="2"/>
      <c r="E5" s="237" t="s">
        <v>1757</v>
      </c>
      <c r="F5" s="237" t="s">
        <v>1838</v>
      </c>
      <c r="G5" s="237" t="s">
        <v>1977</v>
      </c>
      <c r="H5" s="237" t="s">
        <v>1977</v>
      </c>
      <c r="I5" s="237" t="s">
        <v>1977</v>
      </c>
      <c r="J5" s="237" t="s">
        <v>1977</v>
      </c>
    </row>
    <row r="6" spans="1:10" ht="13.5" x14ac:dyDescent="0.25">
      <c r="A6" s="249" t="s">
        <v>662</v>
      </c>
      <c r="B6" s="224"/>
      <c r="C6" s="224"/>
      <c r="D6" s="224"/>
      <c r="E6" s="224">
        <v>41746</v>
      </c>
      <c r="F6" s="224">
        <v>43407</v>
      </c>
      <c r="G6" s="224">
        <v>42588</v>
      </c>
      <c r="H6" s="224">
        <v>42588</v>
      </c>
      <c r="I6" s="224">
        <v>42588</v>
      </c>
      <c r="J6" s="224">
        <v>44650</v>
      </c>
    </row>
    <row r="7" spans="1:10" x14ac:dyDescent="0.2">
      <c r="A7" s="225" t="s">
        <v>347</v>
      </c>
      <c r="B7" s="224">
        <v>52</v>
      </c>
      <c r="C7" s="224">
        <v>858.66</v>
      </c>
      <c r="D7" s="226">
        <f>ROUND(B7*C7,0)</f>
        <v>44650</v>
      </c>
      <c r="E7" s="224"/>
      <c r="F7" s="224"/>
      <c r="G7" s="224"/>
      <c r="H7" s="224"/>
      <c r="I7" s="224"/>
      <c r="J7" s="224"/>
    </row>
    <row r="8" spans="1:10" x14ac:dyDescent="0.2">
      <c r="A8" s="225" t="s">
        <v>1073</v>
      </c>
      <c r="B8" s="224"/>
      <c r="C8" s="224"/>
      <c r="D8" s="224">
        <f>SUM(D7:D7)</f>
        <v>44650</v>
      </c>
      <c r="E8" s="224"/>
      <c r="F8" s="224"/>
      <c r="G8" s="224"/>
      <c r="H8" s="224"/>
      <c r="I8" s="224"/>
      <c r="J8" s="224"/>
    </row>
    <row r="9" spans="1:10" x14ac:dyDescent="0.2">
      <c r="A9" s="225"/>
      <c r="B9" s="224"/>
      <c r="C9" s="224"/>
      <c r="D9" s="224"/>
      <c r="E9" s="224"/>
      <c r="F9" s="224"/>
      <c r="G9" s="224"/>
      <c r="H9" s="224"/>
      <c r="I9" s="224"/>
      <c r="J9" s="224"/>
    </row>
    <row r="10" spans="1:10" ht="13.5" x14ac:dyDescent="0.25">
      <c r="A10" s="249" t="s">
        <v>1161</v>
      </c>
      <c r="B10" s="224"/>
      <c r="C10" s="224"/>
      <c r="D10" s="224"/>
      <c r="E10" s="224">
        <v>215448</v>
      </c>
      <c r="F10" s="224">
        <v>277298</v>
      </c>
      <c r="G10" s="224">
        <v>274981</v>
      </c>
      <c r="H10" s="224">
        <v>274981</v>
      </c>
      <c r="I10" s="224">
        <v>277113</v>
      </c>
      <c r="J10" s="224">
        <v>284644</v>
      </c>
    </row>
    <row r="11" spans="1:10" x14ac:dyDescent="0.2">
      <c r="A11" s="225" t="s">
        <v>206</v>
      </c>
      <c r="B11" s="224">
        <v>52</v>
      </c>
      <c r="C11" s="224">
        <v>1676</v>
      </c>
      <c r="D11" s="224">
        <f>ROUND(B11*C11,0)</f>
        <v>87152</v>
      </c>
      <c r="E11" s="224"/>
      <c r="F11" s="224"/>
      <c r="G11" s="224"/>
      <c r="H11" s="224"/>
      <c r="I11" s="224"/>
      <c r="J11" s="224"/>
    </row>
    <row r="12" spans="1:10" x14ac:dyDescent="0.2">
      <c r="A12" s="225" t="s">
        <v>1015</v>
      </c>
      <c r="B12" s="224">
        <v>52</v>
      </c>
      <c r="C12" s="224">
        <v>1237</v>
      </c>
      <c r="D12" s="224">
        <f>ROUND(B12*C12,0)</f>
        <v>64324</v>
      </c>
      <c r="E12" s="224"/>
      <c r="F12" s="224"/>
      <c r="G12" s="224"/>
      <c r="H12" s="224"/>
      <c r="I12" s="224"/>
      <c r="J12" s="224"/>
    </row>
    <row r="13" spans="1:10" x14ac:dyDescent="0.2">
      <c r="A13" s="225" t="s">
        <v>207</v>
      </c>
      <c r="B13" s="224">
        <v>52</v>
      </c>
      <c r="C13" s="224">
        <v>1246</v>
      </c>
      <c r="D13" s="224">
        <f>ROUND(B13*C13,0)</f>
        <v>64792</v>
      </c>
      <c r="E13" s="224"/>
      <c r="F13" s="224"/>
      <c r="G13" s="224"/>
      <c r="H13" s="224"/>
      <c r="I13" s="224"/>
      <c r="J13" s="224"/>
    </row>
    <row r="14" spans="1:10" x14ac:dyDescent="0.2">
      <c r="A14" s="225" t="s">
        <v>1841</v>
      </c>
      <c r="B14" s="224">
        <v>52</v>
      </c>
      <c r="C14" s="224">
        <v>1148.04</v>
      </c>
      <c r="D14" s="224">
        <f>ROUND(B14*C14,0)</f>
        <v>59698</v>
      </c>
      <c r="E14" s="224"/>
      <c r="F14" s="224"/>
      <c r="G14" s="224"/>
      <c r="H14" s="224"/>
      <c r="I14" s="224"/>
      <c r="J14" s="224"/>
    </row>
    <row r="15" spans="1:10" x14ac:dyDescent="0.2">
      <c r="A15" s="225" t="s">
        <v>621</v>
      </c>
      <c r="B15" s="224">
        <v>112</v>
      </c>
      <c r="C15" s="224">
        <f>AVERAGE(C12:C14)/40*1.5</f>
        <v>45.387999999999991</v>
      </c>
      <c r="D15" s="224">
        <f>+C15*B15</f>
        <v>5083.4559999999992</v>
      </c>
      <c r="E15" s="224"/>
      <c r="F15" s="224"/>
      <c r="G15" s="224"/>
      <c r="H15" s="224"/>
      <c r="I15" s="224"/>
      <c r="J15" s="224"/>
    </row>
    <row r="16" spans="1:10" x14ac:dyDescent="0.2">
      <c r="A16" s="225" t="s">
        <v>824</v>
      </c>
      <c r="B16" s="224"/>
      <c r="C16" s="224"/>
      <c r="D16" s="226">
        <v>3595</v>
      </c>
      <c r="E16" s="224"/>
      <c r="F16" s="224"/>
      <c r="G16" s="224"/>
      <c r="H16" s="224"/>
      <c r="I16" s="224"/>
      <c r="J16" s="224"/>
    </row>
    <row r="17" spans="1:10" x14ac:dyDescent="0.2">
      <c r="A17" s="225" t="s">
        <v>1073</v>
      </c>
      <c r="B17" s="224"/>
      <c r="C17" s="224"/>
      <c r="D17" s="224">
        <f>SUM(D11:D16)</f>
        <v>284644.45600000001</v>
      </c>
      <c r="E17" s="224"/>
      <c r="F17" s="224"/>
      <c r="G17" s="224"/>
      <c r="H17" s="224"/>
      <c r="I17" s="224"/>
      <c r="J17" s="224"/>
    </row>
    <row r="18" spans="1:10" x14ac:dyDescent="0.2">
      <c r="A18" s="225"/>
      <c r="B18" s="224"/>
      <c r="C18" s="224"/>
      <c r="D18" s="224"/>
      <c r="E18" s="224"/>
      <c r="F18" s="224"/>
      <c r="G18" s="224"/>
      <c r="H18" s="224"/>
      <c r="I18" s="224"/>
      <c r="J18" s="224"/>
    </row>
    <row r="19" spans="1:10" ht="13.5" x14ac:dyDescent="0.25">
      <c r="A19" s="249" t="s">
        <v>612</v>
      </c>
      <c r="B19" s="224"/>
      <c r="C19" s="224"/>
      <c r="D19" s="224"/>
      <c r="E19" s="224">
        <v>763033</v>
      </c>
      <c r="F19" s="224">
        <v>844343</v>
      </c>
      <c r="G19" s="224">
        <v>812312</v>
      </c>
      <c r="H19" s="224">
        <v>812312</v>
      </c>
      <c r="I19" s="224">
        <v>857604</v>
      </c>
      <c r="J19" s="224">
        <v>857604</v>
      </c>
    </row>
    <row r="20" spans="1:10" x14ac:dyDescent="0.2">
      <c r="A20" s="225" t="s">
        <v>1754</v>
      </c>
      <c r="B20" s="224">
        <v>52</v>
      </c>
      <c r="C20" s="224">
        <v>884</v>
      </c>
      <c r="D20" s="224">
        <f t="shared" ref="D20:D38" si="0">+C20*B20</f>
        <v>45968</v>
      </c>
      <c r="E20" s="224"/>
      <c r="F20" s="224"/>
      <c r="G20" s="224"/>
      <c r="H20" s="224"/>
      <c r="I20" s="224"/>
      <c r="J20" s="224"/>
    </row>
    <row r="21" spans="1:10" x14ac:dyDescent="0.2">
      <c r="A21" s="225" t="s">
        <v>1754</v>
      </c>
      <c r="B21" s="224">
        <v>52</v>
      </c>
      <c r="C21" s="224">
        <v>932</v>
      </c>
      <c r="D21" s="224">
        <f t="shared" si="0"/>
        <v>48464</v>
      </c>
      <c r="E21" s="224"/>
      <c r="F21" s="224"/>
      <c r="G21" s="224"/>
      <c r="H21" s="224"/>
      <c r="I21" s="224"/>
      <c r="J21" s="224"/>
    </row>
    <row r="22" spans="1:10" x14ac:dyDescent="0.2">
      <c r="A22" s="225" t="s">
        <v>1754</v>
      </c>
      <c r="B22" s="224">
        <v>52</v>
      </c>
      <c r="C22" s="224">
        <v>846</v>
      </c>
      <c r="D22" s="224">
        <f t="shared" si="0"/>
        <v>43992</v>
      </c>
      <c r="E22" s="224"/>
      <c r="F22" s="224"/>
      <c r="G22" s="224"/>
      <c r="H22" s="224"/>
      <c r="I22" s="224"/>
      <c r="J22" s="224"/>
    </row>
    <row r="23" spans="1:10" x14ac:dyDescent="0.2">
      <c r="A23" s="225" t="s">
        <v>1754</v>
      </c>
      <c r="B23" s="224">
        <v>52</v>
      </c>
      <c r="C23" s="224">
        <v>884</v>
      </c>
      <c r="D23" s="224">
        <f t="shared" si="0"/>
        <v>45968</v>
      </c>
      <c r="E23" s="224"/>
      <c r="F23" s="224"/>
      <c r="G23" s="224"/>
      <c r="H23" s="224"/>
      <c r="I23" s="224"/>
      <c r="J23" s="224"/>
    </row>
    <row r="24" spans="1:10" x14ac:dyDescent="0.2">
      <c r="A24" s="225" t="s">
        <v>1754</v>
      </c>
      <c r="B24" s="224">
        <v>52</v>
      </c>
      <c r="C24" s="224">
        <v>884</v>
      </c>
      <c r="D24" s="224">
        <f t="shared" si="0"/>
        <v>45968</v>
      </c>
      <c r="E24" s="224"/>
      <c r="F24" s="224"/>
      <c r="G24" s="224"/>
      <c r="H24" s="224"/>
      <c r="I24" s="224"/>
      <c r="J24" s="224"/>
    </row>
    <row r="25" spans="1:10" x14ac:dyDescent="0.2">
      <c r="A25" s="225" t="s">
        <v>1754</v>
      </c>
      <c r="B25" s="224">
        <v>52</v>
      </c>
      <c r="C25" s="224">
        <v>918</v>
      </c>
      <c r="D25" s="224">
        <f t="shared" si="0"/>
        <v>47736</v>
      </c>
      <c r="E25" s="224"/>
      <c r="F25" s="224"/>
      <c r="G25" s="224"/>
      <c r="H25" s="224"/>
      <c r="I25" s="224"/>
      <c r="J25" s="224"/>
    </row>
    <row r="26" spans="1:10" x14ac:dyDescent="0.2">
      <c r="A26" s="225" t="s">
        <v>1754</v>
      </c>
      <c r="B26" s="224">
        <v>52</v>
      </c>
      <c r="C26" s="224">
        <v>846</v>
      </c>
      <c r="D26" s="224">
        <f t="shared" si="0"/>
        <v>43992</v>
      </c>
      <c r="E26" s="224"/>
      <c r="F26" s="224"/>
      <c r="G26" s="224"/>
      <c r="H26" s="224"/>
      <c r="I26" s="224"/>
      <c r="J26" s="224"/>
    </row>
    <row r="27" spans="1:10" x14ac:dyDescent="0.2">
      <c r="A27" s="225" t="s">
        <v>1754</v>
      </c>
      <c r="B27" s="224">
        <v>52</v>
      </c>
      <c r="C27" s="224">
        <v>846</v>
      </c>
      <c r="D27" s="224">
        <f t="shared" si="0"/>
        <v>43992</v>
      </c>
      <c r="E27" s="224"/>
      <c r="F27" s="224"/>
      <c r="G27" s="224"/>
      <c r="H27" s="224"/>
      <c r="I27" s="224"/>
      <c r="J27" s="224"/>
    </row>
    <row r="28" spans="1:10" x14ac:dyDescent="0.2">
      <c r="A28" s="225" t="s">
        <v>1754</v>
      </c>
      <c r="B28" s="224">
        <v>52</v>
      </c>
      <c r="C28" s="224">
        <v>918</v>
      </c>
      <c r="D28" s="224">
        <f t="shared" si="0"/>
        <v>47736</v>
      </c>
      <c r="E28" s="224"/>
      <c r="F28" s="224"/>
      <c r="G28" s="224"/>
      <c r="H28" s="224"/>
      <c r="I28" s="224"/>
      <c r="J28" s="224"/>
    </row>
    <row r="29" spans="1:10" x14ac:dyDescent="0.2">
      <c r="A29" s="225" t="s">
        <v>1754</v>
      </c>
      <c r="B29" s="224">
        <v>52</v>
      </c>
      <c r="C29" s="224">
        <v>918</v>
      </c>
      <c r="D29" s="224">
        <f t="shared" si="0"/>
        <v>47736</v>
      </c>
      <c r="E29" s="224"/>
      <c r="F29" s="224"/>
      <c r="G29" s="224"/>
      <c r="H29" s="224"/>
      <c r="I29" s="224"/>
      <c r="J29" s="224"/>
    </row>
    <row r="30" spans="1:10" x14ac:dyDescent="0.2">
      <c r="A30" s="225" t="s">
        <v>1754</v>
      </c>
      <c r="B30" s="224">
        <v>52</v>
      </c>
      <c r="C30" s="224">
        <v>884</v>
      </c>
      <c r="D30" s="224">
        <f t="shared" si="0"/>
        <v>45968</v>
      </c>
      <c r="E30" s="224"/>
      <c r="F30" s="224"/>
      <c r="G30" s="224"/>
      <c r="H30" s="224"/>
      <c r="I30" s="224"/>
      <c r="J30" s="224"/>
    </row>
    <row r="31" spans="1:10" x14ac:dyDescent="0.2">
      <c r="A31" s="225" t="s">
        <v>1754</v>
      </c>
      <c r="B31" s="224">
        <v>52</v>
      </c>
      <c r="C31" s="224">
        <v>884</v>
      </c>
      <c r="D31" s="224">
        <f t="shared" si="0"/>
        <v>45968</v>
      </c>
      <c r="E31" s="224"/>
      <c r="F31" s="224"/>
      <c r="G31" s="224"/>
      <c r="H31" s="224"/>
      <c r="I31" s="224"/>
      <c r="J31" s="224"/>
    </row>
    <row r="32" spans="1:10" s="231" customFormat="1" x14ac:dyDescent="0.2">
      <c r="A32" s="225" t="s">
        <v>2112</v>
      </c>
      <c r="B32" s="224">
        <v>52</v>
      </c>
      <c r="C32" s="224">
        <v>871</v>
      </c>
      <c r="D32" s="224">
        <f t="shared" si="0"/>
        <v>45292</v>
      </c>
      <c r="E32" s="224"/>
      <c r="F32" s="224"/>
      <c r="G32" s="224"/>
      <c r="H32" s="224"/>
      <c r="I32" s="224"/>
      <c r="J32" s="224"/>
    </row>
    <row r="33" spans="1:10" x14ac:dyDescent="0.2">
      <c r="A33" s="225" t="s">
        <v>1755</v>
      </c>
      <c r="B33" s="224">
        <v>52</v>
      </c>
      <c r="C33" s="224">
        <v>962</v>
      </c>
      <c r="D33" s="224">
        <f t="shared" si="0"/>
        <v>50024</v>
      </c>
      <c r="E33" s="224"/>
      <c r="F33" s="224"/>
      <c r="G33" s="224"/>
      <c r="H33" s="224"/>
      <c r="I33" s="224"/>
      <c r="J33" s="224"/>
    </row>
    <row r="34" spans="1:10" x14ac:dyDescent="0.2">
      <c r="A34" s="225" t="s">
        <v>1755</v>
      </c>
      <c r="B34" s="224">
        <v>52</v>
      </c>
      <c r="C34" s="224">
        <v>910</v>
      </c>
      <c r="D34" s="224">
        <f t="shared" si="0"/>
        <v>47320</v>
      </c>
      <c r="E34" s="224"/>
      <c r="F34" s="224"/>
      <c r="G34" s="224"/>
      <c r="H34" s="224"/>
      <c r="I34" s="224"/>
      <c r="J34" s="224"/>
    </row>
    <row r="35" spans="1:10" x14ac:dyDescent="0.2">
      <c r="A35" s="225" t="s">
        <v>1178</v>
      </c>
      <c r="B35" s="224">
        <v>52</v>
      </c>
      <c r="C35" s="224">
        <v>1044</v>
      </c>
      <c r="D35" s="224">
        <f t="shared" si="0"/>
        <v>54288</v>
      </c>
      <c r="E35" s="224"/>
      <c r="F35" s="224"/>
      <c r="G35" s="224"/>
      <c r="H35" s="224"/>
      <c r="I35" s="224"/>
      <c r="J35" s="224"/>
    </row>
    <row r="36" spans="1:10" x14ac:dyDescent="0.2">
      <c r="A36" s="225" t="s">
        <v>1527</v>
      </c>
      <c r="B36" s="224">
        <v>52</v>
      </c>
      <c r="C36" s="224">
        <v>664</v>
      </c>
      <c r="D36" s="224">
        <f t="shared" si="0"/>
        <v>34528</v>
      </c>
      <c r="E36" s="224"/>
      <c r="F36" s="224"/>
      <c r="G36" s="224"/>
      <c r="H36" s="224"/>
      <c r="I36" s="224"/>
      <c r="J36" s="224"/>
    </row>
    <row r="37" spans="1:10" x14ac:dyDescent="0.2">
      <c r="A37" s="225" t="s">
        <v>1527</v>
      </c>
      <c r="B37" s="224">
        <v>52</v>
      </c>
      <c r="C37" s="224">
        <v>695</v>
      </c>
      <c r="D37" s="224">
        <f t="shared" si="0"/>
        <v>36140</v>
      </c>
      <c r="E37" s="224"/>
      <c r="F37" s="224"/>
      <c r="G37" s="224"/>
      <c r="H37" s="224"/>
      <c r="I37" s="224"/>
      <c r="J37" s="224"/>
    </row>
    <row r="38" spans="1:10" x14ac:dyDescent="0.2">
      <c r="A38" s="225" t="s">
        <v>1527</v>
      </c>
      <c r="B38" s="224">
        <v>52</v>
      </c>
      <c r="C38" s="224">
        <v>618</v>
      </c>
      <c r="D38" s="224">
        <f t="shared" si="0"/>
        <v>32136</v>
      </c>
      <c r="E38" s="224"/>
      <c r="F38" s="224"/>
      <c r="G38" s="224"/>
      <c r="H38" s="224"/>
      <c r="I38" s="224"/>
      <c r="J38" s="224"/>
    </row>
    <row r="39" spans="1:10" x14ac:dyDescent="0.2">
      <c r="A39" s="225" t="s">
        <v>1514</v>
      </c>
      <c r="B39" s="224"/>
      <c r="C39" s="224"/>
      <c r="D39" s="224">
        <v>3325</v>
      </c>
      <c r="E39" s="224"/>
      <c r="F39" s="224"/>
      <c r="G39" s="224"/>
      <c r="H39" s="224"/>
      <c r="I39" s="224"/>
      <c r="J39" s="224"/>
    </row>
    <row r="40" spans="1:10" x14ac:dyDescent="0.2">
      <c r="A40" s="225" t="s">
        <v>824</v>
      </c>
      <c r="B40" s="224" t="s">
        <v>345</v>
      </c>
      <c r="C40" s="224" t="s">
        <v>724</v>
      </c>
      <c r="D40" s="226">
        <v>1063</v>
      </c>
      <c r="E40" s="224"/>
      <c r="F40" s="224"/>
      <c r="G40" s="224"/>
      <c r="H40" s="224"/>
      <c r="I40" s="224"/>
      <c r="J40" s="224"/>
    </row>
    <row r="41" spans="1:10" x14ac:dyDescent="0.2">
      <c r="A41" s="225" t="s">
        <v>1073</v>
      </c>
      <c r="B41" s="224"/>
      <c r="C41" s="224"/>
      <c r="D41" s="224">
        <f>SUM(D20:D40)</f>
        <v>857604</v>
      </c>
      <c r="E41" s="224"/>
      <c r="F41" s="224"/>
      <c r="G41" s="224"/>
      <c r="H41" s="224"/>
      <c r="I41" s="224"/>
      <c r="J41" s="224"/>
    </row>
    <row r="42" spans="1:10" x14ac:dyDescent="0.2">
      <c r="A42" s="225"/>
      <c r="B42" s="224"/>
      <c r="C42" s="224"/>
      <c r="D42" s="224"/>
      <c r="E42" s="224"/>
      <c r="F42" s="224"/>
      <c r="G42" s="224"/>
      <c r="H42" s="224"/>
      <c r="I42" s="224"/>
      <c r="J42" s="224"/>
    </row>
    <row r="43" spans="1:10" ht="13.5" x14ac:dyDescent="0.25">
      <c r="A43" s="249" t="s">
        <v>477</v>
      </c>
      <c r="B43" s="224"/>
      <c r="C43" s="224"/>
      <c r="D43" s="224" t="s">
        <v>345</v>
      </c>
      <c r="E43" s="224">
        <v>17698</v>
      </c>
      <c r="F43" s="224">
        <v>30000</v>
      </c>
      <c r="G43" s="224">
        <v>30000</v>
      </c>
      <c r="H43" s="224">
        <v>30000</v>
      </c>
      <c r="I43" s="224">
        <v>30000</v>
      </c>
      <c r="J43" s="224">
        <v>31231</v>
      </c>
    </row>
    <row r="44" spans="1:10" x14ac:dyDescent="0.2">
      <c r="A44" s="225" t="s">
        <v>445</v>
      </c>
      <c r="B44" s="224"/>
      <c r="C44" s="224"/>
      <c r="D44" s="224"/>
      <c r="E44" s="224"/>
      <c r="F44" s="224"/>
      <c r="G44" s="224"/>
      <c r="H44" s="224"/>
      <c r="I44" s="224"/>
      <c r="J44" s="224"/>
    </row>
    <row r="45" spans="1:10" x14ac:dyDescent="0.2">
      <c r="A45" s="225" t="s">
        <v>448</v>
      </c>
      <c r="B45" s="224" t="s">
        <v>345</v>
      </c>
      <c r="C45" s="224"/>
      <c r="D45" s="224">
        <v>7000</v>
      </c>
      <c r="E45" s="224"/>
      <c r="F45" s="224"/>
      <c r="G45" s="224"/>
      <c r="H45" s="224"/>
      <c r="I45" s="224"/>
      <c r="J45" s="224"/>
    </row>
    <row r="46" spans="1:10" x14ac:dyDescent="0.2">
      <c r="A46" s="225" t="s">
        <v>446</v>
      </c>
      <c r="B46" s="224"/>
      <c r="C46" s="224"/>
      <c r="D46" s="224"/>
      <c r="E46" s="224"/>
      <c r="F46" s="224"/>
      <c r="G46" s="224"/>
      <c r="H46" s="224"/>
      <c r="I46" s="224"/>
      <c r="J46" s="224"/>
    </row>
    <row r="47" spans="1:10" x14ac:dyDescent="0.2">
      <c r="A47" s="225" t="s">
        <v>447</v>
      </c>
      <c r="B47" s="224"/>
      <c r="C47" s="224"/>
      <c r="D47" s="226">
        <f>23000+1231</f>
        <v>24231</v>
      </c>
      <c r="E47" s="224"/>
      <c r="F47" s="224"/>
      <c r="G47" s="224"/>
      <c r="H47" s="224"/>
      <c r="I47" s="224"/>
      <c r="J47" s="224"/>
    </row>
    <row r="48" spans="1:10" x14ac:dyDescent="0.2">
      <c r="A48" s="225" t="s">
        <v>1073</v>
      </c>
      <c r="B48" s="224"/>
      <c r="C48" s="224"/>
      <c r="D48" s="224">
        <f>SUM(D44:D47)</f>
        <v>31231</v>
      </c>
      <c r="E48" s="224"/>
      <c r="F48" s="224"/>
      <c r="G48" s="224"/>
      <c r="H48" s="224"/>
      <c r="I48" s="224"/>
      <c r="J48" s="224"/>
    </row>
    <row r="49" spans="1:10" x14ac:dyDescent="0.2">
      <c r="A49" s="225"/>
      <c r="B49" s="224"/>
      <c r="C49" s="224"/>
      <c r="D49" s="224"/>
      <c r="E49" s="224"/>
      <c r="F49" s="224"/>
      <c r="G49" s="224"/>
      <c r="H49" s="224"/>
      <c r="I49" s="224"/>
      <c r="J49" s="224"/>
    </row>
    <row r="50" spans="1:10" ht="13.5" x14ac:dyDescent="0.25">
      <c r="A50" s="249" t="s">
        <v>650</v>
      </c>
      <c r="B50" s="224"/>
      <c r="C50" s="224"/>
      <c r="D50" s="224"/>
      <c r="E50" s="224">
        <v>22545</v>
      </c>
      <c r="F50" s="224">
        <v>25920</v>
      </c>
      <c r="G50" s="224">
        <v>35998</v>
      </c>
      <c r="H50" s="224">
        <v>35998</v>
      </c>
      <c r="I50" s="224">
        <v>36247</v>
      </c>
      <c r="J50" s="224">
        <v>36247</v>
      </c>
    </row>
    <row r="51" spans="1:10" x14ac:dyDescent="0.2">
      <c r="A51" s="225" t="s">
        <v>1344</v>
      </c>
      <c r="B51" s="224">
        <v>1920</v>
      </c>
      <c r="C51" s="224">
        <v>13.5</v>
      </c>
      <c r="D51" s="224">
        <f>ROUND(B51*C51,0)</f>
        <v>25920</v>
      </c>
      <c r="E51" s="224"/>
      <c r="F51" s="224"/>
      <c r="G51" s="224"/>
      <c r="H51" s="224"/>
      <c r="I51" s="224"/>
      <c r="J51" s="224"/>
    </row>
    <row r="52" spans="1:10" x14ac:dyDescent="0.2">
      <c r="A52" s="225" t="s">
        <v>2048</v>
      </c>
      <c r="B52" s="224">
        <f>12*52</f>
        <v>624</v>
      </c>
      <c r="C52" s="224">
        <v>16.55</v>
      </c>
      <c r="D52" s="226">
        <f>ROUND((B52*C52),0)</f>
        <v>10327</v>
      </c>
      <c r="E52" s="224"/>
      <c r="F52" s="224"/>
      <c r="G52" s="224"/>
      <c r="H52" s="224"/>
      <c r="I52" s="224"/>
      <c r="J52" s="224"/>
    </row>
    <row r="53" spans="1:10" s="218" customFormat="1" x14ac:dyDescent="0.2">
      <c r="A53" s="225"/>
      <c r="B53" s="224"/>
      <c r="C53" s="224"/>
      <c r="D53" s="224">
        <f>SUM(D51:D52)</f>
        <v>36247</v>
      </c>
      <c r="E53" s="224"/>
      <c r="F53" s="224"/>
      <c r="G53" s="224"/>
      <c r="H53" s="224"/>
      <c r="I53" s="224"/>
      <c r="J53" s="224"/>
    </row>
    <row r="54" spans="1:10" x14ac:dyDescent="0.2">
      <c r="A54" s="225" t="s">
        <v>345</v>
      </c>
      <c r="B54" s="224"/>
      <c r="C54" s="224"/>
      <c r="D54" s="224" t="s">
        <v>345</v>
      </c>
      <c r="E54" s="224"/>
      <c r="F54" s="224"/>
      <c r="G54" s="224"/>
      <c r="H54" s="224"/>
      <c r="I54" s="224"/>
      <c r="J54" s="224"/>
    </row>
    <row r="55" spans="1:10" ht="13.5" x14ac:dyDescent="0.25">
      <c r="A55" s="249" t="s">
        <v>658</v>
      </c>
      <c r="B55" s="224"/>
      <c r="C55" s="224"/>
      <c r="D55" s="224" t="s">
        <v>345</v>
      </c>
      <c r="E55" s="224">
        <v>80891</v>
      </c>
      <c r="F55" s="224">
        <v>81500</v>
      </c>
      <c r="G55" s="224">
        <v>81500</v>
      </c>
      <c r="H55" s="224">
        <v>81500</v>
      </c>
      <c r="I55" s="224">
        <v>81500</v>
      </c>
      <c r="J55" s="224">
        <v>81500</v>
      </c>
    </row>
    <row r="56" spans="1:10" x14ac:dyDescent="0.2">
      <c r="A56" s="225" t="s">
        <v>446</v>
      </c>
      <c r="B56" s="224" t="s">
        <v>345</v>
      </c>
      <c r="C56" s="224"/>
      <c r="D56" s="224" t="s">
        <v>345</v>
      </c>
      <c r="E56" s="224"/>
      <c r="F56" s="224"/>
      <c r="G56" s="224"/>
      <c r="H56" s="224"/>
      <c r="I56" s="224"/>
      <c r="J56" s="224"/>
    </row>
    <row r="57" spans="1:10" x14ac:dyDescent="0.2">
      <c r="A57" s="225" t="s">
        <v>447</v>
      </c>
      <c r="B57" s="224"/>
      <c r="C57" s="224"/>
      <c r="D57" s="224">
        <f>76500</f>
        <v>76500</v>
      </c>
      <c r="E57" s="224"/>
      <c r="F57" s="224"/>
      <c r="G57" s="224"/>
      <c r="H57" s="224"/>
      <c r="I57" s="224"/>
      <c r="J57" s="224"/>
    </row>
    <row r="58" spans="1:10" x14ac:dyDescent="0.2">
      <c r="A58" s="225" t="s">
        <v>445</v>
      </c>
      <c r="B58" s="224"/>
      <c r="C58" s="224"/>
      <c r="D58" s="224"/>
      <c r="E58" s="224"/>
      <c r="F58" s="224"/>
      <c r="G58" s="224"/>
      <c r="H58" s="224"/>
      <c r="I58" s="224"/>
      <c r="J58" s="224"/>
    </row>
    <row r="59" spans="1:10" x14ac:dyDescent="0.2">
      <c r="A59" s="225" t="s">
        <v>448</v>
      </c>
      <c r="B59" s="224"/>
      <c r="C59" s="224"/>
      <c r="D59" s="226">
        <v>5000</v>
      </c>
      <c r="E59" s="224"/>
      <c r="F59" s="224"/>
      <c r="G59" s="224"/>
      <c r="H59" s="224"/>
      <c r="I59" s="224"/>
      <c r="J59" s="224"/>
    </row>
    <row r="60" spans="1:10" ht="16.899999999999999" customHeight="1" x14ac:dyDescent="0.2">
      <c r="A60" s="225" t="s">
        <v>1073</v>
      </c>
      <c r="B60" s="224"/>
      <c r="C60" s="224"/>
      <c r="D60" s="224">
        <f>SUM(D56:D59)</f>
        <v>81500</v>
      </c>
      <c r="E60" s="224"/>
      <c r="F60" s="224"/>
      <c r="G60" s="224"/>
      <c r="H60" s="224"/>
      <c r="I60" s="224"/>
      <c r="J60" s="224"/>
    </row>
    <row r="61" spans="1:10" x14ac:dyDescent="0.2">
      <c r="A61" s="225"/>
      <c r="B61" s="224" t="s">
        <v>345</v>
      </c>
      <c r="C61" s="224" t="s">
        <v>345</v>
      </c>
      <c r="D61" s="224" t="s">
        <v>345</v>
      </c>
      <c r="E61" s="224"/>
      <c r="F61" s="224"/>
      <c r="G61" s="224"/>
      <c r="H61" s="224"/>
      <c r="I61" s="224"/>
      <c r="J61" s="224"/>
    </row>
    <row r="62" spans="1:10" ht="13.5" x14ac:dyDescent="0.25">
      <c r="A62" s="249" t="s">
        <v>853</v>
      </c>
      <c r="B62" s="224"/>
      <c r="C62" s="224"/>
      <c r="D62" s="224"/>
      <c r="E62" s="224">
        <v>88721</v>
      </c>
      <c r="F62" s="224">
        <v>99576</v>
      </c>
      <c r="G62" s="224">
        <v>97720</v>
      </c>
      <c r="H62" s="224">
        <v>97720</v>
      </c>
      <c r="I62" s="224">
        <v>101367</v>
      </c>
      <c r="J62" s="224">
        <v>102195</v>
      </c>
    </row>
    <row r="63" spans="1:10" hidden="1" x14ac:dyDescent="0.2">
      <c r="A63" s="225" t="s">
        <v>762</v>
      </c>
      <c r="B63" s="224">
        <f>+D7</f>
        <v>44650</v>
      </c>
      <c r="C63" s="224">
        <v>7.6499999999999999E-2</v>
      </c>
      <c r="D63" s="224">
        <f t="shared" ref="D63:D68" si="1">ROUND(B63*C63,0)</f>
        <v>3416</v>
      </c>
      <c r="E63" s="224"/>
      <c r="F63" s="224"/>
      <c r="G63" s="224"/>
      <c r="H63" s="224"/>
      <c r="I63" s="224"/>
      <c r="J63" s="224"/>
    </row>
    <row r="64" spans="1:10" hidden="1" x14ac:dyDescent="0.2">
      <c r="A64" s="225" t="s">
        <v>1271</v>
      </c>
      <c r="B64" s="224">
        <f>+D17</f>
        <v>284644.45600000001</v>
      </c>
      <c r="C64" s="224">
        <v>7.6499999999999999E-2</v>
      </c>
      <c r="D64" s="224">
        <f t="shared" si="1"/>
        <v>21775</v>
      </c>
      <c r="E64" s="224"/>
      <c r="F64" s="224"/>
      <c r="G64" s="224"/>
      <c r="H64" s="224"/>
      <c r="I64" s="224"/>
      <c r="J64" s="224"/>
    </row>
    <row r="65" spans="1:10" hidden="1" x14ac:dyDescent="0.2">
      <c r="A65" s="225" t="s">
        <v>688</v>
      </c>
      <c r="B65" s="224">
        <f>+D41</f>
        <v>857604</v>
      </c>
      <c r="C65" s="224">
        <v>7.6499999999999999E-2</v>
      </c>
      <c r="D65" s="224">
        <f t="shared" si="1"/>
        <v>65607</v>
      </c>
      <c r="E65" s="224"/>
      <c r="F65" s="224"/>
      <c r="G65" s="224"/>
      <c r="H65" s="224"/>
      <c r="I65" s="224"/>
      <c r="J65" s="224"/>
    </row>
    <row r="66" spans="1:10" hidden="1" x14ac:dyDescent="0.2">
      <c r="A66" s="225" t="s">
        <v>763</v>
      </c>
      <c r="B66" s="224">
        <f>+D48</f>
        <v>31231</v>
      </c>
      <c r="C66" s="224">
        <v>7.6499999999999999E-2</v>
      </c>
      <c r="D66" s="224">
        <f t="shared" si="1"/>
        <v>2389</v>
      </c>
      <c r="E66" s="224"/>
      <c r="F66" s="224"/>
      <c r="G66" s="224"/>
      <c r="H66" s="224"/>
      <c r="I66" s="224"/>
      <c r="J66" s="224"/>
    </row>
    <row r="67" spans="1:10" hidden="1" x14ac:dyDescent="0.2">
      <c r="A67" s="225" t="s">
        <v>155</v>
      </c>
      <c r="B67" s="224">
        <f>+D53</f>
        <v>36247</v>
      </c>
      <c r="C67" s="224">
        <v>7.6499999999999999E-2</v>
      </c>
      <c r="D67" s="224">
        <f t="shared" si="1"/>
        <v>2773</v>
      </c>
      <c r="E67" s="224"/>
      <c r="F67" s="224"/>
      <c r="G67" s="224"/>
      <c r="H67" s="224"/>
      <c r="I67" s="224"/>
      <c r="J67" s="224"/>
    </row>
    <row r="68" spans="1:10" hidden="1" x14ac:dyDescent="0.2">
      <c r="A68" s="225" t="s">
        <v>156</v>
      </c>
      <c r="B68" s="224">
        <f>+D60</f>
        <v>81500</v>
      </c>
      <c r="C68" s="224">
        <v>7.6499999999999999E-2</v>
      </c>
      <c r="D68" s="224">
        <f t="shared" si="1"/>
        <v>6235</v>
      </c>
      <c r="E68" s="224"/>
      <c r="F68" s="224"/>
      <c r="G68" s="224"/>
      <c r="H68" s="224"/>
      <c r="I68" s="224"/>
      <c r="J68" s="224"/>
    </row>
    <row r="69" spans="1:10" hidden="1" x14ac:dyDescent="0.2">
      <c r="A69" s="225" t="s">
        <v>1073</v>
      </c>
      <c r="B69" s="224"/>
      <c r="C69" s="224"/>
      <c r="D69" s="224">
        <f>SUM(D63:D68)</f>
        <v>102195</v>
      </c>
      <c r="E69" s="224"/>
      <c r="F69" s="224"/>
      <c r="G69" s="224"/>
      <c r="H69" s="224"/>
      <c r="I69" s="224"/>
      <c r="J69" s="224"/>
    </row>
    <row r="70" spans="1:10" x14ac:dyDescent="0.2">
      <c r="A70" s="225"/>
      <c r="B70" s="224"/>
      <c r="C70" s="224"/>
      <c r="D70" s="224"/>
      <c r="E70" s="224"/>
      <c r="F70" s="224"/>
      <c r="G70" s="224"/>
      <c r="H70" s="224"/>
      <c r="I70" s="224"/>
      <c r="J70" s="224"/>
    </row>
    <row r="71" spans="1:10" ht="13.5" x14ac:dyDescent="0.25">
      <c r="A71" s="249" t="s">
        <v>1223</v>
      </c>
      <c r="B71" s="224"/>
      <c r="C71" s="224"/>
      <c r="D71" s="224"/>
      <c r="E71" s="224">
        <v>125429</v>
      </c>
      <c r="F71" s="224">
        <v>179368</v>
      </c>
      <c r="G71" s="224">
        <v>174538</v>
      </c>
      <c r="H71" s="224">
        <v>174538</v>
      </c>
      <c r="I71" s="224">
        <v>181206</v>
      </c>
      <c r="J71" s="224">
        <v>182728</v>
      </c>
    </row>
    <row r="72" spans="1:10" hidden="1" x14ac:dyDescent="0.2">
      <c r="A72" s="225" t="s">
        <v>762</v>
      </c>
      <c r="B72" s="224">
        <f>+B63</f>
        <v>44650</v>
      </c>
      <c r="C72" s="224">
        <v>0.1406</v>
      </c>
      <c r="D72" s="224">
        <f>ROUND(B72*C72,0)</f>
        <v>6278</v>
      </c>
      <c r="E72" s="224"/>
      <c r="F72" s="224"/>
      <c r="G72" s="224"/>
      <c r="H72" s="224"/>
      <c r="I72" s="224"/>
      <c r="J72" s="224"/>
    </row>
    <row r="73" spans="1:10" hidden="1" x14ac:dyDescent="0.2">
      <c r="A73" s="250">
        <v>8103</v>
      </c>
      <c r="B73" s="224">
        <f>+D17</f>
        <v>284644.45600000001</v>
      </c>
      <c r="C73" s="224">
        <v>0.1406</v>
      </c>
      <c r="D73" s="224">
        <f>ROUND(B73*C73,0)</f>
        <v>40021</v>
      </c>
      <c r="E73" s="224"/>
      <c r="F73" s="224"/>
      <c r="G73" s="224"/>
      <c r="H73" s="224"/>
      <c r="I73" s="224"/>
      <c r="J73" s="224"/>
    </row>
    <row r="74" spans="1:10" hidden="1" x14ac:dyDescent="0.2">
      <c r="A74" s="225" t="s">
        <v>688</v>
      </c>
      <c r="B74" s="224">
        <f>+D41</f>
        <v>857604</v>
      </c>
      <c r="C74" s="224">
        <v>0.1406</v>
      </c>
      <c r="D74" s="224">
        <f>ROUND(B74*C74,0)</f>
        <v>120579</v>
      </c>
      <c r="E74" s="224"/>
      <c r="F74" s="224"/>
      <c r="G74" s="224"/>
      <c r="H74" s="224"/>
      <c r="I74" s="224"/>
      <c r="J74" s="224"/>
    </row>
    <row r="75" spans="1:10" hidden="1" x14ac:dyDescent="0.2">
      <c r="A75" s="225" t="s">
        <v>763</v>
      </c>
      <c r="B75" s="224">
        <f>+B66</f>
        <v>31231</v>
      </c>
      <c r="C75" s="224">
        <v>0.1406</v>
      </c>
      <c r="D75" s="224">
        <f>ROUND(B75*C75,0)</f>
        <v>4391</v>
      </c>
      <c r="E75" s="224"/>
      <c r="F75" s="224"/>
      <c r="G75" s="224"/>
      <c r="H75" s="224"/>
      <c r="I75" s="224"/>
      <c r="J75" s="224"/>
    </row>
    <row r="76" spans="1:10" hidden="1" x14ac:dyDescent="0.2">
      <c r="A76" s="225" t="s">
        <v>156</v>
      </c>
      <c r="B76" s="224">
        <f>+D60</f>
        <v>81500</v>
      </c>
      <c r="C76" s="224">
        <v>0.1406</v>
      </c>
      <c r="D76" s="224">
        <f>ROUND(B76*C76,0)</f>
        <v>11459</v>
      </c>
      <c r="E76" s="224"/>
      <c r="F76" s="224"/>
      <c r="G76" s="224"/>
      <c r="H76" s="224"/>
      <c r="I76" s="224"/>
      <c r="J76" s="224"/>
    </row>
    <row r="77" spans="1:10" hidden="1" x14ac:dyDescent="0.2">
      <c r="A77" s="225" t="s">
        <v>1073</v>
      </c>
      <c r="B77" s="224"/>
      <c r="C77" s="224"/>
      <c r="D77" s="224">
        <f>SUM(D72:D76)</f>
        <v>182728</v>
      </c>
      <c r="E77" s="224"/>
      <c r="F77" s="224"/>
      <c r="G77" s="224"/>
      <c r="H77" s="224"/>
      <c r="I77" s="224"/>
      <c r="J77" s="224"/>
    </row>
    <row r="78" spans="1:10" x14ac:dyDescent="0.2">
      <c r="A78" s="225"/>
      <c r="B78" s="224"/>
      <c r="C78" s="224"/>
      <c r="D78" s="224"/>
      <c r="E78" s="224"/>
      <c r="F78" s="224"/>
      <c r="G78" s="224"/>
      <c r="H78" s="224"/>
      <c r="I78" s="224"/>
      <c r="J78" s="224"/>
    </row>
    <row r="79" spans="1:10" ht="13.5" x14ac:dyDescent="0.25">
      <c r="A79" s="249" t="s">
        <v>1224</v>
      </c>
      <c r="B79" s="224"/>
      <c r="C79" s="224"/>
      <c r="D79" s="224"/>
      <c r="E79" s="224">
        <v>413336</v>
      </c>
      <c r="F79" s="224">
        <v>443375</v>
      </c>
      <c r="G79" s="224">
        <v>438750</v>
      </c>
      <c r="H79" s="224">
        <v>438750</v>
      </c>
      <c r="I79" s="224">
        <v>446500</v>
      </c>
      <c r="J79" s="224">
        <v>446500</v>
      </c>
    </row>
    <row r="80" spans="1:10" hidden="1" x14ac:dyDescent="0.2">
      <c r="A80" s="225" t="s">
        <v>264</v>
      </c>
      <c r="B80" s="224">
        <v>19</v>
      </c>
      <c r="C80" s="224">
        <v>19000</v>
      </c>
      <c r="D80" s="224">
        <f>ROUND(B80*C80,0)</f>
        <v>361000</v>
      </c>
      <c r="E80" s="224"/>
      <c r="F80" s="224"/>
      <c r="G80" s="224"/>
      <c r="H80" s="224"/>
      <c r="I80" s="224"/>
      <c r="J80" s="224"/>
    </row>
    <row r="81" spans="1:10" hidden="1" x14ac:dyDescent="0.2">
      <c r="A81" s="225" t="s">
        <v>265</v>
      </c>
      <c r="B81" s="224">
        <v>1</v>
      </c>
      <c r="C81" s="224">
        <v>19000</v>
      </c>
      <c r="D81" s="224">
        <f>ROUND(B81*C81,0)</f>
        <v>19000</v>
      </c>
      <c r="E81" s="224"/>
      <c r="F81" s="224"/>
      <c r="G81" s="224"/>
      <c r="H81" s="224"/>
      <c r="I81" s="224"/>
      <c r="J81" s="224"/>
    </row>
    <row r="82" spans="1:10" hidden="1" x14ac:dyDescent="0.2">
      <c r="A82" s="225" t="s">
        <v>303</v>
      </c>
      <c r="B82" s="224">
        <v>3.5</v>
      </c>
      <c r="C82" s="224">
        <v>19000</v>
      </c>
      <c r="D82" s="224">
        <f>ROUND(B82*C82,0)</f>
        <v>66500</v>
      </c>
      <c r="E82" s="224"/>
      <c r="F82" s="224"/>
      <c r="G82" s="224"/>
      <c r="H82" s="224"/>
      <c r="I82" s="224"/>
      <c r="J82" s="224"/>
    </row>
    <row r="83" spans="1:10" hidden="1" x14ac:dyDescent="0.2">
      <c r="A83" s="225" t="s">
        <v>683</v>
      </c>
      <c r="B83" s="224"/>
      <c r="C83" s="224"/>
      <c r="D83" s="224">
        <f>SUM(D80:D82)</f>
        <v>446500</v>
      </c>
      <c r="E83" s="224"/>
      <c r="F83" s="224"/>
      <c r="G83" s="224"/>
      <c r="H83" s="224"/>
      <c r="I83" s="224"/>
      <c r="J83" s="224"/>
    </row>
    <row r="84" spans="1:10" x14ac:dyDescent="0.2">
      <c r="A84" s="225"/>
      <c r="B84" s="224"/>
      <c r="C84" s="224"/>
      <c r="D84" s="224"/>
      <c r="E84" s="224"/>
      <c r="F84" s="224"/>
      <c r="G84" s="224"/>
      <c r="H84" s="224"/>
      <c r="I84" s="224"/>
      <c r="J84" s="224"/>
    </row>
    <row r="85" spans="1:10" ht="13.5" x14ac:dyDescent="0.25">
      <c r="A85" s="249" t="s">
        <v>1225</v>
      </c>
      <c r="B85" s="224"/>
      <c r="C85" s="224"/>
      <c r="D85" s="224"/>
      <c r="E85" s="224">
        <v>26393</v>
      </c>
      <c r="F85" s="224">
        <v>28350</v>
      </c>
      <c r="G85" s="224">
        <v>27844</v>
      </c>
      <c r="H85" s="224">
        <v>27844</v>
      </c>
      <c r="I85" s="224">
        <v>29700</v>
      </c>
      <c r="J85" s="224">
        <v>29700</v>
      </c>
    </row>
    <row r="86" spans="1:10" hidden="1" x14ac:dyDescent="0.2">
      <c r="A86" s="225" t="s">
        <v>365</v>
      </c>
      <c r="B86" s="224">
        <v>24</v>
      </c>
      <c r="C86" s="224">
        <v>1375</v>
      </c>
      <c r="D86" s="224">
        <f>ROUND(B86*C86,0)</f>
        <v>33000</v>
      </c>
      <c r="E86" s="224"/>
      <c r="F86" s="224"/>
      <c r="G86" s="224"/>
      <c r="H86" s="224"/>
      <c r="I86" s="224"/>
      <c r="J86" s="224"/>
    </row>
    <row r="87" spans="1:10" ht="15" hidden="1" x14ac:dyDescent="0.35">
      <c r="A87" s="225" t="s">
        <v>531</v>
      </c>
      <c r="B87" s="224"/>
      <c r="C87" s="224"/>
      <c r="D87" s="251">
        <f>+D86*-0.1</f>
        <v>-3300</v>
      </c>
      <c r="E87" s="224"/>
      <c r="F87" s="224"/>
      <c r="G87" s="224"/>
      <c r="H87" s="224"/>
      <c r="I87" s="224"/>
      <c r="J87" s="224"/>
    </row>
    <row r="88" spans="1:10" hidden="1" x14ac:dyDescent="0.2">
      <c r="A88" s="225"/>
      <c r="B88" s="224"/>
      <c r="C88" s="224"/>
      <c r="D88" s="224">
        <f>SUM(D86:D87)</f>
        <v>29700</v>
      </c>
      <c r="E88" s="224"/>
      <c r="F88" s="224"/>
      <c r="G88" s="224"/>
      <c r="H88" s="224"/>
      <c r="I88" s="224"/>
      <c r="J88" s="224"/>
    </row>
    <row r="89" spans="1:10" x14ac:dyDescent="0.2">
      <c r="A89" s="225"/>
      <c r="B89" s="224"/>
      <c r="C89" s="224"/>
      <c r="D89" s="224"/>
      <c r="E89" s="224"/>
      <c r="F89" s="224"/>
      <c r="G89" s="224"/>
      <c r="H89" s="224"/>
      <c r="I89" s="224"/>
      <c r="J89" s="224"/>
    </row>
    <row r="90" spans="1:10" ht="13.5" x14ac:dyDescent="0.25">
      <c r="A90" s="249" t="s">
        <v>481</v>
      </c>
      <c r="B90" s="224"/>
      <c r="C90" s="224"/>
      <c r="D90" s="224"/>
      <c r="E90" s="224">
        <v>987</v>
      </c>
      <c r="F90" s="224">
        <v>1238</v>
      </c>
      <c r="G90" s="224">
        <v>1238</v>
      </c>
      <c r="H90" s="224">
        <v>1238</v>
      </c>
      <c r="I90" s="224">
        <v>1273</v>
      </c>
      <c r="J90" s="224">
        <v>1696</v>
      </c>
    </row>
    <row r="91" spans="1:10" hidden="1" x14ac:dyDescent="0.2">
      <c r="A91" s="225" t="s">
        <v>194</v>
      </c>
      <c r="B91" s="224">
        <v>1</v>
      </c>
      <c r="C91" s="224">
        <v>229</v>
      </c>
      <c r="D91" s="224">
        <f>ROUND(B91*C91,0)</f>
        <v>229</v>
      </c>
      <c r="E91" s="224"/>
      <c r="F91" s="224"/>
      <c r="G91" s="224"/>
      <c r="H91" s="224"/>
      <c r="I91" s="224"/>
      <c r="J91" s="224"/>
    </row>
    <row r="92" spans="1:10" hidden="1" x14ac:dyDescent="0.2">
      <c r="A92" s="225" t="s">
        <v>302</v>
      </c>
      <c r="B92" s="224">
        <v>3.5</v>
      </c>
      <c r="C92" s="224">
        <v>229</v>
      </c>
      <c r="D92" s="224">
        <f>ROUND(B92*C92,0)</f>
        <v>802</v>
      </c>
      <c r="E92" s="224"/>
      <c r="F92" s="224"/>
      <c r="G92" s="224"/>
      <c r="H92" s="224"/>
      <c r="I92" s="224"/>
      <c r="J92" s="224"/>
    </row>
    <row r="93" spans="1:10" hidden="1" x14ac:dyDescent="0.2">
      <c r="A93" s="225" t="s">
        <v>274</v>
      </c>
      <c r="B93" s="224">
        <v>19</v>
      </c>
      <c r="C93" s="224">
        <v>35</v>
      </c>
      <c r="D93" s="226">
        <f>ROUND(B93*C93,0)</f>
        <v>665</v>
      </c>
      <c r="E93" s="224"/>
      <c r="F93" s="224"/>
      <c r="G93" s="224"/>
      <c r="H93" s="224"/>
      <c r="I93" s="224"/>
      <c r="J93" s="224"/>
    </row>
    <row r="94" spans="1:10" hidden="1" x14ac:dyDescent="0.2">
      <c r="A94" s="225" t="s">
        <v>1073</v>
      </c>
      <c r="B94" s="224"/>
      <c r="C94" s="224"/>
      <c r="D94" s="224">
        <f>SUM(D91:D93)</f>
        <v>1696</v>
      </c>
      <c r="E94" s="224"/>
      <c r="F94" s="224"/>
      <c r="G94" s="224"/>
      <c r="H94" s="224"/>
      <c r="I94" s="224"/>
      <c r="J94" s="224"/>
    </row>
    <row r="95" spans="1:10" x14ac:dyDescent="0.2">
      <c r="A95" s="225"/>
      <c r="B95" s="224"/>
      <c r="C95" s="224"/>
      <c r="D95" s="224"/>
      <c r="E95" s="224"/>
      <c r="F95" s="224"/>
      <c r="G95" s="224"/>
      <c r="H95" s="224"/>
      <c r="I95" s="224"/>
      <c r="J95" s="224"/>
    </row>
    <row r="96" spans="1:10" ht="13.5" x14ac:dyDescent="0.25">
      <c r="A96" s="249" t="s">
        <v>849</v>
      </c>
      <c r="B96" s="224"/>
      <c r="C96" s="224"/>
      <c r="D96" s="224"/>
      <c r="E96" s="224">
        <v>11137</v>
      </c>
      <c r="F96" s="224">
        <v>12375</v>
      </c>
      <c r="G96" s="224">
        <v>11813</v>
      </c>
      <c r="H96" s="224">
        <v>11813</v>
      </c>
      <c r="I96" s="224">
        <v>12600</v>
      </c>
      <c r="J96" s="224">
        <v>12600</v>
      </c>
    </row>
    <row r="97" spans="1:10" hidden="1" x14ac:dyDescent="0.2">
      <c r="A97" s="225" t="s">
        <v>194</v>
      </c>
      <c r="B97" s="224">
        <v>1</v>
      </c>
      <c r="C97" s="224">
        <v>525</v>
      </c>
      <c r="D97" s="224">
        <f>ROUND(B97*C97,0)</f>
        <v>525</v>
      </c>
      <c r="E97" s="224"/>
      <c r="F97" s="224"/>
      <c r="G97" s="224"/>
      <c r="H97" s="224"/>
      <c r="I97" s="224"/>
      <c r="J97" s="224"/>
    </row>
    <row r="98" spans="1:10" hidden="1" x14ac:dyDescent="0.2">
      <c r="A98" s="225" t="s">
        <v>1220</v>
      </c>
      <c r="B98" s="224">
        <v>23</v>
      </c>
      <c r="C98" s="224">
        <v>525</v>
      </c>
      <c r="D98" s="226">
        <f>ROUND(B98*C98,0)</f>
        <v>12075</v>
      </c>
      <c r="E98" s="224"/>
      <c r="F98" s="224"/>
      <c r="G98" s="224"/>
      <c r="H98" s="224"/>
      <c r="I98" s="224"/>
      <c r="J98" s="224"/>
    </row>
    <row r="99" spans="1:10" hidden="1" x14ac:dyDescent="0.2">
      <c r="A99" s="225" t="s">
        <v>1073</v>
      </c>
      <c r="B99" s="224"/>
      <c r="C99" s="224"/>
      <c r="D99" s="224">
        <f>SUM(D97:D98)</f>
        <v>12600</v>
      </c>
      <c r="E99" s="224"/>
      <c r="F99" s="224"/>
      <c r="G99" s="224"/>
      <c r="H99" s="224"/>
      <c r="I99" s="224"/>
      <c r="J99" s="224"/>
    </row>
    <row r="100" spans="1:10" x14ac:dyDescent="0.2">
      <c r="A100" s="225"/>
      <c r="B100" s="224"/>
      <c r="C100" s="224"/>
      <c r="D100" s="224"/>
      <c r="E100" s="224"/>
      <c r="F100" s="224"/>
      <c r="G100" s="224"/>
      <c r="H100" s="224"/>
      <c r="I100" s="224"/>
      <c r="J100" s="224"/>
    </row>
    <row r="101" spans="1:10" ht="13.5" x14ac:dyDescent="0.25">
      <c r="A101" s="249" t="s">
        <v>850</v>
      </c>
      <c r="B101" s="224"/>
      <c r="C101" s="224"/>
      <c r="D101" s="224"/>
      <c r="E101" s="224">
        <v>31843</v>
      </c>
      <c r="F101" s="224">
        <v>43881</v>
      </c>
      <c r="G101" s="224">
        <v>41708</v>
      </c>
      <c r="H101" s="224">
        <v>41708</v>
      </c>
      <c r="I101" s="224">
        <v>43318</v>
      </c>
      <c r="J101" s="224">
        <v>43620</v>
      </c>
    </row>
    <row r="102" spans="1:10" hidden="1" x14ac:dyDescent="0.2">
      <c r="A102" s="225" t="s">
        <v>762</v>
      </c>
      <c r="B102" s="224">
        <f>+B72</f>
        <v>44650</v>
      </c>
      <c r="C102" s="224">
        <v>1.74E-3</v>
      </c>
      <c r="D102" s="224">
        <f>ROUND(B102*C102,0)-3</f>
        <v>75</v>
      </c>
      <c r="E102" s="224"/>
      <c r="F102" s="224"/>
      <c r="G102" s="224"/>
      <c r="H102" s="224"/>
      <c r="I102" s="224"/>
      <c r="J102" s="224"/>
    </row>
    <row r="103" spans="1:10" hidden="1" x14ac:dyDescent="0.2">
      <c r="A103" s="225" t="s">
        <v>1271</v>
      </c>
      <c r="B103" s="224">
        <f>+D17</f>
        <v>284644.45600000001</v>
      </c>
      <c r="C103" s="224">
        <v>3.4000000000000002E-2</v>
      </c>
      <c r="D103" s="224">
        <f>ROUND(B103*C103,0)-25</f>
        <v>9653</v>
      </c>
      <c r="E103" s="224"/>
      <c r="F103" s="224"/>
      <c r="G103" s="224"/>
      <c r="H103" s="224"/>
      <c r="I103" s="224"/>
      <c r="J103" s="224"/>
    </row>
    <row r="104" spans="1:10" hidden="1" x14ac:dyDescent="0.2">
      <c r="A104" s="225" t="s">
        <v>688</v>
      </c>
      <c r="B104" s="224">
        <f>+D41</f>
        <v>857604</v>
      </c>
      <c r="C104" s="224">
        <v>3.4000000000000002E-2</v>
      </c>
      <c r="D104" s="224">
        <f>ROUND(B104*C104,0)</f>
        <v>29159</v>
      </c>
      <c r="E104" s="224"/>
      <c r="F104" s="224"/>
      <c r="G104" s="224"/>
      <c r="H104" s="224"/>
      <c r="I104" s="224"/>
      <c r="J104" s="224"/>
    </row>
    <row r="105" spans="1:10" hidden="1" x14ac:dyDescent="0.2">
      <c r="A105" s="225" t="s">
        <v>1605</v>
      </c>
      <c r="B105" s="224">
        <f>ROUND(+D48,0)</f>
        <v>31231</v>
      </c>
      <c r="C105" s="224">
        <v>3.4000000000000002E-2</v>
      </c>
      <c r="D105" s="224">
        <f>ROUND(B105*C105,0)</f>
        <v>1062</v>
      </c>
      <c r="E105" s="224"/>
      <c r="F105" s="224"/>
      <c r="G105" s="224"/>
      <c r="H105" s="224"/>
      <c r="I105" s="224"/>
      <c r="J105" s="224"/>
    </row>
    <row r="106" spans="1:10" hidden="1" x14ac:dyDescent="0.2">
      <c r="A106" s="225" t="s">
        <v>155</v>
      </c>
      <c r="B106" s="224">
        <f>+D51</f>
        <v>25920</v>
      </c>
      <c r="C106" s="224">
        <v>3.4000000000000002E-2</v>
      </c>
      <c r="D106" s="224">
        <f>ROUND(B106*C106,0)</f>
        <v>881</v>
      </c>
      <c r="E106" s="224"/>
      <c r="F106" s="224"/>
      <c r="G106" s="224"/>
      <c r="H106" s="224"/>
      <c r="I106" s="224"/>
      <c r="J106" s="224"/>
    </row>
    <row r="107" spans="1:10" hidden="1" x14ac:dyDescent="0.2">
      <c r="A107" s="225" t="s">
        <v>1606</v>
      </c>
      <c r="B107" s="224">
        <f>ROUND(D60,0)</f>
        <v>81500</v>
      </c>
      <c r="C107" s="224">
        <v>3.4000000000000002E-2</v>
      </c>
      <c r="D107" s="226">
        <f>ROUND(B107*C107,0)+17</f>
        <v>2788</v>
      </c>
      <c r="E107" s="224"/>
      <c r="F107" s="224"/>
      <c r="G107" s="224"/>
      <c r="H107" s="224"/>
      <c r="I107" s="224"/>
      <c r="J107" s="224"/>
    </row>
    <row r="108" spans="1:10" hidden="1" x14ac:dyDescent="0.2">
      <c r="A108" s="225" t="s">
        <v>1073</v>
      </c>
      <c r="B108" s="224"/>
      <c r="C108" s="224"/>
      <c r="D108" s="224">
        <f>SUM(D102:D107)+2</f>
        <v>43620</v>
      </c>
      <c r="E108" s="224"/>
      <c r="F108" s="224"/>
      <c r="G108" s="224"/>
      <c r="H108" s="224"/>
      <c r="I108" s="224"/>
      <c r="J108" s="224"/>
    </row>
    <row r="109" spans="1:10" x14ac:dyDescent="0.2">
      <c r="A109" s="225"/>
      <c r="B109" s="224"/>
      <c r="C109" s="224"/>
      <c r="D109" s="224"/>
      <c r="E109" s="224"/>
      <c r="F109" s="224"/>
      <c r="G109" s="224"/>
      <c r="H109" s="224"/>
      <c r="I109" s="224"/>
      <c r="J109" s="224"/>
    </row>
    <row r="110" spans="1:10" ht="13.5" x14ac:dyDescent="0.25">
      <c r="A110" s="249" t="s">
        <v>851</v>
      </c>
      <c r="B110" s="224"/>
      <c r="C110" s="224"/>
      <c r="D110" s="224"/>
      <c r="E110" s="224">
        <v>530</v>
      </c>
      <c r="F110" s="224">
        <v>496</v>
      </c>
      <c r="G110" s="224">
        <v>510</v>
      </c>
      <c r="H110" s="224">
        <v>510</v>
      </c>
      <c r="I110" s="224">
        <v>511</v>
      </c>
      <c r="J110" s="224">
        <v>511</v>
      </c>
    </row>
    <row r="111" spans="1:10" hidden="1" x14ac:dyDescent="0.2">
      <c r="A111" s="225" t="s">
        <v>539</v>
      </c>
      <c r="B111" s="224">
        <v>23</v>
      </c>
      <c r="C111" s="224">
        <v>20</v>
      </c>
      <c r="D111" s="224">
        <f>ROUND(B111*C111,0)</f>
        <v>460</v>
      </c>
      <c r="E111" s="224"/>
      <c r="F111" s="224"/>
      <c r="G111" s="224"/>
      <c r="H111" s="224"/>
      <c r="I111" s="224"/>
      <c r="J111" s="224"/>
    </row>
    <row r="112" spans="1:10" hidden="1" x14ac:dyDescent="0.2">
      <c r="A112" s="225" t="s">
        <v>955</v>
      </c>
      <c r="B112" s="224">
        <f>+B67</f>
        <v>36247</v>
      </c>
      <c r="C112" s="224">
        <v>1.4E-3</v>
      </c>
      <c r="D112" s="226">
        <f>ROUND(B112*C112,0)</f>
        <v>51</v>
      </c>
      <c r="E112" s="224"/>
      <c r="F112" s="224"/>
      <c r="G112" s="224"/>
      <c r="H112" s="224"/>
      <c r="I112" s="224"/>
      <c r="J112" s="224"/>
    </row>
    <row r="113" spans="1:10" hidden="1" x14ac:dyDescent="0.2">
      <c r="A113" s="225" t="s">
        <v>1073</v>
      </c>
      <c r="B113" s="224"/>
      <c r="C113" s="224"/>
      <c r="D113" s="224">
        <f>SUM(D111:D112)</f>
        <v>511</v>
      </c>
      <c r="E113" s="224"/>
      <c r="F113" s="224"/>
      <c r="G113" s="224"/>
      <c r="H113" s="224"/>
      <c r="I113" s="224"/>
      <c r="J113" s="224"/>
    </row>
    <row r="114" spans="1:10" x14ac:dyDescent="0.2">
      <c r="A114" s="225"/>
      <c r="B114" s="224"/>
      <c r="C114" s="224"/>
      <c r="D114" s="224"/>
      <c r="E114" s="224"/>
      <c r="F114" s="224"/>
      <c r="G114" s="224"/>
      <c r="H114" s="224"/>
      <c r="I114" s="224"/>
      <c r="J114" s="224"/>
    </row>
    <row r="115" spans="1:10" x14ac:dyDescent="0.2">
      <c r="A115" s="225" t="s">
        <v>2049</v>
      </c>
      <c r="B115" s="224"/>
      <c r="C115" s="224"/>
      <c r="D115" s="224"/>
      <c r="E115" s="224"/>
      <c r="F115" s="224"/>
      <c r="G115" s="224">
        <v>79553</v>
      </c>
      <c r="H115" s="224">
        <v>79553</v>
      </c>
      <c r="I115" s="224"/>
      <c r="J115" s="224"/>
    </row>
    <row r="116" spans="1:10" x14ac:dyDescent="0.2">
      <c r="A116" s="225"/>
      <c r="B116" s="224"/>
      <c r="C116" s="224"/>
      <c r="D116" s="224"/>
      <c r="E116" s="224"/>
      <c r="F116" s="224"/>
      <c r="G116" s="224"/>
      <c r="H116" s="224"/>
      <c r="I116" s="224"/>
      <c r="J116" s="224"/>
    </row>
    <row r="117" spans="1:10" ht="13.5" x14ac:dyDescent="0.25">
      <c r="A117" s="249" t="s">
        <v>852</v>
      </c>
      <c r="B117" s="224"/>
      <c r="C117" s="224"/>
      <c r="D117" s="224"/>
      <c r="E117" s="224">
        <v>1776</v>
      </c>
      <c r="F117" s="224">
        <v>2200</v>
      </c>
      <c r="G117" s="224">
        <v>2200</v>
      </c>
      <c r="H117" s="224">
        <v>2200</v>
      </c>
      <c r="I117" s="224">
        <v>2200</v>
      </c>
      <c r="J117" s="224">
        <v>2200</v>
      </c>
    </row>
    <row r="118" spans="1:10" x14ac:dyDescent="0.2">
      <c r="A118" s="225" t="s">
        <v>1449</v>
      </c>
      <c r="B118" s="224"/>
      <c r="C118" s="224"/>
      <c r="D118" s="224">
        <v>2200</v>
      </c>
      <c r="E118" s="224"/>
      <c r="F118" s="224"/>
      <c r="G118" s="224"/>
      <c r="H118" s="224"/>
      <c r="I118" s="224"/>
      <c r="J118" s="224"/>
    </row>
    <row r="119" spans="1:10" x14ac:dyDescent="0.2">
      <c r="A119" s="225" t="s">
        <v>1545</v>
      </c>
      <c r="B119" s="224"/>
      <c r="C119" s="224"/>
      <c r="D119" s="224"/>
      <c r="E119" s="224"/>
      <c r="F119" s="224"/>
      <c r="G119" s="224"/>
      <c r="H119" s="224"/>
      <c r="I119" s="224"/>
      <c r="J119" s="224"/>
    </row>
    <row r="120" spans="1:10" x14ac:dyDescent="0.2">
      <c r="A120" s="225" t="s">
        <v>345</v>
      </c>
      <c r="B120" s="224"/>
      <c r="C120" s="224"/>
      <c r="D120" s="224" t="s">
        <v>345</v>
      </c>
      <c r="E120" s="224"/>
      <c r="F120" s="224"/>
      <c r="G120" s="224"/>
      <c r="H120" s="224"/>
      <c r="I120" s="224"/>
      <c r="J120" s="224"/>
    </row>
    <row r="121" spans="1:10" ht="13.5" x14ac:dyDescent="0.25">
      <c r="A121" s="249" t="s">
        <v>865</v>
      </c>
      <c r="B121" s="224"/>
      <c r="C121" s="224"/>
      <c r="D121" s="224"/>
      <c r="E121" s="224">
        <v>1067</v>
      </c>
      <c r="F121" s="224">
        <v>1400</v>
      </c>
      <c r="G121" s="224">
        <v>1400</v>
      </c>
      <c r="H121" s="224">
        <v>1400</v>
      </c>
      <c r="I121" s="224">
        <v>1400</v>
      </c>
      <c r="J121" s="224">
        <v>1400</v>
      </c>
    </row>
    <row r="122" spans="1:10" x14ac:dyDescent="0.2">
      <c r="A122" s="225" t="s">
        <v>543</v>
      </c>
      <c r="B122" s="224"/>
      <c r="C122" s="224"/>
      <c r="D122" s="224">
        <v>1400</v>
      </c>
      <c r="E122" s="224"/>
      <c r="F122" s="224"/>
      <c r="G122" s="224"/>
      <c r="H122" s="224"/>
      <c r="I122" s="224"/>
      <c r="J122" s="224"/>
    </row>
    <row r="123" spans="1:10" x14ac:dyDescent="0.2">
      <c r="A123" s="225"/>
      <c r="B123" s="224"/>
      <c r="C123" s="224"/>
      <c r="D123" s="224"/>
      <c r="E123" s="224"/>
      <c r="F123" s="224"/>
      <c r="G123" s="224"/>
      <c r="H123" s="224"/>
      <c r="I123" s="224"/>
      <c r="J123" s="224"/>
    </row>
    <row r="124" spans="1:10" ht="13.5" x14ac:dyDescent="0.25">
      <c r="A124" s="249" t="s">
        <v>866</v>
      </c>
      <c r="B124" s="224"/>
      <c r="C124" s="224"/>
      <c r="D124" s="224"/>
      <c r="E124" s="224">
        <v>7371</v>
      </c>
      <c r="F124" s="224">
        <v>8500</v>
      </c>
      <c r="G124" s="224">
        <v>8500</v>
      </c>
      <c r="H124" s="224">
        <v>8500</v>
      </c>
      <c r="I124" s="224">
        <v>8500</v>
      </c>
      <c r="J124" s="224">
        <v>8500</v>
      </c>
    </row>
    <row r="125" spans="1:10" x14ac:dyDescent="0.2">
      <c r="A125" s="225" t="s">
        <v>867</v>
      </c>
      <c r="B125" s="224"/>
      <c r="C125" s="224"/>
      <c r="D125" s="224">
        <v>5500</v>
      </c>
      <c r="E125" s="224"/>
      <c r="F125" s="224"/>
      <c r="G125" s="224"/>
      <c r="H125" s="224"/>
      <c r="I125" s="224"/>
      <c r="J125" s="224"/>
    </row>
    <row r="126" spans="1:10" x14ac:dyDescent="0.2">
      <c r="A126" s="225" t="s">
        <v>1450</v>
      </c>
      <c r="B126" s="224"/>
      <c r="C126" s="224"/>
      <c r="D126" s="224"/>
      <c r="E126" s="224"/>
      <c r="F126" s="224"/>
      <c r="G126" s="224"/>
      <c r="H126" s="224"/>
      <c r="I126" s="224"/>
      <c r="J126" s="224"/>
    </row>
    <row r="127" spans="1:10" x14ac:dyDescent="0.2">
      <c r="A127" s="225" t="s">
        <v>59</v>
      </c>
      <c r="B127" s="224"/>
      <c r="C127" s="224"/>
      <c r="D127" s="226">
        <v>3000</v>
      </c>
      <c r="E127" s="224"/>
      <c r="F127" s="224"/>
      <c r="G127" s="224"/>
      <c r="H127" s="224"/>
      <c r="I127" s="224"/>
      <c r="J127" s="224"/>
    </row>
    <row r="128" spans="1:10" x14ac:dyDescent="0.2">
      <c r="A128" s="225" t="s">
        <v>1073</v>
      </c>
      <c r="B128" s="224"/>
      <c r="C128" s="224"/>
      <c r="D128" s="224">
        <f>SUM(D125:D127)</f>
        <v>8500</v>
      </c>
      <c r="E128" s="224"/>
      <c r="F128" s="224"/>
      <c r="G128" s="224"/>
      <c r="H128" s="224"/>
      <c r="I128" s="224"/>
      <c r="J128" s="224"/>
    </row>
    <row r="129" spans="1:10" x14ac:dyDescent="0.2">
      <c r="A129" s="225"/>
      <c r="B129" s="224"/>
      <c r="C129" s="224"/>
      <c r="D129" s="224"/>
      <c r="E129" s="224"/>
      <c r="F129" s="224"/>
      <c r="G129" s="224"/>
      <c r="H129" s="224"/>
      <c r="I129" s="224"/>
      <c r="J129" s="224"/>
    </row>
    <row r="130" spans="1:10" ht="13.5" x14ac:dyDescent="0.25">
      <c r="A130" s="249" t="s">
        <v>868</v>
      </c>
      <c r="B130" s="224"/>
      <c r="C130" s="224"/>
      <c r="D130" s="224"/>
      <c r="E130" s="224">
        <v>12058</v>
      </c>
      <c r="F130" s="224">
        <v>11006</v>
      </c>
      <c r="G130" s="224">
        <v>11006</v>
      </c>
      <c r="H130" s="224">
        <v>11006</v>
      </c>
      <c r="I130" s="224">
        <v>11469</v>
      </c>
      <c r="J130" s="224">
        <v>11814</v>
      </c>
    </row>
    <row r="131" spans="1:10" x14ac:dyDescent="0.2">
      <c r="A131" s="225" t="s">
        <v>573</v>
      </c>
      <c r="B131" s="224">
        <v>19</v>
      </c>
      <c r="C131" s="224">
        <v>200</v>
      </c>
      <c r="D131" s="224">
        <f t="shared" ref="D131:D139" si="2">ROUND(B131*C131,0)</f>
        <v>3800</v>
      </c>
      <c r="E131" s="224"/>
      <c r="F131" s="224"/>
      <c r="G131" s="224"/>
      <c r="H131" s="224"/>
      <c r="I131" s="224"/>
      <c r="J131" s="224"/>
    </row>
    <row r="132" spans="1:10" x14ac:dyDescent="0.2">
      <c r="A132" s="225" t="s">
        <v>792</v>
      </c>
      <c r="B132" s="224">
        <v>19</v>
      </c>
      <c r="C132" s="224">
        <v>203</v>
      </c>
      <c r="D132" s="224">
        <f t="shared" si="2"/>
        <v>3857</v>
      </c>
      <c r="E132" s="224"/>
      <c r="F132" s="224"/>
      <c r="G132" s="224"/>
      <c r="H132" s="224"/>
      <c r="I132" s="224"/>
      <c r="J132" s="224"/>
    </row>
    <row r="133" spans="1:10" x14ac:dyDescent="0.2">
      <c r="A133" s="225" t="s">
        <v>913</v>
      </c>
      <c r="B133" s="224">
        <v>3</v>
      </c>
      <c r="C133" s="224">
        <v>275</v>
      </c>
      <c r="D133" s="224">
        <f t="shared" si="2"/>
        <v>825</v>
      </c>
      <c r="E133" s="224"/>
      <c r="F133" s="224"/>
      <c r="G133" s="224"/>
      <c r="H133" s="224"/>
      <c r="I133" s="224"/>
      <c r="J133" s="224"/>
    </row>
    <row r="134" spans="1:10" x14ac:dyDescent="0.2">
      <c r="A134" s="225" t="s">
        <v>914</v>
      </c>
      <c r="B134" s="224">
        <v>2.2999999999999998</v>
      </c>
      <c r="C134" s="224">
        <v>203</v>
      </c>
      <c r="D134" s="224">
        <f t="shared" si="2"/>
        <v>467</v>
      </c>
      <c r="E134" s="224"/>
      <c r="F134" s="224"/>
      <c r="G134" s="224"/>
      <c r="H134" s="224"/>
      <c r="I134" s="224"/>
      <c r="J134" s="224"/>
    </row>
    <row r="135" spans="1:10" x14ac:dyDescent="0.2">
      <c r="A135" s="225" t="s">
        <v>915</v>
      </c>
      <c r="B135" s="224">
        <v>1</v>
      </c>
      <c r="C135" s="224">
        <v>225</v>
      </c>
      <c r="D135" s="224">
        <f t="shared" si="2"/>
        <v>225</v>
      </c>
      <c r="E135" s="224"/>
      <c r="F135" s="224"/>
      <c r="G135" s="224"/>
      <c r="H135" s="224"/>
      <c r="I135" s="224"/>
      <c r="J135" s="224"/>
    </row>
    <row r="136" spans="1:10" x14ac:dyDescent="0.2">
      <c r="A136" s="225" t="s">
        <v>1451</v>
      </c>
      <c r="B136" s="224">
        <v>1</v>
      </c>
      <c r="C136" s="224">
        <v>255</v>
      </c>
      <c r="D136" s="224">
        <f t="shared" si="2"/>
        <v>255</v>
      </c>
      <c r="E136" s="224"/>
      <c r="F136" s="224"/>
      <c r="G136" s="224"/>
      <c r="H136" s="224"/>
      <c r="I136" s="224"/>
      <c r="J136" s="224"/>
    </row>
    <row r="137" spans="1:10" x14ac:dyDescent="0.2">
      <c r="A137" s="225" t="s">
        <v>1653</v>
      </c>
      <c r="B137" s="224">
        <v>4</v>
      </c>
      <c r="C137" s="224">
        <v>150</v>
      </c>
      <c r="D137" s="224">
        <f t="shared" si="2"/>
        <v>600</v>
      </c>
      <c r="E137" s="224"/>
      <c r="F137" s="224"/>
      <c r="G137" s="224"/>
      <c r="H137" s="224"/>
      <c r="I137" s="224"/>
      <c r="J137" s="224"/>
    </row>
    <row r="138" spans="1:10" x14ac:dyDescent="0.2">
      <c r="A138" s="225" t="s">
        <v>916</v>
      </c>
      <c r="B138" s="224">
        <v>24</v>
      </c>
      <c r="C138" s="224">
        <v>60</v>
      </c>
      <c r="D138" s="224">
        <f t="shared" si="2"/>
        <v>1440</v>
      </c>
      <c r="E138" s="224"/>
      <c r="F138" s="224"/>
      <c r="G138" s="224"/>
      <c r="H138" s="224"/>
      <c r="I138" s="224"/>
      <c r="J138" s="224"/>
    </row>
    <row r="139" spans="1:10" s="233" customFormat="1" x14ac:dyDescent="0.2">
      <c r="A139" s="225" t="s">
        <v>2117</v>
      </c>
      <c r="B139" s="224">
        <v>3</v>
      </c>
      <c r="C139" s="224">
        <v>115</v>
      </c>
      <c r="D139" s="226">
        <f t="shared" si="2"/>
        <v>345</v>
      </c>
      <c r="E139" s="224"/>
      <c r="F139" s="224"/>
      <c r="G139" s="224"/>
      <c r="H139" s="224"/>
      <c r="I139" s="224"/>
      <c r="J139" s="224"/>
    </row>
    <row r="140" spans="1:10" x14ac:dyDescent="0.2">
      <c r="A140" s="225" t="s">
        <v>1073</v>
      </c>
      <c r="B140" s="224"/>
      <c r="C140" s="224"/>
      <c r="D140" s="224">
        <f>SUM(D131:D139)</f>
        <v>11814</v>
      </c>
      <c r="E140" s="224"/>
      <c r="F140" s="224"/>
      <c r="G140" s="224"/>
      <c r="H140" s="224"/>
      <c r="I140" s="224"/>
      <c r="J140" s="224"/>
    </row>
    <row r="141" spans="1:10" x14ac:dyDescent="0.2">
      <c r="A141" s="225"/>
      <c r="B141" s="224"/>
      <c r="C141" s="224"/>
      <c r="D141" s="224"/>
      <c r="E141" s="224"/>
      <c r="F141" s="224"/>
      <c r="G141" s="224"/>
      <c r="H141" s="224"/>
      <c r="I141" s="224"/>
      <c r="J141" s="224"/>
    </row>
    <row r="142" spans="1:10" ht="13.5" x14ac:dyDescent="0.25">
      <c r="A142" s="249" t="s">
        <v>927</v>
      </c>
      <c r="B142" s="224"/>
      <c r="C142" s="224"/>
      <c r="D142" s="224"/>
      <c r="E142" s="224">
        <v>1200</v>
      </c>
      <c r="F142" s="224">
        <v>2400</v>
      </c>
      <c r="G142" s="224">
        <v>5900</v>
      </c>
      <c r="H142" s="224">
        <v>5900</v>
      </c>
      <c r="I142" s="224">
        <v>5900</v>
      </c>
      <c r="J142" s="224">
        <v>5900</v>
      </c>
    </row>
    <row r="143" spans="1:10" x14ac:dyDescent="0.2">
      <c r="A143" s="225" t="s">
        <v>2050</v>
      </c>
      <c r="B143" s="224"/>
      <c r="C143" s="224"/>
      <c r="D143" s="224">
        <v>1000</v>
      </c>
      <c r="E143" s="224"/>
      <c r="F143" s="224"/>
      <c r="G143" s="224"/>
      <c r="H143" s="224"/>
      <c r="I143" s="224"/>
      <c r="J143" s="224"/>
    </row>
    <row r="144" spans="1:10" x14ac:dyDescent="0.2">
      <c r="A144" s="225" t="s">
        <v>2051</v>
      </c>
      <c r="B144" s="224"/>
      <c r="C144" s="224"/>
      <c r="D144" s="224">
        <v>2400</v>
      </c>
      <c r="E144" s="224"/>
      <c r="F144" s="224"/>
      <c r="G144" s="224"/>
      <c r="H144" s="224"/>
      <c r="I144" s="224"/>
      <c r="J144" s="224"/>
    </row>
    <row r="145" spans="1:10" x14ac:dyDescent="0.2">
      <c r="A145" s="225" t="s">
        <v>2052</v>
      </c>
      <c r="B145" s="224"/>
      <c r="C145" s="224"/>
      <c r="D145" s="226">
        <v>2500</v>
      </c>
      <c r="E145" s="224"/>
      <c r="F145" s="224"/>
      <c r="G145" s="224"/>
      <c r="H145" s="224"/>
      <c r="I145" s="224"/>
      <c r="J145" s="224"/>
    </row>
    <row r="146" spans="1:10" x14ac:dyDescent="0.2">
      <c r="A146" s="225"/>
      <c r="B146" s="224"/>
      <c r="C146" s="224"/>
      <c r="D146" s="224">
        <f>SUM(D143:D145)</f>
        <v>5900</v>
      </c>
      <c r="E146" s="224"/>
      <c r="F146" s="224"/>
      <c r="G146" s="224"/>
      <c r="H146" s="224"/>
      <c r="I146" s="224"/>
      <c r="J146" s="224"/>
    </row>
    <row r="147" spans="1:10" x14ac:dyDescent="0.2">
      <c r="A147" s="225"/>
      <c r="B147" s="224"/>
      <c r="C147" s="224"/>
      <c r="D147" s="224"/>
      <c r="E147" s="224"/>
      <c r="F147" s="224"/>
      <c r="G147" s="224"/>
      <c r="H147" s="224"/>
      <c r="I147" s="224"/>
      <c r="J147" s="224"/>
    </row>
    <row r="148" spans="1:10" ht="13.5" x14ac:dyDescent="0.25">
      <c r="A148" s="249" t="s">
        <v>1152</v>
      </c>
      <c r="B148" s="224"/>
      <c r="C148" s="224"/>
      <c r="D148" s="224"/>
      <c r="E148" s="224">
        <v>0</v>
      </c>
      <c r="F148" s="224">
        <v>500</v>
      </c>
      <c r="G148" s="224">
        <v>500</v>
      </c>
      <c r="H148" s="224">
        <v>500</v>
      </c>
      <c r="I148" s="224">
        <v>500</v>
      </c>
      <c r="J148" s="224">
        <v>500</v>
      </c>
    </row>
    <row r="149" spans="1:10" x14ac:dyDescent="0.2">
      <c r="A149" s="225" t="s">
        <v>1724</v>
      </c>
      <c r="B149" s="224"/>
      <c r="C149" s="224"/>
      <c r="D149" s="224">
        <v>500</v>
      </c>
      <c r="E149" s="224"/>
      <c r="F149" s="224"/>
      <c r="G149" s="224"/>
      <c r="H149" s="224"/>
      <c r="I149" s="224"/>
      <c r="J149" s="224"/>
    </row>
    <row r="150" spans="1:10" x14ac:dyDescent="0.2">
      <c r="A150" s="225"/>
      <c r="B150" s="224"/>
      <c r="C150" s="224"/>
      <c r="D150" s="224"/>
      <c r="E150" s="224"/>
      <c r="F150" s="224"/>
      <c r="G150" s="224"/>
      <c r="H150" s="224"/>
      <c r="I150" s="224"/>
      <c r="J150" s="224"/>
    </row>
    <row r="151" spans="1:10" ht="13.5" x14ac:dyDescent="0.25">
      <c r="A151" s="249" t="s">
        <v>1329</v>
      </c>
      <c r="B151" s="224"/>
      <c r="C151" s="224"/>
      <c r="D151" s="224"/>
      <c r="E151" s="224">
        <v>77</v>
      </c>
      <c r="F151" s="224">
        <v>45</v>
      </c>
      <c r="G151" s="224">
        <v>50</v>
      </c>
      <c r="H151" s="224">
        <v>50</v>
      </c>
      <c r="I151" s="224">
        <v>50</v>
      </c>
      <c r="J151" s="224">
        <v>50</v>
      </c>
    </row>
    <row r="152" spans="1:10" x14ac:dyDescent="0.2">
      <c r="A152" s="225"/>
      <c r="B152" s="224"/>
      <c r="C152" s="224"/>
      <c r="D152" s="224">
        <v>50</v>
      </c>
      <c r="E152" s="224"/>
      <c r="F152" s="224"/>
      <c r="G152" s="224"/>
      <c r="H152" s="224"/>
      <c r="I152" s="224"/>
      <c r="J152" s="224"/>
    </row>
    <row r="153" spans="1:10" x14ac:dyDescent="0.2">
      <c r="A153" s="225"/>
      <c r="B153" s="224"/>
      <c r="C153" s="224"/>
      <c r="D153" s="224"/>
      <c r="E153" s="224"/>
      <c r="F153" s="224"/>
      <c r="G153" s="224"/>
      <c r="H153" s="224"/>
      <c r="I153" s="224"/>
      <c r="J153" s="224"/>
    </row>
    <row r="154" spans="1:10" ht="13.5" x14ac:dyDescent="0.25">
      <c r="A154" s="249" t="s">
        <v>1153</v>
      </c>
      <c r="B154" s="224"/>
      <c r="C154" s="224"/>
      <c r="D154" s="224"/>
      <c r="E154" s="224">
        <v>12594</v>
      </c>
      <c r="F154" s="224">
        <v>16000</v>
      </c>
      <c r="G154" s="224">
        <v>12415</v>
      </c>
      <c r="H154" s="224">
        <v>12415</v>
      </c>
      <c r="I154" s="224">
        <v>12415</v>
      </c>
      <c r="J154" s="224">
        <v>12415</v>
      </c>
    </row>
    <row r="155" spans="1:10" x14ac:dyDescent="0.2">
      <c r="A155" s="225" t="s">
        <v>139</v>
      </c>
      <c r="B155" s="224"/>
      <c r="C155" s="224"/>
      <c r="D155" s="224">
        <v>8705</v>
      </c>
      <c r="E155" s="224"/>
      <c r="F155" s="224"/>
      <c r="G155" s="224"/>
      <c r="H155" s="224"/>
      <c r="I155" s="224"/>
      <c r="J155" s="224"/>
    </row>
    <row r="156" spans="1:10" x14ac:dyDescent="0.2">
      <c r="A156" s="225" t="s">
        <v>1949</v>
      </c>
      <c r="B156" s="224"/>
      <c r="C156" s="224"/>
      <c r="D156" s="224">
        <v>3710</v>
      </c>
      <c r="E156" s="224"/>
      <c r="F156" s="224"/>
      <c r="G156" s="224"/>
      <c r="H156" s="224"/>
      <c r="I156" s="224"/>
      <c r="J156" s="224"/>
    </row>
    <row r="157" spans="1:10" x14ac:dyDescent="0.2">
      <c r="A157" s="225" t="s">
        <v>1086</v>
      </c>
      <c r="B157" s="224"/>
      <c r="C157" s="224"/>
      <c r="D157" s="226">
        <v>0</v>
      </c>
      <c r="E157" s="224"/>
      <c r="F157" s="224"/>
      <c r="G157" s="224"/>
      <c r="H157" s="224"/>
      <c r="I157" s="224"/>
      <c r="J157" s="224"/>
    </row>
    <row r="158" spans="1:10" x14ac:dyDescent="0.2">
      <c r="A158" s="225" t="s">
        <v>1073</v>
      </c>
      <c r="B158" s="224"/>
      <c r="C158" s="224"/>
      <c r="D158" s="224">
        <f>SUM(D155:D157)</f>
        <v>12415</v>
      </c>
      <c r="E158" s="224"/>
      <c r="F158" s="224"/>
      <c r="G158" s="224"/>
      <c r="H158" s="224"/>
      <c r="I158" s="224"/>
      <c r="J158" s="224"/>
    </row>
    <row r="159" spans="1:10" x14ac:dyDescent="0.2">
      <c r="A159" s="225"/>
      <c r="B159" s="224"/>
      <c r="C159" s="224"/>
      <c r="D159" s="224"/>
      <c r="E159" s="224"/>
      <c r="F159" s="224"/>
      <c r="G159" s="224"/>
      <c r="H159" s="224"/>
      <c r="I159" s="224"/>
      <c r="J159" s="224"/>
    </row>
    <row r="160" spans="1:10" ht="13.5" x14ac:dyDescent="0.25">
      <c r="A160" s="249" t="s">
        <v>534</v>
      </c>
      <c r="B160" s="224"/>
      <c r="C160" s="224"/>
      <c r="D160" s="224"/>
      <c r="E160" s="224">
        <v>15457</v>
      </c>
      <c r="F160" s="224">
        <v>17500</v>
      </c>
      <c r="G160" s="224">
        <v>16400</v>
      </c>
      <c r="H160" s="224">
        <v>16400</v>
      </c>
      <c r="I160" s="224">
        <v>16400</v>
      </c>
      <c r="J160" s="224">
        <v>16400</v>
      </c>
    </row>
    <row r="161" spans="1:10" x14ac:dyDescent="0.2">
      <c r="A161" s="225" t="s">
        <v>139</v>
      </c>
      <c r="B161" s="224"/>
      <c r="C161" s="224"/>
      <c r="D161" s="224">
        <v>8000</v>
      </c>
      <c r="E161" s="224"/>
      <c r="F161" s="224"/>
      <c r="G161" s="224"/>
      <c r="H161" s="224"/>
      <c r="I161" s="224"/>
      <c r="J161" s="224"/>
    </row>
    <row r="162" spans="1:10" x14ac:dyDescent="0.2">
      <c r="A162" s="225" t="s">
        <v>1763</v>
      </c>
      <c r="B162" s="224"/>
      <c r="C162" s="224"/>
      <c r="D162" s="226">
        <v>8400</v>
      </c>
      <c r="E162" s="224"/>
      <c r="F162" s="224"/>
      <c r="G162" s="224"/>
      <c r="H162" s="224"/>
      <c r="I162" s="224"/>
      <c r="J162" s="224"/>
    </row>
    <row r="163" spans="1:10" x14ac:dyDescent="0.2">
      <c r="A163" s="225" t="s">
        <v>1073</v>
      </c>
      <c r="B163" s="224"/>
      <c r="C163" s="224"/>
      <c r="D163" s="224">
        <f>SUM(D161:D162)</f>
        <v>16400</v>
      </c>
      <c r="E163" s="224"/>
      <c r="F163" s="224"/>
      <c r="G163" s="224"/>
      <c r="H163" s="224"/>
      <c r="I163" s="224"/>
      <c r="J163" s="224"/>
    </row>
    <row r="164" spans="1:10" x14ac:dyDescent="0.2">
      <c r="A164" s="225"/>
      <c r="B164" s="224"/>
      <c r="C164" s="224"/>
      <c r="D164" s="224"/>
      <c r="E164" s="224"/>
      <c r="F164" s="224"/>
      <c r="G164" s="224"/>
      <c r="H164" s="224"/>
      <c r="I164" s="224"/>
      <c r="J164" s="224"/>
    </row>
    <row r="165" spans="1:10" ht="13.5" x14ac:dyDescent="0.25">
      <c r="A165" s="249" t="s">
        <v>1303</v>
      </c>
      <c r="B165" s="224"/>
      <c r="C165" s="224"/>
      <c r="D165" s="224"/>
      <c r="E165" s="224">
        <v>2771</v>
      </c>
      <c r="F165" s="224">
        <v>1700</v>
      </c>
      <c r="G165" s="224">
        <v>2300</v>
      </c>
      <c r="H165" s="224">
        <v>2300</v>
      </c>
      <c r="I165" s="224">
        <v>2300</v>
      </c>
      <c r="J165" s="224">
        <v>2300</v>
      </c>
    </row>
    <row r="166" spans="1:10" x14ac:dyDescent="0.2">
      <c r="A166" s="225" t="s">
        <v>803</v>
      </c>
      <c r="B166" s="224"/>
      <c r="C166" s="224"/>
      <c r="D166" s="224">
        <v>2300</v>
      </c>
      <c r="E166" s="224"/>
      <c r="F166" s="224"/>
      <c r="G166" s="224"/>
      <c r="H166" s="224"/>
      <c r="I166" s="224"/>
      <c r="J166" s="224"/>
    </row>
    <row r="167" spans="1:10" x14ac:dyDescent="0.2">
      <c r="A167" s="225"/>
      <c r="B167" s="224"/>
      <c r="C167" s="224"/>
      <c r="D167" s="224"/>
      <c r="E167" s="224"/>
      <c r="F167" s="224"/>
      <c r="G167" s="224"/>
      <c r="H167" s="224"/>
      <c r="I167" s="224"/>
      <c r="J167" s="224"/>
    </row>
    <row r="168" spans="1:10" ht="13.5" x14ac:dyDescent="0.25">
      <c r="A168" s="249" t="s">
        <v>140</v>
      </c>
      <c r="B168" s="224"/>
      <c r="C168" s="224"/>
      <c r="D168" s="224"/>
      <c r="E168" s="224">
        <v>271</v>
      </c>
      <c r="F168" s="224">
        <v>304</v>
      </c>
      <c r="G168" s="224">
        <v>304</v>
      </c>
      <c r="H168" s="224">
        <v>304</v>
      </c>
      <c r="I168" s="224">
        <v>304</v>
      </c>
      <c r="J168" s="224">
        <v>304</v>
      </c>
    </row>
    <row r="169" spans="1:10" x14ac:dyDescent="0.2">
      <c r="A169" s="225" t="s">
        <v>803</v>
      </c>
      <c r="B169" s="224"/>
      <c r="C169" s="224"/>
      <c r="D169" s="224">
        <v>304</v>
      </c>
      <c r="E169" s="224"/>
      <c r="F169" s="224"/>
      <c r="G169" s="224"/>
      <c r="H169" s="224"/>
      <c r="I169" s="224"/>
      <c r="J169" s="224"/>
    </row>
    <row r="170" spans="1:10" x14ac:dyDescent="0.2">
      <c r="A170" s="225"/>
      <c r="B170" s="224"/>
      <c r="C170" s="224"/>
      <c r="D170" s="224"/>
      <c r="E170" s="224"/>
      <c r="F170" s="224"/>
      <c r="G170" s="224"/>
      <c r="H170" s="224"/>
      <c r="I170" s="224"/>
      <c r="J170" s="224"/>
    </row>
    <row r="171" spans="1:10" ht="13.5" x14ac:dyDescent="0.25">
      <c r="A171" s="249" t="s">
        <v>1304</v>
      </c>
      <c r="B171" s="224"/>
      <c r="C171" s="224"/>
      <c r="D171" s="224"/>
      <c r="E171" s="224">
        <v>58528</v>
      </c>
      <c r="F171" s="224">
        <v>82750</v>
      </c>
      <c r="G171" s="224">
        <v>84625</v>
      </c>
      <c r="H171" s="224">
        <v>84625</v>
      </c>
      <c r="I171" s="224">
        <v>84625</v>
      </c>
      <c r="J171" s="224">
        <v>84625</v>
      </c>
    </row>
    <row r="172" spans="1:10" x14ac:dyDescent="0.2">
      <c r="A172" s="225" t="s">
        <v>1107</v>
      </c>
      <c r="B172" s="224">
        <v>7500</v>
      </c>
      <c r="C172" s="252">
        <v>2.85</v>
      </c>
      <c r="D172" s="224">
        <f>ROUND(B172*C172,0)</f>
        <v>21375</v>
      </c>
      <c r="E172" s="224"/>
      <c r="F172" s="224"/>
      <c r="G172" s="224"/>
      <c r="H172" s="224"/>
      <c r="I172" s="224"/>
      <c r="J172" s="224"/>
    </row>
    <row r="173" spans="1:10" x14ac:dyDescent="0.2">
      <c r="A173" s="225" t="s">
        <v>1106</v>
      </c>
      <c r="B173" s="224">
        <v>23000</v>
      </c>
      <c r="C173" s="252">
        <v>2.75</v>
      </c>
      <c r="D173" s="226">
        <f>ROUND(B173*C173,0)</f>
        <v>63250</v>
      </c>
      <c r="E173" s="224"/>
      <c r="F173" s="224"/>
      <c r="G173" s="224"/>
      <c r="H173" s="224"/>
      <c r="I173" s="224"/>
      <c r="J173" s="224"/>
    </row>
    <row r="174" spans="1:10" x14ac:dyDescent="0.2">
      <c r="A174" s="225" t="s">
        <v>1073</v>
      </c>
      <c r="B174" s="224"/>
      <c r="C174" s="224"/>
      <c r="D174" s="224">
        <f>SUM(D172:D173)</f>
        <v>84625</v>
      </c>
      <c r="E174" s="224"/>
      <c r="F174" s="224"/>
      <c r="G174" s="224"/>
      <c r="H174" s="224"/>
      <c r="I174" s="224"/>
      <c r="J174" s="224"/>
    </row>
    <row r="175" spans="1:10" x14ac:dyDescent="0.2">
      <c r="A175" s="225"/>
      <c r="B175" s="224"/>
      <c r="C175" s="224"/>
      <c r="D175" s="224"/>
      <c r="E175" s="224"/>
      <c r="F175" s="224"/>
      <c r="G175" s="224"/>
      <c r="H175" s="224"/>
      <c r="I175" s="224"/>
      <c r="J175" s="224"/>
    </row>
    <row r="176" spans="1:10" ht="13.5" x14ac:dyDescent="0.25">
      <c r="A176" s="249" t="s">
        <v>1305</v>
      </c>
      <c r="B176" s="224"/>
      <c r="C176" s="224"/>
      <c r="D176" s="224"/>
      <c r="E176" s="224">
        <v>8209</v>
      </c>
      <c r="F176" s="224">
        <v>6713</v>
      </c>
      <c r="G176" s="224">
        <v>9218</v>
      </c>
      <c r="H176" s="224">
        <v>9218</v>
      </c>
      <c r="I176" s="224">
        <v>9218</v>
      </c>
      <c r="J176" s="224">
        <v>9218</v>
      </c>
    </row>
    <row r="177" spans="1:10" x14ac:dyDescent="0.2">
      <c r="A177" s="225" t="s">
        <v>811</v>
      </c>
      <c r="B177" s="224"/>
      <c r="C177" s="224"/>
      <c r="D177" s="224">
        <v>2900</v>
      </c>
      <c r="E177" s="224"/>
      <c r="F177" s="224"/>
      <c r="G177" s="224"/>
      <c r="H177" s="224"/>
      <c r="I177" s="224"/>
      <c r="J177" s="224"/>
    </row>
    <row r="178" spans="1:10" x14ac:dyDescent="0.2">
      <c r="A178" s="225" t="s">
        <v>1764</v>
      </c>
      <c r="B178" s="224">
        <v>1</v>
      </c>
      <c r="C178" s="224"/>
      <c r="D178" s="224">
        <v>150</v>
      </c>
      <c r="E178" s="224"/>
      <c r="F178" s="224"/>
      <c r="G178" s="224"/>
      <c r="H178" s="224"/>
      <c r="I178" s="224"/>
      <c r="J178" s="224"/>
    </row>
    <row r="179" spans="1:10" x14ac:dyDescent="0.2">
      <c r="A179" s="225" t="s">
        <v>1994</v>
      </c>
      <c r="B179" s="224">
        <v>4</v>
      </c>
      <c r="C179" s="224"/>
      <c r="D179" s="224">
        <v>3600</v>
      </c>
      <c r="E179" s="224"/>
      <c r="F179" s="224"/>
      <c r="G179" s="224"/>
      <c r="H179" s="224"/>
      <c r="I179" s="224"/>
      <c r="J179" s="224"/>
    </row>
    <row r="180" spans="1:10" x14ac:dyDescent="0.2">
      <c r="A180" s="225" t="s">
        <v>544</v>
      </c>
      <c r="B180" s="224">
        <v>12</v>
      </c>
      <c r="C180" s="224">
        <v>214</v>
      </c>
      <c r="D180" s="226">
        <f>B180*C180</f>
        <v>2568</v>
      </c>
      <c r="E180" s="224"/>
      <c r="F180" s="224"/>
      <c r="G180" s="224"/>
      <c r="H180" s="224"/>
      <c r="I180" s="224"/>
      <c r="J180" s="224"/>
    </row>
    <row r="181" spans="1:10" x14ac:dyDescent="0.2">
      <c r="A181" s="225"/>
      <c r="B181" s="224"/>
      <c r="C181" s="224"/>
      <c r="D181" s="224">
        <f>SUM(D177:D180)</f>
        <v>9218</v>
      </c>
      <c r="E181" s="224"/>
      <c r="F181" s="224"/>
      <c r="G181" s="224"/>
      <c r="H181" s="224"/>
      <c r="I181" s="224"/>
      <c r="J181" s="224"/>
    </row>
    <row r="182" spans="1:10" x14ac:dyDescent="0.2">
      <c r="A182" s="225"/>
      <c r="B182" s="224"/>
      <c r="C182" s="224"/>
      <c r="D182" s="224"/>
      <c r="E182" s="224"/>
      <c r="F182" s="224"/>
      <c r="G182" s="224"/>
      <c r="H182" s="224"/>
      <c r="I182" s="224"/>
      <c r="J182" s="224"/>
    </row>
    <row r="183" spans="1:10" ht="13.5" x14ac:dyDescent="0.25">
      <c r="A183" s="249" t="s">
        <v>440</v>
      </c>
      <c r="B183" s="224"/>
      <c r="C183" s="224"/>
      <c r="D183" s="224"/>
      <c r="E183" s="224">
        <v>463</v>
      </c>
      <c r="F183" s="224">
        <v>510</v>
      </c>
      <c r="G183" s="224">
        <v>680</v>
      </c>
      <c r="H183" s="224">
        <v>680</v>
      </c>
      <c r="I183" s="224">
        <v>680</v>
      </c>
      <c r="J183" s="224">
        <v>680</v>
      </c>
    </row>
    <row r="184" spans="1:10" x14ac:dyDescent="0.2">
      <c r="A184" s="225" t="s">
        <v>2053</v>
      </c>
      <c r="B184" s="224" t="s">
        <v>345</v>
      </c>
      <c r="C184" s="224"/>
      <c r="D184" s="224">
        <v>680</v>
      </c>
      <c r="E184" s="224"/>
      <c r="F184" s="224"/>
      <c r="G184" s="224"/>
      <c r="H184" s="224"/>
      <c r="I184" s="224"/>
      <c r="J184" s="224"/>
    </row>
    <row r="185" spans="1:10" x14ac:dyDescent="0.2">
      <c r="A185" s="225"/>
      <c r="B185" s="224"/>
      <c r="C185" s="224"/>
      <c r="D185" s="224"/>
      <c r="E185" s="224"/>
      <c r="F185" s="224"/>
      <c r="G185" s="224"/>
      <c r="H185" s="224"/>
      <c r="I185" s="224"/>
      <c r="J185" s="224"/>
    </row>
    <row r="186" spans="1:10" ht="13.5" x14ac:dyDescent="0.25">
      <c r="A186" s="249" t="s">
        <v>1236</v>
      </c>
      <c r="B186" s="224"/>
      <c r="C186" s="224"/>
      <c r="D186" s="224"/>
      <c r="E186" s="224">
        <v>37460</v>
      </c>
      <c r="F186" s="224">
        <v>35169</v>
      </c>
      <c r="G186" s="224">
        <v>45573</v>
      </c>
      <c r="H186" s="224">
        <v>45573</v>
      </c>
      <c r="I186" s="224">
        <v>45573</v>
      </c>
      <c r="J186" s="224">
        <v>45573</v>
      </c>
    </row>
    <row r="187" spans="1:10" x14ac:dyDescent="0.2">
      <c r="A187" s="225" t="s">
        <v>1420</v>
      </c>
      <c r="B187" s="224"/>
      <c r="C187" s="224"/>
      <c r="D187" s="224">
        <v>45573</v>
      </c>
      <c r="E187" s="224"/>
      <c r="F187" s="224"/>
      <c r="G187" s="224"/>
      <c r="H187" s="224"/>
      <c r="I187" s="224"/>
      <c r="J187" s="224"/>
    </row>
    <row r="188" spans="1:10" x14ac:dyDescent="0.2">
      <c r="A188" s="225"/>
      <c r="B188" s="224"/>
      <c r="C188" s="224"/>
      <c r="D188" s="224"/>
      <c r="E188" s="224"/>
      <c r="F188" s="224"/>
      <c r="G188" s="224"/>
      <c r="H188" s="224"/>
      <c r="I188" s="224"/>
      <c r="J188" s="224"/>
    </row>
    <row r="189" spans="1:10" ht="13.5" x14ac:dyDescent="0.25">
      <c r="A189" s="249" t="s">
        <v>1237</v>
      </c>
      <c r="B189" s="224"/>
      <c r="C189" s="224"/>
      <c r="D189" s="224"/>
      <c r="E189" s="224">
        <v>165</v>
      </c>
      <c r="F189" s="224">
        <v>500</v>
      </c>
      <c r="G189" s="224">
        <v>500</v>
      </c>
      <c r="H189" s="224">
        <v>500</v>
      </c>
      <c r="I189" s="224">
        <v>500</v>
      </c>
      <c r="J189" s="224">
        <v>500</v>
      </c>
    </row>
    <row r="190" spans="1:10" x14ac:dyDescent="0.2">
      <c r="A190" s="225" t="s">
        <v>1452</v>
      </c>
      <c r="B190" s="224"/>
      <c r="C190" s="224"/>
      <c r="D190" s="224">
        <v>500</v>
      </c>
      <c r="E190" s="224"/>
      <c r="F190" s="224"/>
      <c r="G190" s="224"/>
      <c r="H190" s="224"/>
      <c r="I190" s="224"/>
      <c r="J190" s="224"/>
    </row>
    <row r="191" spans="1:10" x14ac:dyDescent="0.2">
      <c r="A191" s="225"/>
      <c r="B191" s="224"/>
      <c r="C191" s="224"/>
      <c r="D191" s="224"/>
      <c r="E191" s="224"/>
      <c r="F191" s="224"/>
      <c r="G191" s="224"/>
      <c r="H191" s="224"/>
      <c r="I191" s="224"/>
      <c r="J191" s="224"/>
    </row>
    <row r="192" spans="1:10" ht="13.5" x14ac:dyDescent="0.25">
      <c r="A192" s="249" t="s">
        <v>254</v>
      </c>
      <c r="B192" s="224"/>
      <c r="C192" s="224"/>
      <c r="D192" s="224" t="s">
        <v>345</v>
      </c>
      <c r="E192" s="224">
        <v>7915</v>
      </c>
      <c r="F192" s="224">
        <v>7000</v>
      </c>
      <c r="G192" s="224">
        <v>7000</v>
      </c>
      <c r="H192" s="224">
        <v>7000</v>
      </c>
      <c r="I192" s="224">
        <v>7000</v>
      </c>
      <c r="J192" s="224">
        <v>7000</v>
      </c>
    </row>
    <row r="193" spans="1:10" x14ac:dyDescent="0.2">
      <c r="A193" s="225" t="s">
        <v>255</v>
      </c>
      <c r="B193" s="224"/>
      <c r="C193" s="224"/>
      <c r="D193" s="224"/>
      <c r="E193" s="224"/>
      <c r="F193" s="224"/>
      <c r="G193" s="224"/>
      <c r="H193" s="224"/>
      <c r="I193" s="224"/>
      <c r="J193" s="224"/>
    </row>
    <row r="194" spans="1:10" x14ac:dyDescent="0.2">
      <c r="A194" s="225" t="s">
        <v>1453</v>
      </c>
      <c r="B194" s="224"/>
      <c r="C194" s="224"/>
      <c r="D194" s="224">
        <v>5000</v>
      </c>
      <c r="E194" s="224"/>
      <c r="F194" s="224"/>
      <c r="G194" s="224"/>
      <c r="H194" s="224"/>
      <c r="I194" s="224"/>
      <c r="J194" s="224"/>
    </row>
    <row r="195" spans="1:10" x14ac:dyDescent="0.2">
      <c r="A195" s="225" t="s">
        <v>1546</v>
      </c>
      <c r="B195" s="224"/>
      <c r="C195" s="224"/>
      <c r="D195" s="226">
        <v>2000</v>
      </c>
      <c r="E195" s="224"/>
      <c r="F195" s="224"/>
      <c r="G195" s="224"/>
      <c r="H195" s="224"/>
      <c r="I195" s="224"/>
      <c r="J195" s="224"/>
    </row>
    <row r="196" spans="1:10" x14ac:dyDescent="0.2">
      <c r="A196" s="225" t="s">
        <v>1073</v>
      </c>
      <c r="B196" s="224"/>
      <c r="C196" s="224"/>
      <c r="D196" s="224">
        <f>SUM(D194:D195)</f>
        <v>7000</v>
      </c>
      <c r="E196" s="224"/>
      <c r="F196" s="224"/>
      <c r="G196" s="224"/>
      <c r="H196" s="224"/>
      <c r="I196" s="224"/>
      <c r="J196" s="224"/>
    </row>
    <row r="197" spans="1:10" x14ac:dyDescent="0.2">
      <c r="A197" s="225"/>
      <c r="B197" s="224"/>
      <c r="C197" s="224"/>
      <c r="D197" s="224"/>
      <c r="E197" s="224"/>
      <c r="F197" s="224"/>
      <c r="G197" s="224"/>
      <c r="H197" s="224"/>
      <c r="I197" s="224"/>
      <c r="J197" s="224"/>
    </row>
    <row r="198" spans="1:10" ht="13.5" x14ac:dyDescent="0.25">
      <c r="A198" s="249" t="s">
        <v>1254</v>
      </c>
      <c r="B198" s="224"/>
      <c r="C198" s="224"/>
      <c r="D198" s="224"/>
      <c r="E198" s="224">
        <v>6498</v>
      </c>
      <c r="F198" s="224">
        <v>17050</v>
      </c>
      <c r="G198" s="224">
        <v>15050</v>
      </c>
      <c r="H198" s="224">
        <v>15050</v>
      </c>
      <c r="I198" s="224">
        <v>15050</v>
      </c>
      <c r="J198" s="224">
        <v>15050</v>
      </c>
    </row>
    <row r="199" spans="1:10" x14ac:dyDescent="0.2">
      <c r="A199" s="225" t="s">
        <v>1195</v>
      </c>
      <c r="B199" s="224"/>
      <c r="C199" s="224"/>
      <c r="D199" s="224" t="s">
        <v>345</v>
      </c>
      <c r="E199" s="224"/>
      <c r="F199" s="224"/>
      <c r="G199" s="224"/>
      <c r="H199" s="224"/>
      <c r="I199" s="224"/>
      <c r="J199" s="224"/>
    </row>
    <row r="200" spans="1:10" x14ac:dyDescent="0.2">
      <c r="A200" s="225" t="s">
        <v>20</v>
      </c>
      <c r="B200" s="224"/>
      <c r="C200" s="224"/>
      <c r="D200" s="224">
        <v>500</v>
      </c>
      <c r="E200" s="224"/>
      <c r="F200" s="224"/>
      <c r="G200" s="224"/>
      <c r="H200" s="224"/>
      <c r="I200" s="224"/>
      <c r="J200" s="224"/>
    </row>
    <row r="201" spans="1:10" x14ac:dyDescent="0.2">
      <c r="A201" s="225" t="s">
        <v>91</v>
      </c>
      <c r="B201" s="224"/>
      <c r="C201" s="224"/>
      <c r="D201" s="224">
        <v>600</v>
      </c>
      <c r="E201" s="224"/>
      <c r="F201" s="224"/>
      <c r="G201" s="224"/>
      <c r="H201" s="224"/>
      <c r="I201" s="224"/>
      <c r="J201" s="224"/>
    </row>
    <row r="202" spans="1:10" x14ac:dyDescent="0.2">
      <c r="A202" s="225" t="s">
        <v>1547</v>
      </c>
      <c r="B202" s="224"/>
      <c r="C202" s="224"/>
      <c r="D202" s="224"/>
      <c r="E202" s="224"/>
      <c r="F202" s="224"/>
      <c r="G202" s="224"/>
      <c r="H202" s="224"/>
      <c r="I202" s="224"/>
      <c r="J202" s="224"/>
    </row>
    <row r="203" spans="1:10" x14ac:dyDescent="0.2">
      <c r="A203" s="225" t="s">
        <v>474</v>
      </c>
      <c r="B203" s="224"/>
      <c r="C203" s="224"/>
      <c r="D203" s="224">
        <v>200</v>
      </c>
      <c r="E203" s="224"/>
      <c r="F203" s="224"/>
      <c r="G203" s="224"/>
      <c r="H203" s="224"/>
      <c r="I203" s="224"/>
      <c r="J203" s="224"/>
    </row>
    <row r="204" spans="1:10" x14ac:dyDescent="0.2">
      <c r="A204" s="225" t="s">
        <v>475</v>
      </c>
      <c r="B204" s="224"/>
      <c r="C204" s="224"/>
      <c r="D204" s="224">
        <v>600</v>
      </c>
      <c r="E204" s="224"/>
      <c r="F204" s="224"/>
      <c r="G204" s="224"/>
      <c r="H204" s="224"/>
      <c r="I204" s="224"/>
      <c r="J204" s="224"/>
    </row>
    <row r="205" spans="1:10" x14ac:dyDescent="0.2">
      <c r="A205" s="225" t="s">
        <v>476</v>
      </c>
      <c r="B205" s="224"/>
      <c r="C205" s="224"/>
      <c r="D205" s="224">
        <v>100</v>
      </c>
      <c r="E205" s="224"/>
      <c r="F205" s="224"/>
      <c r="G205" s="224"/>
      <c r="H205" s="224"/>
      <c r="I205" s="224"/>
      <c r="J205" s="224"/>
    </row>
    <row r="206" spans="1:10" x14ac:dyDescent="0.2">
      <c r="A206" s="225" t="s">
        <v>897</v>
      </c>
      <c r="B206" s="224"/>
      <c r="C206" s="224"/>
      <c r="D206" s="224">
        <v>50</v>
      </c>
      <c r="E206" s="224"/>
      <c r="F206" s="224"/>
      <c r="G206" s="224"/>
      <c r="H206" s="224"/>
      <c r="I206" s="224"/>
      <c r="J206" s="224"/>
    </row>
    <row r="207" spans="1:10" x14ac:dyDescent="0.2">
      <c r="A207" s="225" t="s">
        <v>1454</v>
      </c>
      <c r="B207" s="224"/>
      <c r="C207" s="224"/>
      <c r="D207" s="224">
        <v>2000</v>
      </c>
      <c r="E207" s="224"/>
      <c r="F207" s="224"/>
      <c r="G207" s="224"/>
      <c r="H207" s="224"/>
      <c r="I207" s="224"/>
      <c r="J207" s="224"/>
    </row>
    <row r="208" spans="1:10" x14ac:dyDescent="0.2">
      <c r="A208" s="225" t="s">
        <v>1455</v>
      </c>
      <c r="B208" s="224"/>
      <c r="C208" s="224"/>
      <c r="D208" s="224">
        <v>4100</v>
      </c>
      <c r="E208" s="224"/>
      <c r="F208" s="224"/>
      <c r="G208" s="224"/>
      <c r="H208" s="224"/>
      <c r="I208" s="224"/>
      <c r="J208" s="224"/>
    </row>
    <row r="209" spans="1:10" x14ac:dyDescent="0.2">
      <c r="A209" s="225" t="s">
        <v>271</v>
      </c>
      <c r="B209" s="224"/>
      <c r="C209" s="224"/>
      <c r="D209" s="224">
        <v>900</v>
      </c>
      <c r="E209" s="224"/>
      <c r="F209" s="224"/>
      <c r="G209" s="224"/>
      <c r="H209" s="224"/>
      <c r="I209" s="224"/>
      <c r="J209" s="224"/>
    </row>
    <row r="210" spans="1:10" x14ac:dyDescent="0.2">
      <c r="A210" s="225" t="s">
        <v>1801</v>
      </c>
      <c r="B210" s="224"/>
      <c r="C210" s="224"/>
      <c r="D210" s="224">
        <v>0</v>
      </c>
      <c r="E210" s="224"/>
      <c r="F210" s="224"/>
      <c r="G210" s="224"/>
      <c r="H210" s="224"/>
      <c r="I210" s="224"/>
      <c r="J210" s="224"/>
    </row>
    <row r="211" spans="1:10" x14ac:dyDescent="0.2">
      <c r="A211" s="225" t="s">
        <v>272</v>
      </c>
      <c r="B211" s="224"/>
      <c r="C211" s="224"/>
      <c r="D211" s="224">
        <v>500</v>
      </c>
      <c r="E211" s="224"/>
      <c r="F211" s="224"/>
      <c r="G211" s="224"/>
      <c r="H211" s="224"/>
      <c r="I211" s="224"/>
      <c r="J211" s="224"/>
    </row>
    <row r="212" spans="1:10" x14ac:dyDescent="0.2">
      <c r="A212" s="225" t="s">
        <v>1950</v>
      </c>
      <c r="B212" s="224"/>
      <c r="C212" s="224"/>
      <c r="D212" s="224">
        <v>500</v>
      </c>
      <c r="E212" s="224"/>
      <c r="F212" s="224"/>
      <c r="G212" s="224"/>
      <c r="H212" s="224"/>
      <c r="I212" s="224"/>
      <c r="J212" s="224"/>
    </row>
    <row r="213" spans="1:10" x14ac:dyDescent="0.2">
      <c r="A213" s="225" t="s">
        <v>1654</v>
      </c>
      <c r="B213" s="224"/>
      <c r="C213" s="224"/>
      <c r="D213" s="226">
        <v>5000</v>
      </c>
      <c r="E213" s="224"/>
      <c r="F213" s="224"/>
      <c r="G213" s="224"/>
      <c r="H213" s="224"/>
      <c r="I213" s="224"/>
      <c r="J213" s="224"/>
    </row>
    <row r="214" spans="1:10" x14ac:dyDescent="0.2">
      <c r="A214" s="225" t="s">
        <v>1073</v>
      </c>
      <c r="B214" s="224"/>
      <c r="C214" s="224"/>
      <c r="D214" s="224">
        <f>SUM(D200:D213)</f>
        <v>15050</v>
      </c>
      <c r="E214" s="224"/>
      <c r="F214" s="224"/>
      <c r="G214" s="224"/>
      <c r="H214" s="224"/>
      <c r="I214" s="224"/>
      <c r="J214" s="224"/>
    </row>
    <row r="215" spans="1:10" x14ac:dyDescent="0.2">
      <c r="A215" s="225"/>
      <c r="B215" s="224"/>
      <c r="C215" s="224"/>
      <c r="D215" s="224"/>
      <c r="E215" s="224"/>
      <c r="F215" s="224"/>
      <c r="G215" s="224"/>
      <c r="H215" s="224"/>
      <c r="I215" s="224"/>
      <c r="J215" s="224"/>
    </row>
    <row r="216" spans="1:10" ht="13.5" x14ac:dyDescent="0.25">
      <c r="A216" s="249" t="s">
        <v>378</v>
      </c>
      <c r="B216" s="224"/>
      <c r="C216" s="224"/>
      <c r="D216" s="224"/>
      <c r="E216" s="224">
        <v>138854</v>
      </c>
      <c r="F216" s="224">
        <v>134000</v>
      </c>
      <c r="G216" s="224">
        <v>140000</v>
      </c>
      <c r="H216" s="224">
        <v>135000</v>
      </c>
      <c r="I216" s="224">
        <v>135000</v>
      </c>
      <c r="J216" s="224">
        <v>135000</v>
      </c>
    </row>
    <row r="217" spans="1:10" x14ac:dyDescent="0.2">
      <c r="A217" s="225" t="s">
        <v>1463</v>
      </c>
      <c r="B217" s="224"/>
      <c r="C217" s="224"/>
      <c r="D217" s="224">
        <v>135000</v>
      </c>
      <c r="E217" s="224"/>
      <c r="F217" s="224"/>
      <c r="G217" s="224"/>
      <c r="H217" s="224"/>
      <c r="I217" s="224"/>
      <c r="J217" s="224"/>
    </row>
    <row r="218" spans="1:10" x14ac:dyDescent="0.2">
      <c r="A218" s="225"/>
      <c r="B218" s="224"/>
      <c r="C218" s="224"/>
      <c r="D218" s="224"/>
      <c r="E218" s="224"/>
      <c r="F218" s="224"/>
      <c r="G218" s="224"/>
      <c r="H218" s="224"/>
      <c r="I218" s="224"/>
      <c r="J218" s="224"/>
    </row>
    <row r="219" spans="1:10" ht="13.5" x14ac:dyDescent="0.25">
      <c r="A219" s="249" t="s">
        <v>1167</v>
      </c>
      <c r="B219" s="224"/>
      <c r="C219" s="224"/>
      <c r="D219" s="224"/>
      <c r="E219" s="224">
        <v>4029</v>
      </c>
      <c r="F219" s="224">
        <v>4870</v>
      </c>
      <c r="G219" s="224">
        <v>4870</v>
      </c>
      <c r="H219" s="224">
        <v>4870</v>
      </c>
      <c r="I219" s="224">
        <v>4870</v>
      </c>
      <c r="J219" s="224">
        <v>4870</v>
      </c>
    </row>
    <row r="220" spans="1:10" x14ac:dyDescent="0.2">
      <c r="A220" s="225" t="s">
        <v>51</v>
      </c>
      <c r="B220" s="224"/>
      <c r="C220" s="224"/>
      <c r="D220" s="224"/>
      <c r="E220" s="224"/>
      <c r="F220" s="224"/>
      <c r="G220" s="224"/>
      <c r="H220" s="224"/>
      <c r="I220" s="224"/>
      <c r="J220" s="224"/>
    </row>
    <row r="221" spans="1:10" x14ac:dyDescent="0.2">
      <c r="A221" s="225" t="s">
        <v>1951</v>
      </c>
      <c r="B221" s="224"/>
      <c r="C221" s="224"/>
      <c r="D221" s="224">
        <v>3370</v>
      </c>
      <c r="E221" s="224"/>
      <c r="F221" s="224"/>
      <c r="G221" s="224"/>
      <c r="H221" s="224"/>
      <c r="I221" s="224"/>
      <c r="J221" s="224"/>
    </row>
    <row r="222" spans="1:10" x14ac:dyDescent="0.2">
      <c r="A222" s="225" t="s">
        <v>46</v>
      </c>
      <c r="B222" s="224"/>
      <c r="C222" s="224"/>
      <c r="D222" s="226">
        <v>1500</v>
      </c>
      <c r="E222" s="224"/>
      <c r="F222" s="224"/>
      <c r="G222" s="224"/>
      <c r="H222" s="224"/>
      <c r="I222" s="224"/>
      <c r="J222" s="224"/>
    </row>
    <row r="223" spans="1:10" x14ac:dyDescent="0.2">
      <c r="A223" s="225" t="s">
        <v>1073</v>
      </c>
      <c r="B223" s="224"/>
      <c r="C223" s="224"/>
      <c r="D223" s="224">
        <f>SUM(D220:D222)</f>
        <v>4870</v>
      </c>
      <c r="E223" s="224"/>
      <c r="F223" s="224"/>
      <c r="G223" s="224"/>
      <c r="H223" s="224"/>
      <c r="I223" s="224"/>
      <c r="J223" s="224"/>
    </row>
    <row r="224" spans="1:10" x14ac:dyDescent="0.2">
      <c r="A224" s="225"/>
      <c r="B224" s="224"/>
      <c r="C224" s="224"/>
      <c r="D224" s="224"/>
      <c r="E224" s="224"/>
      <c r="F224" s="224"/>
      <c r="G224" s="224"/>
      <c r="H224" s="224"/>
      <c r="I224" s="224"/>
      <c r="J224" s="224"/>
    </row>
    <row r="225" spans="1:10" ht="13.5" x14ac:dyDescent="0.25">
      <c r="A225" s="249" t="s">
        <v>1122</v>
      </c>
      <c r="B225" s="224"/>
      <c r="C225" s="224"/>
      <c r="D225" s="224"/>
      <c r="E225" s="224">
        <v>6156</v>
      </c>
      <c r="F225" s="224">
        <v>11160</v>
      </c>
      <c r="G225" s="224">
        <v>11160</v>
      </c>
      <c r="H225" s="224">
        <v>11160</v>
      </c>
      <c r="I225" s="224">
        <v>11160</v>
      </c>
      <c r="J225" s="224">
        <v>11160</v>
      </c>
    </row>
    <row r="226" spans="1:10" x14ac:dyDescent="0.2">
      <c r="A226" s="225" t="s">
        <v>1382</v>
      </c>
      <c r="B226" s="224"/>
      <c r="C226" s="224"/>
      <c r="D226" s="224">
        <f>15000-10000</f>
        <v>5000</v>
      </c>
      <c r="E226" s="224"/>
      <c r="F226" s="224"/>
      <c r="G226" s="224"/>
      <c r="H226" s="224"/>
      <c r="I226" s="224"/>
      <c r="J226" s="224"/>
    </row>
    <row r="227" spans="1:10" x14ac:dyDescent="0.2">
      <c r="A227" s="225" t="s">
        <v>1345</v>
      </c>
      <c r="B227" s="224"/>
      <c r="C227" s="224"/>
      <c r="D227" s="226">
        <v>6160</v>
      </c>
      <c r="E227" s="224"/>
      <c r="F227" s="224"/>
      <c r="G227" s="224"/>
      <c r="H227" s="224"/>
      <c r="I227" s="224"/>
      <c r="J227" s="224"/>
    </row>
    <row r="228" spans="1:10" x14ac:dyDescent="0.2">
      <c r="A228" s="225" t="s">
        <v>1073</v>
      </c>
      <c r="B228" s="224"/>
      <c r="C228" s="224"/>
      <c r="D228" s="224">
        <f>SUM(D226:D227)</f>
        <v>11160</v>
      </c>
      <c r="E228" s="224"/>
      <c r="F228" s="224"/>
      <c r="G228" s="224"/>
      <c r="H228" s="224"/>
      <c r="I228" s="224"/>
      <c r="J228" s="224"/>
    </row>
    <row r="229" spans="1:10" x14ac:dyDescent="0.2">
      <c r="A229" s="225"/>
      <c r="B229" s="224"/>
      <c r="C229" s="224"/>
      <c r="D229" s="224"/>
      <c r="E229" s="224"/>
      <c r="F229" s="224"/>
      <c r="G229" s="224"/>
      <c r="H229" s="224"/>
      <c r="I229" s="224"/>
      <c r="J229" s="224"/>
    </row>
    <row r="230" spans="1:10" ht="13.5" x14ac:dyDescent="0.25">
      <c r="A230" s="249" t="s">
        <v>1123</v>
      </c>
      <c r="B230" s="224"/>
      <c r="C230" s="224"/>
      <c r="D230" s="224"/>
      <c r="E230" s="224">
        <v>166431</v>
      </c>
      <c r="F230" s="224">
        <v>133500</v>
      </c>
      <c r="G230" s="224">
        <v>194480</v>
      </c>
      <c r="H230" s="224">
        <v>194480</v>
      </c>
      <c r="I230" s="224">
        <v>194480</v>
      </c>
      <c r="J230" s="224">
        <v>194480</v>
      </c>
    </row>
    <row r="231" spans="1:10" x14ac:dyDescent="0.2">
      <c r="A231" s="225" t="s">
        <v>2054</v>
      </c>
      <c r="B231" s="224"/>
      <c r="C231" s="224"/>
      <c r="D231" s="224">
        <v>166980</v>
      </c>
      <c r="E231" s="224"/>
      <c r="F231" s="224"/>
      <c r="G231" s="224"/>
      <c r="H231" s="224"/>
      <c r="I231" s="224"/>
      <c r="J231" s="224"/>
    </row>
    <row r="232" spans="1:10" x14ac:dyDescent="0.2">
      <c r="A232" s="225" t="s">
        <v>2055</v>
      </c>
      <c r="B232" s="224"/>
      <c r="C232" s="224"/>
      <c r="D232" s="224">
        <v>22500</v>
      </c>
      <c r="E232" s="224"/>
      <c r="F232" s="224"/>
      <c r="G232" s="224"/>
      <c r="H232" s="224"/>
      <c r="I232" s="224"/>
      <c r="J232" s="224"/>
    </row>
    <row r="233" spans="1:10" x14ac:dyDescent="0.2">
      <c r="A233" s="225" t="s">
        <v>2056</v>
      </c>
      <c r="B233" s="224"/>
      <c r="C233" s="224"/>
      <c r="D233" s="226">
        <v>5000</v>
      </c>
      <c r="E233" s="224"/>
      <c r="F233" s="224"/>
      <c r="G233" s="224"/>
      <c r="H233" s="224"/>
      <c r="I233" s="224"/>
      <c r="J233" s="224"/>
    </row>
    <row r="234" spans="1:10" x14ac:dyDescent="0.2">
      <c r="A234" s="225"/>
      <c r="B234" s="224"/>
      <c r="C234" s="224"/>
      <c r="D234" s="224">
        <f>SUM(D231:D233)</f>
        <v>194480</v>
      </c>
      <c r="E234" s="224"/>
      <c r="F234" s="224"/>
      <c r="G234" s="224"/>
      <c r="H234" s="224"/>
      <c r="I234" s="224"/>
      <c r="J234" s="224"/>
    </row>
    <row r="235" spans="1:10" x14ac:dyDescent="0.2">
      <c r="A235" s="225"/>
      <c r="B235" s="224"/>
      <c r="C235" s="224"/>
      <c r="D235" s="224"/>
      <c r="E235" s="224"/>
      <c r="F235" s="224"/>
      <c r="G235" s="224"/>
      <c r="H235" s="224"/>
      <c r="I235" s="224"/>
      <c r="J235" s="224"/>
    </row>
    <row r="236" spans="1:10" ht="13.5" x14ac:dyDescent="0.25">
      <c r="A236" s="249" t="s">
        <v>922</v>
      </c>
      <c r="B236" s="224"/>
      <c r="C236" s="224"/>
      <c r="D236" s="224"/>
      <c r="E236" s="224">
        <v>2523</v>
      </c>
      <c r="F236" s="224">
        <v>2500</v>
      </c>
      <c r="G236" s="224">
        <v>2500</v>
      </c>
      <c r="H236" s="224">
        <v>2500</v>
      </c>
      <c r="I236" s="224">
        <v>2500</v>
      </c>
      <c r="J236" s="224">
        <v>2500</v>
      </c>
    </row>
    <row r="237" spans="1:10" x14ac:dyDescent="0.2">
      <c r="A237" s="225" t="s">
        <v>72</v>
      </c>
      <c r="B237" s="224"/>
      <c r="C237" s="224"/>
      <c r="D237" s="224">
        <v>2500</v>
      </c>
      <c r="E237" s="224"/>
      <c r="F237" s="224"/>
      <c r="G237" s="224"/>
      <c r="H237" s="224"/>
      <c r="I237" s="224"/>
      <c r="J237" s="224"/>
    </row>
    <row r="238" spans="1:10" x14ac:dyDescent="0.2">
      <c r="A238" s="225"/>
      <c r="B238" s="224"/>
      <c r="C238" s="224"/>
      <c r="D238" s="224"/>
      <c r="E238" s="224"/>
      <c r="F238" s="224"/>
      <c r="G238" s="224"/>
      <c r="H238" s="224"/>
      <c r="I238" s="224"/>
      <c r="J238" s="224"/>
    </row>
    <row r="239" spans="1:10" ht="13.5" x14ac:dyDescent="0.25">
      <c r="A239" s="249" t="s">
        <v>1142</v>
      </c>
      <c r="B239" s="224"/>
      <c r="C239" s="224"/>
      <c r="D239" s="224"/>
      <c r="E239" s="224">
        <v>8700</v>
      </c>
      <c r="F239" s="224">
        <v>18000</v>
      </c>
      <c r="G239" s="224">
        <v>14000</v>
      </c>
      <c r="H239" s="224">
        <v>14000</v>
      </c>
      <c r="I239" s="224">
        <v>14000</v>
      </c>
      <c r="J239" s="224">
        <v>14000</v>
      </c>
    </row>
    <row r="240" spans="1:10" x14ac:dyDescent="0.2">
      <c r="A240" s="225" t="s">
        <v>1143</v>
      </c>
      <c r="B240" s="224"/>
      <c r="C240" s="224"/>
      <c r="D240" s="224">
        <v>14000</v>
      </c>
      <c r="E240" s="224"/>
      <c r="F240" s="224"/>
      <c r="G240" s="224"/>
      <c r="H240" s="224"/>
      <c r="I240" s="224"/>
      <c r="J240" s="224"/>
    </row>
    <row r="241" spans="1:10" x14ac:dyDescent="0.2">
      <c r="A241" s="225" t="s">
        <v>1456</v>
      </c>
      <c r="B241" s="224"/>
      <c r="C241" s="224"/>
      <c r="D241" s="224"/>
      <c r="E241" s="224"/>
      <c r="F241" s="224"/>
      <c r="G241" s="224"/>
      <c r="H241" s="224"/>
      <c r="I241" s="224"/>
      <c r="J241" s="224"/>
    </row>
    <row r="242" spans="1:10" x14ac:dyDescent="0.2">
      <c r="A242" s="225"/>
      <c r="B242" s="224"/>
      <c r="C242" s="224"/>
      <c r="D242" s="224"/>
      <c r="E242" s="224"/>
      <c r="F242" s="224"/>
      <c r="G242" s="224"/>
      <c r="H242" s="224"/>
      <c r="I242" s="224"/>
      <c r="J242" s="224"/>
    </row>
    <row r="243" spans="1:10" ht="13.5" x14ac:dyDescent="0.25">
      <c r="A243" s="249" t="s">
        <v>889</v>
      </c>
      <c r="B243" s="224"/>
      <c r="C243" s="224"/>
      <c r="D243" s="224"/>
      <c r="E243" s="224">
        <v>7423</v>
      </c>
      <c r="F243" s="224">
        <v>12500</v>
      </c>
      <c r="G243" s="224">
        <v>12500</v>
      </c>
      <c r="H243" s="224">
        <v>12500</v>
      </c>
      <c r="I243" s="224">
        <v>12500</v>
      </c>
      <c r="J243" s="224">
        <v>12500</v>
      </c>
    </row>
    <row r="244" spans="1:10" x14ac:dyDescent="0.2">
      <c r="A244" s="225" t="s">
        <v>1038</v>
      </c>
      <c r="B244" s="224"/>
      <c r="C244" s="224"/>
      <c r="D244" s="224">
        <v>12500</v>
      </c>
      <c r="E244" s="224"/>
      <c r="F244" s="224"/>
      <c r="G244" s="224"/>
      <c r="H244" s="224"/>
      <c r="I244" s="224"/>
      <c r="J244" s="224"/>
    </row>
    <row r="245" spans="1:10" x14ac:dyDescent="0.2">
      <c r="A245" s="225"/>
      <c r="B245" s="224"/>
      <c r="C245" s="224"/>
      <c r="D245" s="224"/>
      <c r="E245" s="224"/>
      <c r="F245" s="224"/>
      <c r="G245" s="224"/>
      <c r="H245" s="224"/>
      <c r="I245" s="224"/>
      <c r="J245" s="224"/>
    </row>
    <row r="246" spans="1:10" ht="13.5" x14ac:dyDescent="0.25">
      <c r="A246" s="249" t="s">
        <v>138</v>
      </c>
      <c r="B246" s="224"/>
      <c r="C246" s="224"/>
      <c r="D246" s="224"/>
      <c r="E246" s="224">
        <v>9616</v>
      </c>
      <c r="F246" s="224">
        <v>7500</v>
      </c>
      <c r="G246" s="224">
        <v>7500</v>
      </c>
      <c r="H246" s="224">
        <v>7500</v>
      </c>
      <c r="I246" s="224">
        <v>7500</v>
      </c>
      <c r="J246" s="224">
        <v>7500</v>
      </c>
    </row>
    <row r="247" spans="1:10" x14ac:dyDescent="0.2">
      <c r="A247" s="225" t="s">
        <v>30</v>
      </c>
      <c r="B247" s="224"/>
      <c r="C247" s="224"/>
      <c r="D247" s="224">
        <v>7500</v>
      </c>
      <c r="E247" s="224"/>
      <c r="F247" s="224"/>
      <c r="G247" s="224"/>
      <c r="H247" s="224"/>
      <c r="I247" s="224"/>
      <c r="J247" s="224"/>
    </row>
    <row r="248" spans="1:10" x14ac:dyDescent="0.2">
      <c r="A248" s="225" t="s">
        <v>1096</v>
      </c>
      <c r="B248" s="224"/>
      <c r="C248" s="224"/>
      <c r="D248" s="224"/>
      <c r="E248" s="224"/>
      <c r="F248" s="224"/>
      <c r="G248" s="224"/>
      <c r="H248" s="224"/>
      <c r="I248" s="224"/>
      <c r="J248" s="224"/>
    </row>
    <row r="249" spans="1:10" x14ac:dyDescent="0.2">
      <c r="A249" s="225" t="s">
        <v>1097</v>
      </c>
      <c r="B249" s="224"/>
      <c r="C249" s="224"/>
      <c r="D249" s="224"/>
      <c r="E249" s="224"/>
      <c r="F249" s="224"/>
      <c r="G249" s="224"/>
      <c r="H249" s="224"/>
      <c r="I249" s="224"/>
      <c r="J249" s="224"/>
    </row>
    <row r="250" spans="1:10" x14ac:dyDescent="0.2">
      <c r="A250" s="225"/>
      <c r="B250" s="224"/>
      <c r="C250" s="224"/>
      <c r="D250" s="224"/>
      <c r="E250" s="224"/>
      <c r="F250" s="224"/>
      <c r="G250" s="224"/>
      <c r="H250" s="224"/>
      <c r="I250" s="224"/>
      <c r="J250" s="224"/>
    </row>
    <row r="251" spans="1:10" ht="13.5" x14ac:dyDescent="0.25">
      <c r="A251" s="249" t="s">
        <v>1278</v>
      </c>
      <c r="B251" s="224"/>
      <c r="C251" s="224"/>
      <c r="D251" s="224"/>
      <c r="E251" s="224">
        <v>900</v>
      </c>
      <c r="F251" s="224">
        <v>1500</v>
      </c>
      <c r="G251" s="224">
        <v>1500</v>
      </c>
      <c r="H251" s="224">
        <v>1500</v>
      </c>
      <c r="I251" s="224">
        <v>1500</v>
      </c>
      <c r="J251" s="224">
        <v>1500</v>
      </c>
    </row>
    <row r="252" spans="1:10" x14ac:dyDescent="0.2">
      <c r="A252" s="225" t="s">
        <v>1802</v>
      </c>
      <c r="B252" s="224"/>
      <c r="C252" s="224"/>
      <c r="D252" s="224">
        <v>1000</v>
      </c>
      <c r="E252" s="224"/>
      <c r="F252" s="224"/>
      <c r="G252" s="224"/>
      <c r="H252" s="224"/>
      <c r="I252" s="224"/>
      <c r="J252" s="224"/>
    </row>
    <row r="253" spans="1:10" x14ac:dyDescent="0.2">
      <c r="A253" s="225" t="s">
        <v>1803</v>
      </c>
      <c r="B253" s="224"/>
      <c r="C253" s="224"/>
      <c r="D253" s="226">
        <v>500</v>
      </c>
      <c r="E253" s="224"/>
      <c r="F253" s="224"/>
      <c r="G253" s="224"/>
      <c r="H253" s="224"/>
      <c r="I253" s="224"/>
      <c r="J253" s="224"/>
    </row>
    <row r="254" spans="1:10" x14ac:dyDescent="0.2">
      <c r="A254" s="225"/>
      <c r="B254" s="224"/>
      <c r="C254" s="224"/>
      <c r="D254" s="224">
        <f>SUM(D252:D253)</f>
        <v>1500</v>
      </c>
      <c r="E254" s="224"/>
      <c r="F254" s="224"/>
      <c r="G254" s="224"/>
      <c r="H254" s="224"/>
      <c r="I254" s="224"/>
      <c r="J254" s="224"/>
    </row>
    <row r="255" spans="1:10" x14ac:dyDescent="0.2">
      <c r="A255" s="225" t="s">
        <v>345</v>
      </c>
      <c r="B255" s="224"/>
      <c r="C255" s="224"/>
      <c r="D255" s="224"/>
      <c r="E255" s="224"/>
      <c r="F255" s="224"/>
      <c r="G255" s="224"/>
      <c r="H255" s="224"/>
      <c r="I255" s="224"/>
      <c r="J255" s="224"/>
    </row>
    <row r="256" spans="1:10" ht="13.5" x14ac:dyDescent="0.25">
      <c r="A256" s="249" t="s">
        <v>1279</v>
      </c>
      <c r="B256" s="224"/>
      <c r="C256" s="224"/>
      <c r="D256" s="224"/>
      <c r="E256" s="224">
        <v>4495</v>
      </c>
      <c r="F256" s="224">
        <v>3000</v>
      </c>
      <c r="G256" s="224">
        <v>3000</v>
      </c>
      <c r="H256" s="224">
        <v>3000</v>
      </c>
      <c r="I256" s="224">
        <v>3000</v>
      </c>
      <c r="J256" s="224">
        <v>3000</v>
      </c>
    </row>
    <row r="257" spans="1:10" x14ac:dyDescent="0.2">
      <c r="A257" s="225" t="s">
        <v>1457</v>
      </c>
      <c r="B257" s="224"/>
      <c r="C257" s="224"/>
      <c r="D257" s="224">
        <v>3000</v>
      </c>
      <c r="E257" s="224"/>
      <c r="F257" s="224"/>
      <c r="G257" s="224"/>
      <c r="H257" s="224"/>
      <c r="I257" s="224"/>
      <c r="J257" s="224"/>
    </row>
    <row r="258" spans="1:10" x14ac:dyDescent="0.2">
      <c r="A258" s="225" t="s">
        <v>345</v>
      </c>
      <c r="B258" s="224"/>
      <c r="C258" s="224"/>
      <c r="D258" s="224" t="s">
        <v>345</v>
      </c>
      <c r="E258" s="224"/>
      <c r="F258" s="224"/>
      <c r="G258" s="224"/>
      <c r="H258" s="224"/>
      <c r="I258" s="224"/>
      <c r="J258" s="224"/>
    </row>
    <row r="259" spans="1:10" ht="13.5" x14ac:dyDescent="0.25">
      <c r="A259" s="249" t="s">
        <v>1280</v>
      </c>
      <c r="B259" s="224"/>
      <c r="C259" s="224"/>
      <c r="D259" s="224" t="s">
        <v>345</v>
      </c>
      <c r="E259" s="224">
        <v>16672</v>
      </c>
      <c r="F259" s="224">
        <v>15000</v>
      </c>
      <c r="G259" s="224">
        <v>15000</v>
      </c>
      <c r="H259" s="224">
        <v>15000</v>
      </c>
      <c r="I259" s="224">
        <v>15000</v>
      </c>
      <c r="J259" s="224">
        <v>15000</v>
      </c>
    </row>
    <row r="260" spans="1:10" x14ac:dyDescent="0.2">
      <c r="A260" s="225" t="s">
        <v>47</v>
      </c>
      <c r="B260" s="224"/>
      <c r="C260" s="224"/>
      <c r="D260" s="224" t="s">
        <v>345</v>
      </c>
      <c r="E260" s="224"/>
      <c r="F260" s="224"/>
      <c r="G260" s="224"/>
      <c r="H260" s="224"/>
      <c r="I260" s="224"/>
      <c r="J260" s="224"/>
    </row>
    <row r="261" spans="1:10" x14ac:dyDescent="0.2">
      <c r="A261" s="225" t="s">
        <v>1458</v>
      </c>
      <c r="B261" s="224"/>
      <c r="C261" s="224"/>
      <c r="D261" s="224">
        <v>8000</v>
      </c>
      <c r="E261" s="224"/>
      <c r="F261" s="224"/>
      <c r="G261" s="224"/>
      <c r="H261" s="224"/>
      <c r="I261" s="224"/>
      <c r="J261" s="224"/>
    </row>
    <row r="262" spans="1:10" x14ac:dyDescent="0.2">
      <c r="A262" s="225" t="s">
        <v>1346</v>
      </c>
      <c r="B262" s="224"/>
      <c r="C262" s="224"/>
      <c r="D262" s="226">
        <v>7000</v>
      </c>
      <c r="E262" s="224"/>
      <c r="F262" s="224"/>
      <c r="G262" s="224"/>
      <c r="H262" s="224"/>
      <c r="I262" s="224"/>
      <c r="J262" s="224"/>
    </row>
    <row r="263" spans="1:10" x14ac:dyDescent="0.2">
      <c r="A263" s="225" t="s">
        <v>1073</v>
      </c>
      <c r="B263" s="224"/>
      <c r="C263" s="224"/>
      <c r="D263" s="224">
        <f>SUM(D261:D262)</f>
        <v>15000</v>
      </c>
      <c r="E263" s="224"/>
      <c r="F263" s="224"/>
      <c r="G263" s="224"/>
      <c r="H263" s="224"/>
      <c r="I263" s="224"/>
      <c r="J263" s="224"/>
    </row>
    <row r="264" spans="1:10" x14ac:dyDescent="0.2">
      <c r="A264" s="225"/>
      <c r="B264" s="224"/>
      <c r="C264" s="224"/>
      <c r="D264" s="224"/>
      <c r="E264" s="224"/>
      <c r="F264" s="224"/>
      <c r="G264" s="224"/>
      <c r="H264" s="224"/>
      <c r="I264" s="224"/>
      <c r="J264" s="224"/>
    </row>
    <row r="265" spans="1:10" ht="13.5" x14ac:dyDescent="0.25">
      <c r="A265" s="249" t="s">
        <v>923</v>
      </c>
      <c r="B265" s="224"/>
      <c r="C265" s="224"/>
      <c r="D265" s="224"/>
      <c r="E265" s="224">
        <v>154323</v>
      </c>
      <c r="F265" s="224">
        <v>113070</v>
      </c>
      <c r="G265" s="224">
        <v>126795</v>
      </c>
      <c r="H265" s="224">
        <v>126795</v>
      </c>
      <c r="I265" s="224">
        <v>126795</v>
      </c>
      <c r="J265" s="224">
        <v>126795</v>
      </c>
    </row>
    <row r="266" spans="1:10" x14ac:dyDescent="0.2">
      <c r="A266" s="225" t="s">
        <v>404</v>
      </c>
      <c r="B266" s="224"/>
      <c r="C266" s="224"/>
      <c r="D266" s="224">
        <v>38000</v>
      </c>
      <c r="E266" s="224"/>
      <c r="F266" s="224"/>
      <c r="G266" s="224"/>
      <c r="H266" s="224"/>
      <c r="I266" s="224"/>
      <c r="J266" s="224"/>
    </row>
    <row r="267" spans="1:10" x14ac:dyDescent="0.2">
      <c r="A267" s="225" t="s">
        <v>2057</v>
      </c>
      <c r="B267" s="224"/>
      <c r="C267" s="224"/>
      <c r="D267" s="224">
        <v>1650</v>
      </c>
      <c r="E267" s="224"/>
      <c r="F267" s="224"/>
      <c r="G267" s="224"/>
      <c r="H267" s="224"/>
      <c r="I267" s="224"/>
      <c r="J267" s="224"/>
    </row>
    <row r="268" spans="1:10" x14ac:dyDescent="0.2">
      <c r="A268" s="225" t="s">
        <v>499</v>
      </c>
      <c r="B268" s="224"/>
      <c r="C268" s="224"/>
      <c r="D268" s="224">
        <v>70000</v>
      </c>
      <c r="E268" s="224"/>
      <c r="F268" s="224"/>
      <c r="G268" s="224"/>
      <c r="H268" s="224"/>
      <c r="I268" s="224"/>
      <c r="J268" s="224"/>
    </row>
    <row r="269" spans="1:10" x14ac:dyDescent="0.2">
      <c r="A269" s="225" t="s">
        <v>1347</v>
      </c>
      <c r="B269" s="224"/>
      <c r="C269" s="224"/>
      <c r="D269" s="224">
        <v>0</v>
      </c>
      <c r="E269" s="224"/>
      <c r="F269" s="224"/>
      <c r="G269" s="224"/>
      <c r="H269" s="224"/>
      <c r="I269" s="224"/>
      <c r="J269" s="224"/>
    </row>
    <row r="270" spans="1:10" x14ac:dyDescent="0.2">
      <c r="A270" s="225" t="s">
        <v>48</v>
      </c>
      <c r="B270" s="224"/>
      <c r="C270" s="224"/>
      <c r="D270" s="224">
        <v>1800</v>
      </c>
      <c r="E270" s="224"/>
      <c r="F270" s="224"/>
      <c r="G270" s="224"/>
      <c r="H270" s="224"/>
      <c r="I270" s="224"/>
      <c r="J270" s="224"/>
    </row>
    <row r="271" spans="1:10" x14ac:dyDescent="0.2">
      <c r="A271" s="225" t="s">
        <v>49</v>
      </c>
      <c r="B271" s="224"/>
      <c r="C271" s="224"/>
      <c r="D271" s="224">
        <v>1700</v>
      </c>
      <c r="E271" s="224"/>
      <c r="F271" s="224"/>
      <c r="G271" s="224"/>
      <c r="H271" s="224"/>
      <c r="I271" s="224"/>
      <c r="J271" s="224"/>
    </row>
    <row r="272" spans="1:10" x14ac:dyDescent="0.2">
      <c r="A272" s="225" t="s">
        <v>50</v>
      </c>
      <c r="B272" s="224"/>
      <c r="C272" s="224"/>
      <c r="D272" s="224">
        <v>300</v>
      </c>
      <c r="E272" s="224"/>
      <c r="F272" s="224"/>
      <c r="G272" s="224"/>
      <c r="H272" s="224"/>
      <c r="I272" s="224"/>
      <c r="J272" s="224"/>
    </row>
    <row r="273" spans="1:10" x14ac:dyDescent="0.2">
      <c r="A273" s="225" t="s">
        <v>1459</v>
      </c>
      <c r="B273" s="224"/>
      <c r="C273" s="224"/>
      <c r="D273" s="224">
        <v>2000</v>
      </c>
      <c r="E273" s="224"/>
      <c r="F273" s="224"/>
      <c r="G273" s="224"/>
      <c r="H273" s="224"/>
      <c r="I273" s="224"/>
      <c r="J273" s="224"/>
    </row>
    <row r="274" spans="1:10" x14ac:dyDescent="0.2">
      <c r="A274" s="225" t="s">
        <v>117</v>
      </c>
      <c r="B274" s="224"/>
      <c r="C274" s="224"/>
      <c r="D274" s="224">
        <v>7245</v>
      </c>
      <c r="E274" s="224"/>
      <c r="F274" s="224"/>
      <c r="G274" s="224"/>
      <c r="H274" s="224"/>
      <c r="I274" s="224"/>
      <c r="J274" s="224"/>
    </row>
    <row r="275" spans="1:10" x14ac:dyDescent="0.2">
      <c r="A275" s="225" t="s">
        <v>1548</v>
      </c>
      <c r="B275" s="224"/>
      <c r="C275" s="224"/>
      <c r="D275" s="224">
        <v>600</v>
      </c>
      <c r="E275" s="224"/>
      <c r="F275" s="224"/>
      <c r="G275" s="224"/>
      <c r="H275" s="224"/>
      <c r="I275" s="224"/>
      <c r="J275" s="224"/>
    </row>
    <row r="276" spans="1:10" x14ac:dyDescent="0.2">
      <c r="A276" s="225" t="s">
        <v>352</v>
      </c>
      <c r="B276" s="224"/>
      <c r="C276" s="224"/>
      <c r="D276" s="224">
        <v>2500</v>
      </c>
      <c r="E276" s="224"/>
      <c r="F276" s="224"/>
      <c r="G276" s="224"/>
      <c r="H276" s="224"/>
      <c r="I276" s="224"/>
      <c r="J276" s="224"/>
    </row>
    <row r="277" spans="1:10" x14ac:dyDescent="0.2">
      <c r="A277" s="225" t="s">
        <v>498</v>
      </c>
      <c r="B277" s="224"/>
      <c r="C277" s="224"/>
      <c r="D277" s="226">
        <v>1000</v>
      </c>
      <c r="E277" s="224"/>
      <c r="F277" s="224"/>
      <c r="G277" s="224"/>
      <c r="H277" s="224"/>
      <c r="I277" s="224"/>
      <c r="J277" s="224"/>
    </row>
    <row r="278" spans="1:10" x14ac:dyDescent="0.2">
      <c r="A278" s="225" t="s">
        <v>1073</v>
      </c>
      <c r="B278" s="224"/>
      <c r="C278" s="224"/>
      <c r="D278" s="224">
        <f>SUM(D266:D277)</f>
        <v>126795</v>
      </c>
      <c r="E278" s="224"/>
      <c r="F278" s="224"/>
      <c r="G278" s="224"/>
      <c r="H278" s="224"/>
      <c r="I278" s="224"/>
      <c r="J278" s="224"/>
    </row>
    <row r="279" spans="1:10" x14ac:dyDescent="0.2">
      <c r="A279" s="225"/>
      <c r="B279" s="224"/>
      <c r="C279" s="224"/>
      <c r="D279" s="224"/>
      <c r="E279" s="224"/>
      <c r="F279" s="224"/>
      <c r="G279" s="224"/>
      <c r="H279" s="224"/>
      <c r="I279" s="224"/>
      <c r="J279" s="224"/>
    </row>
    <row r="280" spans="1:10" ht="13.5" x14ac:dyDescent="0.25">
      <c r="A280" s="249" t="s">
        <v>500</v>
      </c>
      <c r="B280" s="224"/>
      <c r="C280" s="224"/>
      <c r="D280" s="224"/>
      <c r="E280" s="224">
        <v>49638</v>
      </c>
      <c r="F280" s="224">
        <v>61000</v>
      </c>
      <c r="G280" s="224">
        <v>53000</v>
      </c>
      <c r="H280" s="224">
        <v>53000</v>
      </c>
      <c r="I280" s="224">
        <v>53000</v>
      </c>
      <c r="J280" s="224">
        <v>53000</v>
      </c>
    </row>
    <row r="281" spans="1:10" x14ac:dyDescent="0.2">
      <c r="A281" s="225" t="s">
        <v>501</v>
      </c>
      <c r="B281" s="224"/>
      <c r="C281" s="224"/>
      <c r="D281" s="224"/>
      <c r="E281" s="224"/>
      <c r="F281" s="224"/>
      <c r="G281" s="224"/>
      <c r="H281" s="224"/>
      <c r="I281" s="224"/>
      <c r="J281" s="224"/>
    </row>
    <row r="282" spans="1:10" x14ac:dyDescent="0.2">
      <c r="A282" s="225" t="s">
        <v>700</v>
      </c>
      <c r="B282" s="224" t="s">
        <v>345</v>
      </c>
      <c r="C282" s="224"/>
      <c r="D282" s="224">
        <v>51000</v>
      </c>
      <c r="E282" s="224"/>
      <c r="F282" s="224"/>
      <c r="G282" s="224"/>
      <c r="H282" s="224"/>
      <c r="I282" s="224"/>
      <c r="J282" s="224"/>
    </row>
    <row r="283" spans="1:10" x14ac:dyDescent="0.2">
      <c r="A283" s="225" t="s">
        <v>1952</v>
      </c>
      <c r="B283" s="224"/>
      <c r="C283" s="224"/>
      <c r="D283" s="226">
        <v>2000</v>
      </c>
      <c r="E283" s="224"/>
      <c r="F283" s="224"/>
      <c r="G283" s="224"/>
      <c r="H283" s="224"/>
      <c r="I283" s="224"/>
      <c r="J283" s="224"/>
    </row>
    <row r="284" spans="1:10" x14ac:dyDescent="0.2">
      <c r="A284" s="225"/>
      <c r="B284" s="224"/>
      <c r="C284" s="224"/>
      <c r="D284" s="224">
        <f>SUM(D282:D283)</f>
        <v>53000</v>
      </c>
      <c r="E284" s="224"/>
      <c r="F284" s="224"/>
      <c r="G284" s="224"/>
      <c r="H284" s="224"/>
      <c r="I284" s="224"/>
      <c r="J284" s="224"/>
    </row>
    <row r="285" spans="1:10" x14ac:dyDescent="0.2">
      <c r="A285" s="225"/>
      <c r="B285" s="224"/>
      <c r="C285" s="224"/>
      <c r="D285" s="224"/>
      <c r="E285" s="224"/>
      <c r="F285" s="224"/>
      <c r="G285" s="224"/>
      <c r="H285" s="224"/>
      <c r="I285" s="224"/>
      <c r="J285" s="224"/>
    </row>
    <row r="286" spans="1:10" ht="13.5" x14ac:dyDescent="0.25">
      <c r="A286" s="249" t="s">
        <v>1196</v>
      </c>
      <c r="B286" s="224"/>
      <c r="C286" s="224"/>
      <c r="D286" s="224"/>
      <c r="E286" s="224">
        <v>25396</v>
      </c>
      <c r="F286" s="224">
        <v>20000</v>
      </c>
      <c r="G286" s="224">
        <v>20000</v>
      </c>
      <c r="H286" s="224">
        <v>20000</v>
      </c>
      <c r="I286" s="224">
        <v>20000</v>
      </c>
      <c r="J286" s="224">
        <v>20000</v>
      </c>
    </row>
    <row r="287" spans="1:10" x14ac:dyDescent="0.2">
      <c r="A287" s="225" t="s">
        <v>1179</v>
      </c>
      <c r="B287" s="224" t="s">
        <v>345</v>
      </c>
      <c r="C287" s="224"/>
      <c r="D287" s="224">
        <v>5000</v>
      </c>
      <c r="E287" s="224"/>
      <c r="F287" s="224"/>
      <c r="G287" s="224"/>
      <c r="H287" s="224"/>
      <c r="I287" s="224"/>
      <c r="J287" s="224"/>
    </row>
    <row r="288" spans="1:10" x14ac:dyDescent="0.2">
      <c r="A288" s="225" t="s">
        <v>1197</v>
      </c>
      <c r="B288" s="224"/>
      <c r="C288" s="224"/>
      <c r="D288" s="226">
        <v>15000</v>
      </c>
      <c r="E288" s="224"/>
      <c r="F288" s="224"/>
      <c r="G288" s="224"/>
      <c r="H288" s="224"/>
      <c r="I288" s="224"/>
      <c r="J288" s="224"/>
    </row>
    <row r="289" spans="1:10" x14ac:dyDescent="0.2">
      <c r="A289" s="225" t="s">
        <v>1073</v>
      </c>
      <c r="B289" s="224"/>
      <c r="C289" s="224"/>
      <c r="D289" s="224">
        <f>SUM(D287:D288)</f>
        <v>20000</v>
      </c>
      <c r="E289" s="224"/>
      <c r="F289" s="224"/>
      <c r="G289" s="224"/>
      <c r="H289" s="224"/>
      <c r="I289" s="224"/>
      <c r="J289" s="224"/>
    </row>
    <row r="290" spans="1:10" x14ac:dyDescent="0.2">
      <c r="A290" s="225"/>
      <c r="B290" s="224"/>
      <c r="C290" s="224" t="s">
        <v>345</v>
      </c>
      <c r="D290" s="224" t="s">
        <v>345</v>
      </c>
      <c r="E290" s="224"/>
      <c r="F290" s="224"/>
      <c r="G290" s="224"/>
      <c r="H290" s="224"/>
      <c r="I290" s="224"/>
      <c r="J290" s="224"/>
    </row>
    <row r="291" spans="1:10" ht="13.5" x14ac:dyDescent="0.25">
      <c r="A291" s="249" t="s">
        <v>1039</v>
      </c>
      <c r="B291" s="224"/>
      <c r="C291" s="224"/>
      <c r="D291" s="224"/>
      <c r="E291" s="224">
        <v>96870</v>
      </c>
      <c r="F291" s="224">
        <v>31000</v>
      </c>
      <c r="G291" s="224">
        <v>51870</v>
      </c>
      <c r="H291" s="224">
        <v>51870</v>
      </c>
      <c r="I291" s="224">
        <v>51870</v>
      </c>
      <c r="J291" s="224">
        <v>51870</v>
      </c>
    </row>
    <row r="292" spans="1:10" x14ac:dyDescent="0.2">
      <c r="A292" s="225" t="s">
        <v>112</v>
      </c>
      <c r="B292" s="224"/>
      <c r="C292" s="224"/>
      <c r="D292" s="224">
        <v>500</v>
      </c>
      <c r="E292" s="224"/>
      <c r="F292" s="224"/>
      <c r="G292" s="224"/>
      <c r="H292" s="224"/>
      <c r="I292" s="224"/>
      <c r="J292" s="224"/>
    </row>
    <row r="293" spans="1:10" x14ac:dyDescent="0.2">
      <c r="A293" s="225" t="s">
        <v>634</v>
      </c>
      <c r="B293" s="224"/>
      <c r="C293" s="224"/>
      <c r="D293" s="224">
        <v>14550</v>
      </c>
      <c r="E293" s="224"/>
      <c r="F293" s="224"/>
      <c r="G293" s="224"/>
      <c r="H293" s="224"/>
      <c r="I293" s="224"/>
      <c r="J293" s="224"/>
    </row>
    <row r="294" spans="1:10" x14ac:dyDescent="0.2">
      <c r="A294" s="225" t="s">
        <v>2058</v>
      </c>
      <c r="B294" s="224"/>
      <c r="C294" s="224"/>
      <c r="D294" s="224">
        <v>2760</v>
      </c>
      <c r="E294" s="224"/>
      <c r="F294" s="224"/>
      <c r="G294" s="224"/>
      <c r="H294" s="224"/>
      <c r="I294" s="224"/>
      <c r="J294" s="224"/>
    </row>
    <row r="295" spans="1:10" x14ac:dyDescent="0.2">
      <c r="A295" s="225" t="s">
        <v>934</v>
      </c>
      <c r="B295" s="224"/>
      <c r="C295" s="224"/>
      <c r="D295" s="224" t="s">
        <v>345</v>
      </c>
      <c r="E295" s="224"/>
      <c r="F295" s="224"/>
      <c r="G295" s="224"/>
      <c r="H295" s="224"/>
      <c r="I295" s="224"/>
      <c r="J295" s="224"/>
    </row>
    <row r="296" spans="1:10" x14ac:dyDescent="0.2">
      <c r="A296" s="225" t="s">
        <v>168</v>
      </c>
      <c r="B296" s="224"/>
      <c r="C296" s="224"/>
      <c r="D296" s="224">
        <v>1510</v>
      </c>
      <c r="E296" s="224"/>
      <c r="F296" s="224"/>
      <c r="G296" s="224"/>
      <c r="H296" s="224"/>
      <c r="I296" s="224"/>
      <c r="J296" s="224"/>
    </row>
    <row r="297" spans="1:10" x14ac:dyDescent="0.2">
      <c r="A297" s="225" t="s">
        <v>113</v>
      </c>
      <c r="B297" s="224"/>
      <c r="C297" s="224"/>
      <c r="D297" s="224">
        <v>6500</v>
      </c>
      <c r="E297" s="224"/>
      <c r="F297" s="224"/>
      <c r="G297" s="224"/>
      <c r="H297" s="224"/>
      <c r="I297" s="224"/>
      <c r="J297" s="224"/>
    </row>
    <row r="298" spans="1:10" x14ac:dyDescent="0.2">
      <c r="A298" s="225" t="s">
        <v>62</v>
      </c>
      <c r="B298" s="224"/>
      <c r="C298" s="224"/>
      <c r="D298" s="224">
        <v>8500</v>
      </c>
      <c r="E298" s="224"/>
      <c r="F298" s="224"/>
      <c r="G298" s="224"/>
      <c r="H298" s="224"/>
      <c r="I298" s="224"/>
      <c r="J298" s="224"/>
    </row>
    <row r="299" spans="1:10" x14ac:dyDescent="0.2">
      <c r="A299" s="225" t="s">
        <v>118</v>
      </c>
      <c r="B299" s="224"/>
      <c r="C299" s="224"/>
      <c r="D299" s="224">
        <v>3000</v>
      </c>
      <c r="E299" s="224"/>
      <c r="F299" s="224"/>
      <c r="G299" s="224"/>
      <c r="H299" s="224"/>
      <c r="I299" s="224"/>
      <c r="J299" s="224"/>
    </row>
    <row r="300" spans="1:10" x14ac:dyDescent="0.2">
      <c r="A300" s="225" t="s">
        <v>169</v>
      </c>
      <c r="B300" s="224"/>
      <c r="C300" s="224"/>
      <c r="D300" s="224">
        <v>2000</v>
      </c>
      <c r="E300" s="224"/>
      <c r="F300" s="224"/>
      <c r="G300" s="224"/>
      <c r="H300" s="224"/>
      <c r="I300" s="224"/>
      <c r="J300" s="224"/>
    </row>
    <row r="301" spans="1:10" x14ac:dyDescent="0.2">
      <c r="A301" s="225" t="s">
        <v>170</v>
      </c>
      <c r="B301" s="224"/>
      <c r="C301" s="224"/>
      <c r="D301" s="224">
        <v>7750</v>
      </c>
      <c r="E301" s="224"/>
      <c r="F301" s="224"/>
      <c r="G301" s="224"/>
      <c r="H301" s="224"/>
      <c r="I301" s="224"/>
      <c r="J301" s="224"/>
    </row>
    <row r="302" spans="1:10" x14ac:dyDescent="0.2">
      <c r="A302" s="225" t="s">
        <v>171</v>
      </c>
      <c r="B302" s="224"/>
      <c r="C302" s="224"/>
      <c r="D302" s="224">
        <v>300</v>
      </c>
      <c r="E302" s="224"/>
      <c r="F302" s="224"/>
      <c r="G302" s="224"/>
      <c r="H302" s="224"/>
      <c r="I302" s="224"/>
      <c r="J302" s="224"/>
    </row>
    <row r="303" spans="1:10" x14ac:dyDescent="0.2">
      <c r="A303" s="225" t="s">
        <v>1549</v>
      </c>
      <c r="B303" s="224"/>
      <c r="C303" s="224"/>
      <c r="D303" s="224">
        <v>1000</v>
      </c>
      <c r="E303" s="224"/>
      <c r="F303" s="224"/>
      <c r="G303" s="224"/>
      <c r="H303" s="224"/>
      <c r="I303" s="224"/>
      <c r="J303" s="224"/>
    </row>
    <row r="304" spans="1:10" x14ac:dyDescent="0.2">
      <c r="A304" s="225" t="s">
        <v>1655</v>
      </c>
      <c r="B304" s="224"/>
      <c r="C304" s="224"/>
      <c r="D304" s="224">
        <v>3500</v>
      </c>
      <c r="E304" s="224"/>
      <c r="F304" s="224"/>
      <c r="G304" s="224"/>
      <c r="H304" s="224"/>
      <c r="I304" s="224"/>
      <c r="J304" s="224"/>
    </row>
    <row r="305" spans="1:10" x14ac:dyDescent="0.2">
      <c r="A305" s="225" t="s">
        <v>2076</v>
      </c>
      <c r="B305" s="224"/>
      <c r="C305" s="224"/>
      <c r="D305" s="226"/>
      <c r="E305" s="224"/>
      <c r="F305" s="224"/>
      <c r="G305" s="224"/>
      <c r="H305" s="224"/>
      <c r="I305" s="224"/>
      <c r="J305" s="224"/>
    </row>
    <row r="306" spans="1:10" x14ac:dyDescent="0.2">
      <c r="A306" s="225" t="s">
        <v>1073</v>
      </c>
      <c r="B306" s="224"/>
      <c r="C306" s="224"/>
      <c r="D306" s="224">
        <f>SUM(D292:D304)</f>
        <v>51870</v>
      </c>
      <c r="E306" s="224"/>
      <c r="F306" s="224"/>
      <c r="G306" s="224"/>
      <c r="H306" s="224"/>
      <c r="I306" s="224"/>
      <c r="J306" s="224"/>
    </row>
    <row r="307" spans="1:10" x14ac:dyDescent="0.2">
      <c r="A307" s="225"/>
      <c r="B307" s="224"/>
      <c r="C307" s="224"/>
      <c r="D307" s="224"/>
      <c r="E307" s="224"/>
      <c r="F307" s="224"/>
      <c r="G307" s="224"/>
      <c r="H307" s="224"/>
      <c r="I307" s="224"/>
      <c r="J307" s="224"/>
    </row>
    <row r="308" spans="1:10" ht="13.5" x14ac:dyDescent="0.25">
      <c r="A308" s="249" t="s">
        <v>685</v>
      </c>
      <c r="B308" s="224"/>
      <c r="C308" s="224" t="s">
        <v>345</v>
      </c>
      <c r="D308" s="224" t="s">
        <v>345</v>
      </c>
      <c r="E308" s="224">
        <v>9400</v>
      </c>
      <c r="F308" s="224">
        <v>12000</v>
      </c>
      <c r="G308" s="224">
        <v>12000</v>
      </c>
      <c r="H308" s="224">
        <v>12000</v>
      </c>
      <c r="I308" s="224">
        <v>12000</v>
      </c>
      <c r="J308" s="224">
        <v>12000</v>
      </c>
    </row>
    <row r="309" spans="1:10" s="198" customFormat="1" x14ac:dyDescent="0.2">
      <c r="A309" s="225" t="s">
        <v>1182</v>
      </c>
      <c r="B309" s="224"/>
      <c r="C309" s="224"/>
      <c r="D309" s="224">
        <v>12000</v>
      </c>
      <c r="E309" s="224"/>
      <c r="F309" s="224"/>
      <c r="G309" s="224"/>
      <c r="H309" s="224"/>
      <c r="I309" s="224"/>
      <c r="J309" s="224"/>
    </row>
    <row r="310" spans="1:10" s="198" customFormat="1" x14ac:dyDescent="0.2">
      <c r="A310" s="225"/>
      <c r="B310" s="224"/>
      <c r="C310" s="224"/>
      <c r="D310" s="224"/>
      <c r="E310" s="224"/>
      <c r="F310" s="224"/>
      <c r="G310" s="224"/>
      <c r="H310" s="224"/>
      <c r="I310" s="224"/>
      <c r="J310" s="224"/>
    </row>
    <row r="311" spans="1:10" s="198" customFormat="1" ht="13.5" x14ac:dyDescent="0.25">
      <c r="A311" s="249" t="s">
        <v>384</v>
      </c>
      <c r="B311" s="224"/>
      <c r="C311" s="224"/>
      <c r="D311" s="224"/>
      <c r="E311" s="224">
        <v>0</v>
      </c>
      <c r="F311" s="224">
        <v>4000</v>
      </c>
      <c r="G311" s="224">
        <v>4000</v>
      </c>
      <c r="H311" s="224">
        <v>4000</v>
      </c>
      <c r="I311" s="224">
        <v>4000</v>
      </c>
      <c r="J311" s="224">
        <v>4000</v>
      </c>
    </row>
    <row r="312" spans="1:10" x14ac:dyDescent="0.2">
      <c r="A312" s="225" t="s">
        <v>1040</v>
      </c>
      <c r="B312" s="224"/>
      <c r="C312" s="224"/>
      <c r="D312" s="224"/>
      <c r="E312" s="224"/>
      <c r="F312" s="224"/>
      <c r="G312" s="224"/>
      <c r="H312" s="224"/>
      <c r="I312" s="224"/>
      <c r="J312" s="224"/>
    </row>
    <row r="313" spans="1:10" x14ac:dyDescent="0.2">
      <c r="A313" s="225" t="s">
        <v>1041</v>
      </c>
      <c r="B313" s="224"/>
      <c r="C313" s="224"/>
      <c r="D313" s="224">
        <v>4000</v>
      </c>
      <c r="E313" s="224"/>
      <c r="F313" s="224"/>
      <c r="G313" s="224"/>
      <c r="H313" s="224"/>
      <c r="I313" s="224"/>
      <c r="J313" s="224"/>
    </row>
    <row r="314" spans="1:10" x14ac:dyDescent="0.2">
      <c r="A314" s="225"/>
      <c r="B314" s="224"/>
      <c r="C314" s="224"/>
      <c r="D314" s="224"/>
      <c r="E314" s="224"/>
      <c r="F314" s="224"/>
      <c r="G314" s="224"/>
      <c r="H314" s="224"/>
      <c r="I314" s="224"/>
      <c r="J314" s="224"/>
    </row>
    <row r="315" spans="1:10" ht="13.5" x14ac:dyDescent="0.25">
      <c r="A315" s="249" t="s">
        <v>1980</v>
      </c>
      <c r="B315" s="224"/>
      <c r="C315" s="224" t="s">
        <v>345</v>
      </c>
      <c r="D315" s="224" t="s">
        <v>345</v>
      </c>
      <c r="E315" s="224">
        <v>1775</v>
      </c>
      <c r="F315" s="224">
        <v>0</v>
      </c>
      <c r="G315" s="224">
        <v>0</v>
      </c>
      <c r="H315" s="224">
        <v>0</v>
      </c>
      <c r="I315" s="224">
        <v>0</v>
      </c>
      <c r="J315" s="224">
        <v>0</v>
      </c>
    </row>
    <row r="316" spans="1:10" x14ac:dyDescent="0.2">
      <c r="A316" s="225"/>
      <c r="B316" s="224"/>
      <c r="C316" s="224"/>
      <c r="D316" s="224">
        <v>0</v>
      </c>
      <c r="E316" s="224"/>
      <c r="F316" s="224"/>
      <c r="G316" s="224"/>
      <c r="H316" s="224"/>
      <c r="I316" s="224"/>
      <c r="J316" s="224"/>
    </row>
    <row r="317" spans="1:10" x14ac:dyDescent="0.2">
      <c r="A317" s="225"/>
      <c r="B317" s="224"/>
      <c r="C317" s="224"/>
      <c r="D317" s="224"/>
      <c r="E317" s="224"/>
      <c r="F317" s="224"/>
      <c r="G317" s="224"/>
      <c r="H317" s="224"/>
      <c r="I317" s="224"/>
      <c r="J317" s="224"/>
    </row>
    <row r="318" spans="1:10" ht="13.5" x14ac:dyDescent="0.25">
      <c r="A318" s="249" t="s">
        <v>224</v>
      </c>
      <c r="B318" s="224"/>
      <c r="C318" s="224"/>
      <c r="D318" s="224"/>
      <c r="E318" s="224">
        <v>1384</v>
      </c>
      <c r="F318" s="224">
        <v>4000</v>
      </c>
      <c r="G318" s="224">
        <v>4000</v>
      </c>
      <c r="H318" s="224">
        <v>4000</v>
      </c>
      <c r="I318" s="224">
        <v>4000</v>
      </c>
      <c r="J318" s="224">
        <v>4000</v>
      </c>
    </row>
    <row r="319" spans="1:10" x14ac:dyDescent="0.2">
      <c r="A319" s="225" t="s">
        <v>1460</v>
      </c>
      <c r="B319" s="224"/>
      <c r="C319" s="224"/>
      <c r="D319" s="224">
        <v>4000</v>
      </c>
      <c r="E319" s="224"/>
      <c r="F319" s="224"/>
      <c r="G319" s="224"/>
      <c r="H319" s="224"/>
      <c r="I319" s="224"/>
      <c r="J319" s="224"/>
    </row>
    <row r="320" spans="1:10" x14ac:dyDescent="0.2">
      <c r="A320" s="225" t="s">
        <v>1515</v>
      </c>
      <c r="B320" s="224"/>
      <c r="C320" s="224"/>
      <c r="D320" s="224"/>
      <c r="E320" s="224"/>
      <c r="F320" s="224"/>
      <c r="G320" s="224"/>
      <c r="H320" s="224"/>
      <c r="I320" s="224"/>
      <c r="J320" s="224"/>
    </row>
    <row r="321" spans="1:10" x14ac:dyDescent="0.2">
      <c r="A321" s="225"/>
      <c r="B321" s="224"/>
      <c r="C321" s="224"/>
      <c r="D321" s="224"/>
      <c r="E321" s="224"/>
      <c r="F321" s="224"/>
      <c r="G321" s="224"/>
      <c r="H321" s="224"/>
      <c r="I321" s="224"/>
      <c r="J321" s="224"/>
    </row>
    <row r="322" spans="1:10" ht="13.5" x14ac:dyDescent="0.25">
      <c r="A322" s="249" t="s">
        <v>568</v>
      </c>
      <c r="B322" s="224"/>
      <c r="C322" s="224"/>
      <c r="D322" s="224" t="s">
        <v>345</v>
      </c>
      <c r="E322" s="224">
        <v>29000</v>
      </c>
      <c r="F322" s="224">
        <v>1000</v>
      </c>
      <c r="G322" s="224">
        <v>86000</v>
      </c>
      <c r="H322" s="224">
        <v>0</v>
      </c>
      <c r="I322" s="224">
        <v>0</v>
      </c>
      <c r="J322" s="224">
        <v>0</v>
      </c>
    </row>
    <row r="323" spans="1:10" x14ac:dyDescent="0.2">
      <c r="A323" s="225" t="s">
        <v>2059</v>
      </c>
      <c r="B323" s="224"/>
      <c r="C323" s="224"/>
      <c r="D323" s="224">
        <v>36000</v>
      </c>
      <c r="E323" s="224"/>
      <c r="F323" s="224"/>
      <c r="G323" s="224"/>
      <c r="H323" s="224"/>
      <c r="I323" s="224"/>
      <c r="J323" s="224"/>
    </row>
    <row r="324" spans="1:10" x14ac:dyDescent="0.2">
      <c r="A324" s="225" t="s">
        <v>1804</v>
      </c>
      <c r="B324" s="224"/>
      <c r="C324" s="224"/>
      <c r="D324" s="226">
        <v>0</v>
      </c>
      <c r="E324" s="224"/>
      <c r="F324" s="224"/>
      <c r="G324" s="224"/>
      <c r="H324" s="224"/>
      <c r="I324" s="224"/>
      <c r="J324" s="224"/>
    </row>
    <row r="325" spans="1:10" x14ac:dyDescent="0.2">
      <c r="A325" s="225"/>
      <c r="B325" s="224"/>
      <c r="C325" s="224"/>
      <c r="D325" s="224">
        <f>SUM(D323:D324)</f>
        <v>36000</v>
      </c>
      <c r="E325" s="224"/>
      <c r="F325" s="224"/>
      <c r="G325" s="224"/>
      <c r="H325" s="224"/>
      <c r="I325" s="224"/>
      <c r="J325" s="224"/>
    </row>
    <row r="326" spans="1:10" x14ac:dyDescent="0.2">
      <c r="A326" s="225"/>
      <c r="B326" s="224"/>
      <c r="C326" s="224"/>
      <c r="D326" s="224"/>
      <c r="E326" s="224"/>
      <c r="F326" s="224"/>
      <c r="G326" s="224"/>
      <c r="H326" s="224"/>
      <c r="I326" s="224"/>
      <c r="J326" s="224"/>
    </row>
    <row r="327" spans="1:10" ht="13.5" x14ac:dyDescent="0.25">
      <c r="A327" s="249" t="s">
        <v>1477</v>
      </c>
      <c r="B327" s="224"/>
      <c r="C327" s="224"/>
      <c r="D327" s="224"/>
      <c r="E327" s="224">
        <v>4656</v>
      </c>
      <c r="F327" s="224">
        <v>0</v>
      </c>
      <c r="G327" s="224">
        <v>0</v>
      </c>
      <c r="H327" s="224">
        <v>0</v>
      </c>
      <c r="I327" s="224">
        <v>0</v>
      </c>
      <c r="J327" s="224">
        <v>0</v>
      </c>
    </row>
    <row r="328" spans="1:10" x14ac:dyDescent="0.2">
      <c r="A328" s="225"/>
      <c r="B328" s="224"/>
      <c r="C328" s="224"/>
      <c r="D328" s="224">
        <v>0</v>
      </c>
      <c r="E328" s="224"/>
      <c r="F328" s="224"/>
      <c r="G328" s="224"/>
      <c r="H328" s="224"/>
      <c r="I328" s="224"/>
      <c r="J328" s="224"/>
    </row>
    <row r="329" spans="1:10" x14ac:dyDescent="0.2">
      <c r="A329" s="225"/>
      <c r="B329" s="224"/>
      <c r="C329" s="224"/>
      <c r="D329" s="224">
        <f>SUM(D328:D328)</f>
        <v>0</v>
      </c>
      <c r="E329" s="224"/>
      <c r="F329" s="224"/>
      <c r="G329" s="224"/>
      <c r="H329" s="224"/>
      <c r="I329" s="224"/>
      <c r="J329" s="224"/>
    </row>
    <row r="330" spans="1:10" x14ac:dyDescent="0.2">
      <c r="A330" s="225"/>
      <c r="B330" s="224"/>
      <c r="C330" s="224"/>
      <c r="D330" s="224"/>
      <c r="E330" s="224"/>
      <c r="F330" s="224"/>
      <c r="G330" s="224"/>
      <c r="H330" s="224"/>
      <c r="I330" s="224"/>
      <c r="J330" s="224"/>
    </row>
    <row r="331" spans="1:10" ht="13.5" x14ac:dyDescent="0.25">
      <c r="A331" s="249" t="s">
        <v>1469</v>
      </c>
      <c r="B331" s="224"/>
      <c r="C331" s="224"/>
      <c r="D331" s="224" t="s">
        <v>345</v>
      </c>
      <c r="E331" s="224">
        <v>1060990</v>
      </c>
      <c r="F331" s="224">
        <v>1240000</v>
      </c>
      <c r="G331" s="224">
        <v>1360000</v>
      </c>
      <c r="H331" s="224">
        <v>1160000</v>
      </c>
      <c r="I331" s="224">
        <v>1160000</v>
      </c>
      <c r="J331" s="224">
        <v>1160000</v>
      </c>
    </row>
    <row r="332" spans="1:10" s="198" customFormat="1" x14ac:dyDescent="0.2">
      <c r="A332" s="225" t="s">
        <v>1953</v>
      </c>
      <c r="B332" s="224"/>
      <c r="C332" s="224"/>
      <c r="D332" s="224">
        <v>0</v>
      </c>
      <c r="E332" s="224"/>
      <c r="F332" s="224"/>
      <c r="G332" s="224"/>
      <c r="H332" s="224"/>
      <c r="I332" s="224"/>
      <c r="J332" s="224"/>
    </row>
    <row r="333" spans="1:10" s="198" customFormat="1" x14ac:dyDescent="0.2">
      <c r="A333" s="225" t="s">
        <v>181</v>
      </c>
      <c r="B333" s="224"/>
      <c r="C333" s="224"/>
      <c r="D333" s="224">
        <v>1025000</v>
      </c>
      <c r="E333" s="224"/>
      <c r="F333" s="224"/>
      <c r="G333" s="224"/>
      <c r="H333" s="224"/>
      <c r="I333" s="224"/>
      <c r="J333" s="224"/>
    </row>
    <row r="334" spans="1:10" s="198" customFormat="1" x14ac:dyDescent="0.2">
      <c r="A334" s="225" t="s">
        <v>52</v>
      </c>
      <c r="B334" s="224"/>
      <c r="C334" s="224"/>
      <c r="D334" s="224">
        <v>135000</v>
      </c>
      <c r="E334" s="224"/>
      <c r="F334" s="224"/>
      <c r="G334" s="224"/>
      <c r="H334" s="224"/>
      <c r="I334" s="224"/>
      <c r="J334" s="224"/>
    </row>
    <row r="335" spans="1:10" s="198" customFormat="1" x14ac:dyDescent="0.2">
      <c r="A335" s="225" t="s">
        <v>2060</v>
      </c>
      <c r="B335" s="224"/>
      <c r="C335" s="224"/>
      <c r="D335" s="226">
        <v>0</v>
      </c>
      <c r="E335" s="224"/>
      <c r="F335" s="224"/>
      <c r="G335" s="224"/>
      <c r="H335" s="224"/>
      <c r="I335" s="224"/>
      <c r="J335" s="224"/>
    </row>
    <row r="336" spans="1:10" x14ac:dyDescent="0.2">
      <c r="A336" s="225" t="s">
        <v>1073</v>
      </c>
      <c r="B336" s="224"/>
      <c r="C336" s="224"/>
      <c r="D336" s="224">
        <f>SUM(D332:D335)</f>
        <v>1160000</v>
      </c>
      <c r="E336" s="224"/>
      <c r="F336" s="224"/>
      <c r="G336" s="224"/>
      <c r="H336" s="224"/>
      <c r="I336" s="224"/>
      <c r="J336" s="224"/>
    </row>
    <row r="337" spans="1:10" x14ac:dyDescent="0.2">
      <c r="A337" s="225"/>
      <c r="B337" s="224"/>
      <c r="C337" s="224"/>
      <c r="D337" s="224"/>
      <c r="E337" s="224"/>
      <c r="F337" s="224"/>
      <c r="G337" s="224"/>
      <c r="H337" s="224"/>
      <c r="I337" s="224"/>
      <c r="J337" s="224"/>
    </row>
    <row r="338" spans="1:10" x14ac:dyDescent="0.2">
      <c r="A338" s="225"/>
      <c r="B338" s="224"/>
      <c r="C338" s="224"/>
      <c r="D338" s="224"/>
      <c r="E338" s="224"/>
      <c r="F338" s="224"/>
      <c r="G338" s="224"/>
      <c r="H338" s="224"/>
      <c r="I338" s="224"/>
      <c r="J338" s="224"/>
    </row>
    <row r="339" spans="1:10" ht="13.5" x14ac:dyDescent="0.25">
      <c r="A339" s="249" t="s">
        <v>1981</v>
      </c>
      <c r="B339" s="224"/>
      <c r="C339" s="224"/>
      <c r="D339" s="224"/>
      <c r="E339" s="224">
        <v>75</v>
      </c>
      <c r="F339" s="224">
        <v>0</v>
      </c>
      <c r="G339" s="224">
        <v>28000</v>
      </c>
      <c r="H339" s="224">
        <v>28000</v>
      </c>
      <c r="I339" s="224">
        <v>28000</v>
      </c>
      <c r="J339" s="224">
        <v>28000</v>
      </c>
    </row>
    <row r="340" spans="1:10" x14ac:dyDescent="0.2">
      <c r="A340" s="225" t="s">
        <v>2061</v>
      </c>
      <c r="B340" s="224"/>
      <c r="C340" s="224"/>
      <c r="D340" s="226">
        <v>28000</v>
      </c>
      <c r="E340" s="224"/>
      <c r="F340" s="224"/>
      <c r="G340" s="224"/>
      <c r="H340" s="224"/>
      <c r="I340" s="224"/>
      <c r="J340" s="224"/>
    </row>
    <row r="341" spans="1:10" x14ac:dyDescent="0.2">
      <c r="A341" s="225" t="s">
        <v>521</v>
      </c>
      <c r="B341" s="224"/>
      <c r="C341" s="224"/>
      <c r="D341" s="224">
        <f>SUM(D340)</f>
        <v>28000</v>
      </c>
      <c r="E341" s="224"/>
      <c r="F341" s="224"/>
      <c r="G341" s="224"/>
      <c r="H341" s="224"/>
      <c r="I341" s="224"/>
      <c r="J341" s="224"/>
    </row>
    <row r="342" spans="1:10" x14ac:dyDescent="0.2">
      <c r="A342" s="225"/>
      <c r="B342" s="224"/>
      <c r="C342" s="224"/>
      <c r="D342" s="224"/>
      <c r="E342" s="224"/>
      <c r="F342" s="224"/>
      <c r="G342" s="224"/>
      <c r="H342" s="224"/>
      <c r="I342" s="224"/>
      <c r="J342" s="224"/>
    </row>
    <row r="343" spans="1:10" ht="13.5" x14ac:dyDescent="0.25">
      <c r="A343" s="249" t="s">
        <v>664</v>
      </c>
      <c r="B343" s="224"/>
      <c r="C343" s="224"/>
      <c r="D343" s="224"/>
      <c r="E343" s="224">
        <v>5293</v>
      </c>
      <c r="F343" s="224">
        <v>31000</v>
      </c>
      <c r="G343" s="224">
        <v>12000</v>
      </c>
      <c r="H343" s="224">
        <v>0</v>
      </c>
      <c r="I343" s="224">
        <v>0</v>
      </c>
      <c r="J343" s="224">
        <v>0</v>
      </c>
    </row>
    <row r="344" spans="1:10" x14ac:dyDescent="0.2">
      <c r="A344" s="225" t="s">
        <v>1805</v>
      </c>
      <c r="B344" s="224"/>
      <c r="C344" s="224"/>
      <c r="D344" s="226">
        <v>12000</v>
      </c>
      <c r="E344" s="224"/>
      <c r="F344" s="224"/>
      <c r="G344" s="224"/>
      <c r="H344" s="224"/>
      <c r="I344" s="224"/>
      <c r="J344" s="2"/>
    </row>
    <row r="345" spans="1:10" x14ac:dyDescent="0.2">
      <c r="A345" s="225"/>
      <c r="B345" s="224"/>
      <c r="C345" s="224"/>
      <c r="D345" s="224">
        <f>SUM(D344:D344)</f>
        <v>12000</v>
      </c>
      <c r="E345" s="224"/>
      <c r="F345" s="224"/>
      <c r="G345" s="224"/>
      <c r="H345" s="224"/>
      <c r="I345" s="224"/>
      <c r="J345" s="2"/>
    </row>
    <row r="346" spans="1:10" s="233" customFormat="1" x14ac:dyDescent="0.2">
      <c r="A346" s="225"/>
      <c r="B346" s="224"/>
      <c r="C346" s="224"/>
      <c r="D346" s="224"/>
      <c r="E346" s="224"/>
      <c r="F346" s="224"/>
      <c r="G346" s="224"/>
      <c r="H346" s="224"/>
      <c r="I346" s="224"/>
      <c r="J346" s="2"/>
    </row>
    <row r="347" spans="1:10" s="233" customFormat="1" ht="15" x14ac:dyDescent="0.35">
      <c r="A347" s="239" t="s">
        <v>665</v>
      </c>
      <c r="B347" s="237" t="s">
        <v>1757</v>
      </c>
      <c r="C347" s="237" t="s">
        <v>1838</v>
      </c>
      <c r="D347" s="237" t="s">
        <v>1977</v>
      </c>
      <c r="E347" s="224"/>
      <c r="F347" s="224"/>
      <c r="G347" s="224"/>
      <c r="H347" s="224"/>
      <c r="I347" s="224"/>
      <c r="J347" s="2"/>
    </row>
    <row r="348" spans="1:10" s="233" customFormat="1" x14ac:dyDescent="0.2">
      <c r="A348" s="236" t="s">
        <v>928</v>
      </c>
      <c r="B348" s="2">
        <v>400000</v>
      </c>
      <c r="C348" s="2">
        <v>400000</v>
      </c>
      <c r="D348" s="2">
        <v>425000</v>
      </c>
      <c r="E348" s="224"/>
      <c r="F348" s="224"/>
      <c r="G348" s="224"/>
      <c r="H348" s="224"/>
      <c r="I348" s="224"/>
      <c r="J348" s="2"/>
    </row>
    <row r="349" spans="1:10" s="233" customFormat="1" x14ac:dyDescent="0.2">
      <c r="A349" s="236" t="s">
        <v>1461</v>
      </c>
      <c r="B349" s="2">
        <v>5000</v>
      </c>
      <c r="C349" s="2">
        <v>5000</v>
      </c>
      <c r="D349" s="2">
        <v>5000</v>
      </c>
      <c r="E349" s="224"/>
      <c r="F349" s="224"/>
      <c r="G349" s="224"/>
      <c r="H349" s="224"/>
      <c r="I349" s="224"/>
      <c r="J349" s="2"/>
    </row>
    <row r="350" spans="1:10" s="233" customFormat="1" x14ac:dyDescent="0.2">
      <c r="A350" s="236" t="s">
        <v>684</v>
      </c>
      <c r="B350" s="2">
        <v>50000</v>
      </c>
      <c r="C350" s="2">
        <v>50000</v>
      </c>
      <c r="D350" s="2">
        <v>50000</v>
      </c>
      <c r="E350" s="224"/>
      <c r="F350" s="224"/>
      <c r="G350" s="224"/>
      <c r="H350" s="224"/>
      <c r="I350" s="224"/>
      <c r="J350" s="2"/>
    </row>
    <row r="351" spans="1:10" s="233" customFormat="1" x14ac:dyDescent="0.2">
      <c r="A351" s="236" t="s">
        <v>1470</v>
      </c>
      <c r="B351" s="17">
        <v>545000</v>
      </c>
      <c r="C351" s="17">
        <v>545000</v>
      </c>
      <c r="D351" s="17">
        <v>595000</v>
      </c>
      <c r="E351" s="224"/>
      <c r="F351" s="224"/>
      <c r="G351" s="224"/>
      <c r="H351" s="224"/>
      <c r="I351" s="224"/>
      <c r="J351" s="2"/>
    </row>
    <row r="352" spans="1:10" x14ac:dyDescent="0.2">
      <c r="A352" s="236" t="s">
        <v>1073</v>
      </c>
      <c r="B352" s="2">
        <f>SUM(B348:B351)</f>
        <v>1000000</v>
      </c>
      <c r="C352" s="2">
        <f>SUM(C348:C351)</f>
        <v>1000000</v>
      </c>
      <c r="D352" s="2">
        <f>SUM(D348:D351)</f>
        <v>1075000</v>
      </c>
      <c r="E352" s="224"/>
      <c r="F352" s="224"/>
      <c r="G352" s="224"/>
      <c r="H352" s="224"/>
      <c r="I352" s="224"/>
      <c r="J352" s="2">
        <v>1075000</v>
      </c>
    </row>
    <row r="353" spans="1:11" ht="15" x14ac:dyDescent="0.35">
      <c r="A353" s="36"/>
      <c r="B353" s="10"/>
      <c r="C353" s="10"/>
      <c r="D353" s="10"/>
      <c r="E353" s="2"/>
      <c r="F353" s="2"/>
      <c r="G353" s="2"/>
      <c r="H353" s="2"/>
      <c r="I353" s="2"/>
      <c r="J353" s="2"/>
    </row>
    <row r="354" spans="1:11" x14ac:dyDescent="0.2">
      <c r="A354" s="236" t="s">
        <v>1073</v>
      </c>
      <c r="B354" s="40" t="e">
        <f>SUM(#REF!)</f>
        <v>#REF!</v>
      </c>
      <c r="C354" s="40" t="e">
        <f>SUM(#REF!)</f>
        <v>#REF!</v>
      </c>
      <c r="D354" s="40" t="e">
        <f>SUM(#REF!)</f>
        <v>#REF!</v>
      </c>
      <c r="E354" s="40"/>
      <c r="F354" s="40"/>
      <c r="G354" s="40"/>
      <c r="H354" s="40"/>
      <c r="I354" s="40"/>
      <c r="J354" s="40"/>
    </row>
    <row r="355" spans="1:11" ht="15" x14ac:dyDescent="0.35">
      <c r="A355" s="236"/>
      <c r="B355" s="236"/>
      <c r="C355" s="10"/>
      <c r="D355" s="2"/>
      <c r="E355" s="236"/>
      <c r="F355" s="236"/>
      <c r="G355" s="236"/>
      <c r="H355" s="236"/>
      <c r="I355" s="236"/>
      <c r="J355" s="236"/>
    </row>
    <row r="356" spans="1:11" x14ac:dyDescent="0.2">
      <c r="A356" s="19" t="s">
        <v>1151</v>
      </c>
      <c r="B356" s="236"/>
      <c r="C356" s="2"/>
      <c r="D356" s="56"/>
      <c r="E356" s="2">
        <f t="shared" ref="E356:J356" si="3">SUM(E6:E352)</f>
        <v>3818216</v>
      </c>
      <c r="F356" s="2">
        <f t="shared" si="3"/>
        <v>4182974</v>
      </c>
      <c r="G356" s="2">
        <f t="shared" si="3"/>
        <v>4538849</v>
      </c>
      <c r="H356" s="2">
        <f t="shared" si="3"/>
        <v>4235849</v>
      </c>
      <c r="I356" s="2">
        <f t="shared" si="3"/>
        <v>4226786</v>
      </c>
      <c r="J356" s="2">
        <f t="shared" si="3"/>
        <v>5316030</v>
      </c>
    </row>
    <row r="357" spans="1:11" x14ac:dyDescent="0.2">
      <c r="A357" s="19"/>
      <c r="B357" s="236"/>
      <c r="C357" s="2"/>
      <c r="D357" s="56"/>
      <c r="E357" s="2"/>
      <c r="F357" s="2"/>
      <c r="G357" s="2"/>
      <c r="H357" s="2"/>
      <c r="I357" s="2"/>
      <c r="J357" s="2"/>
    </row>
    <row r="358" spans="1:11" x14ac:dyDescent="0.2">
      <c r="A358" s="236" t="s">
        <v>519</v>
      </c>
      <c r="B358" s="236"/>
      <c r="C358" s="56"/>
      <c r="D358" s="56"/>
      <c r="E358" s="2">
        <f t="shared" ref="E358:J358" si="4">SUM(E6:E115)</f>
        <v>1839737</v>
      </c>
      <c r="F358" s="2">
        <f t="shared" si="4"/>
        <v>2111127</v>
      </c>
      <c r="G358" s="2">
        <f t="shared" si="4"/>
        <v>2151053</v>
      </c>
      <c r="H358" s="2">
        <f t="shared" si="4"/>
        <v>2151053</v>
      </c>
      <c r="I358" s="2">
        <f t="shared" si="4"/>
        <v>2141527</v>
      </c>
      <c r="J358" s="2">
        <f t="shared" si="4"/>
        <v>2155426</v>
      </c>
      <c r="K358" s="2">
        <f>+G358-F358</f>
        <v>39926</v>
      </c>
    </row>
    <row r="359" spans="1:11" x14ac:dyDescent="0.2">
      <c r="A359" s="236" t="s">
        <v>809</v>
      </c>
      <c r="B359" s="236"/>
      <c r="C359" s="56"/>
      <c r="D359" s="56"/>
      <c r="E359" s="2">
        <f>SUM(E116:E314)</f>
        <v>875306</v>
      </c>
      <c r="F359" s="2">
        <f t="shared" ref="F359:J359" si="5">SUM(F116:F314)</f>
        <v>795847</v>
      </c>
      <c r="G359" s="2">
        <f t="shared" si="5"/>
        <v>897796</v>
      </c>
      <c r="H359" s="2">
        <f t="shared" si="5"/>
        <v>892796</v>
      </c>
      <c r="I359" s="2">
        <f t="shared" ref="I359" si="6">SUM(I116:I314)</f>
        <v>893259</v>
      </c>
      <c r="J359" s="2">
        <f t="shared" si="5"/>
        <v>893604</v>
      </c>
      <c r="K359" s="2">
        <f>+G359-F359</f>
        <v>101949</v>
      </c>
    </row>
    <row r="360" spans="1:11" ht="15" x14ac:dyDescent="0.35">
      <c r="A360" s="236" t="s">
        <v>810</v>
      </c>
      <c r="B360" s="236"/>
      <c r="C360" s="236"/>
      <c r="D360" s="236"/>
      <c r="E360" s="10">
        <f>SUM(E316:E352)</f>
        <v>1101398</v>
      </c>
      <c r="F360" s="10">
        <f t="shared" ref="F360:J360" si="7">SUM(F316:F352)</f>
        <v>1276000</v>
      </c>
      <c r="G360" s="10">
        <f t="shared" si="7"/>
        <v>1490000</v>
      </c>
      <c r="H360" s="10">
        <f t="shared" si="7"/>
        <v>1192000</v>
      </c>
      <c r="I360" s="10">
        <f t="shared" ref="I360" si="8">SUM(I316:I352)</f>
        <v>1192000</v>
      </c>
      <c r="J360" s="10">
        <f t="shared" si="7"/>
        <v>2267000</v>
      </c>
      <c r="K360" s="2">
        <f>+G360-F360</f>
        <v>214000</v>
      </c>
    </row>
    <row r="361" spans="1:11" x14ac:dyDescent="0.2">
      <c r="A361" s="236" t="s">
        <v>1073</v>
      </c>
      <c r="B361" s="236"/>
      <c r="C361" s="236"/>
      <c r="D361" s="236"/>
      <c r="E361" s="2">
        <f t="shared" ref="E361:J361" si="9">SUM(E358:E360)</f>
        <v>3816441</v>
      </c>
      <c r="F361" s="2">
        <f t="shared" si="9"/>
        <v>4182974</v>
      </c>
      <c r="G361" s="2">
        <f t="shared" si="9"/>
        <v>4538849</v>
      </c>
      <c r="H361" s="2">
        <f t="shared" si="9"/>
        <v>4235849</v>
      </c>
      <c r="I361" s="2">
        <f t="shared" ref="I361" si="10">SUM(I358:I360)</f>
        <v>4226786</v>
      </c>
      <c r="J361" s="2">
        <f t="shared" si="9"/>
        <v>5316030</v>
      </c>
    </row>
    <row r="362" spans="1:11" x14ac:dyDescent="0.2">
      <c r="A362" s="236"/>
      <c r="B362" s="236"/>
      <c r="C362" s="236"/>
      <c r="D362" s="236"/>
      <c r="E362" s="236"/>
      <c r="F362" s="236"/>
      <c r="G362" s="236"/>
      <c r="H362" s="236"/>
      <c r="I362" s="236"/>
      <c r="J362" s="236"/>
    </row>
    <row r="363" spans="1:11" x14ac:dyDescent="0.2">
      <c r="A363" s="236"/>
      <c r="B363" s="236"/>
      <c r="C363" s="236"/>
      <c r="D363" s="236"/>
      <c r="E363" s="236"/>
      <c r="F363" s="236"/>
      <c r="G363" s="2">
        <f>+G361-F361</f>
        <v>355875</v>
      </c>
      <c r="H363" s="236"/>
      <c r="I363" s="236"/>
      <c r="J363" s="236"/>
    </row>
    <row r="364" spans="1:11" x14ac:dyDescent="0.2">
      <c r="A364" s="236"/>
      <c r="B364" s="236"/>
      <c r="C364" s="236"/>
      <c r="D364" s="236"/>
      <c r="E364" s="236"/>
      <c r="F364" s="236"/>
      <c r="G364" s="236"/>
      <c r="H364" s="236"/>
      <c r="I364" s="2">
        <f>+I361-H361</f>
        <v>-9063</v>
      </c>
      <c r="J364" s="236"/>
    </row>
    <row r="365" spans="1:11" x14ac:dyDescent="0.2">
      <c r="A365" s="236"/>
      <c r="B365" s="236"/>
      <c r="C365" s="236"/>
      <c r="D365" s="236"/>
      <c r="E365" s="236"/>
      <c r="F365" s="236"/>
      <c r="G365" s="236"/>
      <c r="H365" s="236"/>
      <c r="I365" s="236"/>
      <c r="J365" s="236"/>
    </row>
    <row r="366" spans="1:11" x14ac:dyDescent="0.2">
      <c r="A366" s="236"/>
      <c r="B366" s="236"/>
      <c r="C366" s="236"/>
      <c r="D366" s="236"/>
      <c r="E366" s="236"/>
      <c r="F366" s="236"/>
      <c r="G366" s="236"/>
      <c r="H366" s="236"/>
      <c r="I366" s="236"/>
      <c r="J366" s="236"/>
    </row>
    <row r="367" spans="1:11" x14ac:dyDescent="0.2">
      <c r="A367" s="236"/>
      <c r="B367" s="236"/>
      <c r="C367" s="236"/>
      <c r="D367" s="236"/>
      <c r="E367" s="236"/>
      <c r="F367" s="236"/>
      <c r="G367" s="236"/>
      <c r="H367" s="236"/>
      <c r="I367" s="236"/>
      <c r="J367" s="236"/>
    </row>
    <row r="368" spans="1:11" x14ac:dyDescent="0.2">
      <c r="A368" s="236"/>
      <c r="B368" s="236"/>
      <c r="C368" s="236"/>
      <c r="D368" s="236"/>
      <c r="E368" s="236"/>
      <c r="F368" s="236"/>
      <c r="G368" s="236"/>
      <c r="H368" s="236"/>
      <c r="I368" s="236"/>
      <c r="J368" s="236"/>
    </row>
    <row r="369" spans="1:10" x14ac:dyDescent="0.2">
      <c r="A369" s="236"/>
      <c r="B369" s="236"/>
      <c r="C369" s="236"/>
      <c r="D369" s="236"/>
      <c r="E369" s="236"/>
      <c r="F369" s="236"/>
      <c r="G369" s="236"/>
      <c r="H369" s="236"/>
      <c r="I369" s="236"/>
      <c r="J369" s="236"/>
    </row>
    <row r="370" spans="1:10" x14ac:dyDescent="0.2">
      <c r="A370" s="236"/>
      <c r="B370" s="236"/>
      <c r="C370" s="236"/>
      <c r="D370" s="236"/>
      <c r="E370" s="236"/>
      <c r="F370" s="236"/>
      <c r="G370" s="236"/>
      <c r="H370" s="236"/>
      <c r="I370" s="236"/>
      <c r="J370" s="236"/>
    </row>
    <row r="371" spans="1:10" x14ac:dyDescent="0.2">
      <c r="A371" s="236"/>
      <c r="B371" s="236"/>
      <c r="C371" s="236"/>
      <c r="D371" s="236"/>
      <c r="E371" s="236"/>
      <c r="F371" s="236"/>
      <c r="G371" s="236"/>
      <c r="H371" s="236"/>
      <c r="I371" s="236"/>
      <c r="J371" s="236"/>
    </row>
    <row r="372" spans="1:10" x14ac:dyDescent="0.2">
      <c r="A372" s="236"/>
      <c r="B372" s="236"/>
      <c r="C372" s="236"/>
      <c r="D372" s="236"/>
      <c r="E372" s="236"/>
      <c r="F372" s="236"/>
      <c r="G372" s="236"/>
      <c r="H372" s="236"/>
      <c r="I372" s="236"/>
      <c r="J372" s="236"/>
    </row>
    <row r="373" spans="1:10" x14ac:dyDescent="0.2">
      <c r="A373" s="236"/>
      <c r="B373" s="236"/>
      <c r="C373" s="236"/>
      <c r="D373" s="236"/>
      <c r="E373" s="236"/>
      <c r="F373" s="236"/>
      <c r="G373" s="236"/>
      <c r="H373" s="236"/>
      <c r="I373" s="236"/>
      <c r="J373" s="236"/>
    </row>
    <row r="374" spans="1:10" x14ac:dyDescent="0.2">
      <c r="A374" s="236"/>
      <c r="B374" s="236"/>
      <c r="C374" s="236"/>
      <c r="D374" s="236"/>
      <c r="E374" s="236"/>
      <c r="F374" s="236"/>
      <c r="G374" s="236"/>
      <c r="H374" s="236"/>
      <c r="I374" s="236"/>
      <c r="J374" s="236"/>
    </row>
    <row r="375" spans="1:10" x14ac:dyDescent="0.2">
      <c r="A375" s="236"/>
      <c r="B375" s="236"/>
      <c r="C375" s="236"/>
      <c r="D375" s="236"/>
      <c r="E375" s="236"/>
      <c r="F375" s="236"/>
      <c r="G375" s="236"/>
      <c r="H375" s="236"/>
      <c r="I375" s="236"/>
      <c r="J375" s="236"/>
    </row>
    <row r="376" spans="1:10" x14ac:dyDescent="0.2">
      <c r="A376" s="236"/>
      <c r="B376" s="236"/>
      <c r="C376" s="236"/>
      <c r="D376" s="236"/>
      <c r="E376" s="236"/>
      <c r="F376" s="236"/>
      <c r="G376" s="236"/>
      <c r="H376" s="236"/>
      <c r="I376" s="236"/>
      <c r="J376" s="236"/>
    </row>
    <row r="377" spans="1:10" x14ac:dyDescent="0.2">
      <c r="A377" s="236"/>
      <c r="B377" s="236"/>
      <c r="C377" s="236"/>
      <c r="D377" s="236"/>
      <c r="E377" s="236"/>
      <c r="F377" s="236"/>
      <c r="G377" s="236"/>
      <c r="H377" s="236"/>
      <c r="I377" s="236"/>
      <c r="J377" s="236"/>
    </row>
    <row r="378" spans="1:10" x14ac:dyDescent="0.2">
      <c r="I378" s="231"/>
    </row>
    <row r="379" spans="1:10" x14ac:dyDescent="0.2">
      <c r="I379" s="231"/>
    </row>
    <row r="380" spans="1:10" x14ac:dyDescent="0.2">
      <c r="I380" s="231"/>
    </row>
    <row r="381" spans="1:10" x14ac:dyDescent="0.2">
      <c r="I381" s="231"/>
    </row>
    <row r="382" spans="1:10" x14ac:dyDescent="0.2">
      <c r="I382" s="231"/>
    </row>
    <row r="383" spans="1:10" x14ac:dyDescent="0.2">
      <c r="I383" s="231"/>
    </row>
  </sheetData>
  <mergeCells count="1">
    <mergeCell ref="A1:J1"/>
  </mergeCells>
  <phoneticPr fontId="0" type="noConversion"/>
  <printOptions gridLines="1"/>
  <pageMargins left="0.75" right="0.16" top="0.51" bottom="0.22" header="0.5" footer="0"/>
  <pageSetup scale="86" fitToHeight="25" orientation="landscape" r:id="rId1"/>
  <headerFooter alignWithMargins="0"/>
  <rowBreaks count="4" manualBreakCount="4">
    <brk id="49" max="9" man="1"/>
    <brk id="129" max="9" man="1"/>
    <brk id="218" max="9" man="1"/>
    <brk id="342" max="9"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K329"/>
  <sheetViews>
    <sheetView view="pageBreakPreview" zoomScaleNormal="100" zoomScaleSheetLayoutView="100" workbookViewId="0">
      <selection activeCell="A177" sqref="A177"/>
    </sheetView>
  </sheetViews>
  <sheetFormatPr defaultColWidth="8.85546875" defaultRowHeight="12.75" x14ac:dyDescent="0.2"/>
  <cols>
    <col min="1" max="1" width="50" style="183" bestFit="1" customWidth="1"/>
    <col min="2" max="2" width="8.85546875" style="183" customWidth="1"/>
    <col min="3" max="3" width="9" style="183" bestFit="1" customWidth="1"/>
    <col min="4" max="4" width="11.42578125" style="2" bestFit="1" customWidth="1"/>
    <col min="5" max="5" width="10.42578125" style="183" bestFit="1" customWidth="1"/>
    <col min="6" max="6" width="10.28515625" style="183" bestFit="1" customWidth="1"/>
    <col min="7" max="7" width="10.85546875" style="183" bestFit="1" customWidth="1"/>
    <col min="8" max="8" width="14" style="2" customWidth="1"/>
    <col min="9" max="9" width="10.28515625" style="183" bestFit="1" customWidth="1"/>
    <col min="10" max="10" width="10.85546875" style="183" customWidth="1"/>
    <col min="11" max="16384" width="8.85546875" style="183"/>
  </cols>
  <sheetData>
    <row r="1" spans="1:11" x14ac:dyDescent="0.2">
      <c r="A1" s="254" t="e">
        <f>#REF!</f>
        <v>#REF!</v>
      </c>
      <c r="B1" s="255"/>
      <c r="C1" s="255"/>
      <c r="D1" s="255"/>
      <c r="E1" s="255"/>
      <c r="F1" s="255"/>
      <c r="G1" s="255"/>
      <c r="H1" s="255"/>
      <c r="I1" s="255"/>
      <c r="J1" s="255"/>
    </row>
    <row r="2" spans="1:11" ht="18.75" x14ac:dyDescent="0.3">
      <c r="A2" s="91" t="s">
        <v>1577</v>
      </c>
      <c r="B2" s="91"/>
      <c r="C2" s="91"/>
      <c r="D2" s="91"/>
      <c r="E2" s="91"/>
      <c r="F2" s="91"/>
    </row>
    <row r="3" spans="1:11" x14ac:dyDescent="0.2">
      <c r="A3" s="236"/>
      <c r="B3" s="2"/>
      <c r="C3" s="2"/>
      <c r="E3" s="2"/>
      <c r="F3" s="2"/>
      <c r="G3" s="236"/>
      <c r="I3" s="236"/>
      <c r="J3" s="236"/>
      <c r="K3" s="236"/>
    </row>
    <row r="4" spans="1:11" x14ac:dyDescent="0.2">
      <c r="A4" s="236"/>
      <c r="B4" s="2"/>
      <c r="C4" s="2"/>
      <c r="E4" s="15" t="s">
        <v>204</v>
      </c>
      <c r="F4" s="15" t="s">
        <v>205</v>
      </c>
      <c r="G4" s="15" t="s">
        <v>61</v>
      </c>
      <c r="H4" s="15" t="s">
        <v>358</v>
      </c>
      <c r="I4" s="15" t="s">
        <v>270</v>
      </c>
      <c r="J4" s="15" t="s">
        <v>301</v>
      </c>
      <c r="K4" s="236"/>
    </row>
    <row r="5" spans="1:11" ht="15" x14ac:dyDescent="0.35">
      <c r="A5" s="236"/>
      <c r="B5" s="2"/>
      <c r="C5" s="2"/>
      <c r="E5" s="237" t="s">
        <v>1757</v>
      </c>
      <c r="F5" s="237" t="s">
        <v>1838</v>
      </c>
      <c r="G5" s="237" t="s">
        <v>1977</v>
      </c>
      <c r="H5" s="237" t="s">
        <v>1977</v>
      </c>
      <c r="I5" s="237" t="s">
        <v>1977</v>
      </c>
      <c r="J5" s="237" t="s">
        <v>1977</v>
      </c>
      <c r="K5" s="236"/>
    </row>
    <row r="6" spans="1:11" ht="13.5" x14ac:dyDescent="0.25">
      <c r="A6" s="239" t="s">
        <v>458</v>
      </c>
      <c r="B6" s="2"/>
      <c r="C6" s="2"/>
      <c r="E6" s="2">
        <v>104230</v>
      </c>
      <c r="F6" s="2">
        <v>115371</v>
      </c>
      <c r="G6" s="2">
        <v>112621</v>
      </c>
      <c r="H6" s="2">
        <v>112621</v>
      </c>
      <c r="I6" s="2">
        <v>112621</v>
      </c>
      <c r="J6" s="2">
        <v>117360</v>
      </c>
      <c r="K6" s="236"/>
    </row>
    <row r="7" spans="1:11" x14ac:dyDescent="0.2">
      <c r="A7" s="236" t="s">
        <v>869</v>
      </c>
      <c r="B7" s="2">
        <v>52</v>
      </c>
      <c r="C7" s="2">
        <v>1298.23</v>
      </c>
      <c r="D7" s="2">
        <f>ROUND(B7*C7,0)</f>
        <v>67508</v>
      </c>
      <c r="E7" s="2"/>
      <c r="F7" s="2"/>
      <c r="G7" s="2"/>
      <c r="I7" s="2"/>
      <c r="J7" s="2"/>
      <c r="K7" s="236"/>
    </row>
    <row r="8" spans="1:11" x14ac:dyDescent="0.2">
      <c r="A8" s="236" t="s">
        <v>870</v>
      </c>
      <c r="B8" s="2">
        <v>52</v>
      </c>
      <c r="C8" s="2">
        <v>899.51</v>
      </c>
      <c r="D8" s="2">
        <f>ROUND(B8*C8,0)</f>
        <v>46775</v>
      </c>
      <c r="E8" s="2"/>
      <c r="F8" s="2"/>
      <c r="G8" s="2"/>
      <c r="I8" s="2"/>
      <c r="J8" s="2"/>
      <c r="K8" s="236"/>
    </row>
    <row r="9" spans="1:11" x14ac:dyDescent="0.2">
      <c r="A9" s="236" t="s">
        <v>812</v>
      </c>
      <c r="B9" s="2">
        <v>56</v>
      </c>
      <c r="C9" s="11">
        <f>+C7/40</f>
        <v>32.455750000000002</v>
      </c>
      <c r="D9" s="2">
        <f>ROUND(B9*C9,0)</f>
        <v>1818</v>
      </c>
      <c r="E9" s="2"/>
      <c r="F9" s="2"/>
      <c r="G9" s="2"/>
      <c r="I9" s="2"/>
      <c r="J9" s="2"/>
      <c r="K9" s="236"/>
    </row>
    <row r="10" spans="1:11" x14ac:dyDescent="0.2">
      <c r="A10" s="236" t="s">
        <v>813</v>
      </c>
      <c r="B10" s="2">
        <v>56</v>
      </c>
      <c r="C10" s="11">
        <f>+C8/40</f>
        <v>22.487749999999998</v>
      </c>
      <c r="D10" s="2">
        <f>ROUND(B10*C10,0)</f>
        <v>1259</v>
      </c>
      <c r="E10" s="2"/>
      <c r="F10" s="2"/>
      <c r="G10" s="2"/>
      <c r="I10" s="2"/>
      <c r="J10" s="2"/>
      <c r="K10" s="236"/>
    </row>
    <row r="11" spans="1:11" ht="15" x14ac:dyDescent="0.35">
      <c r="A11" s="236" t="s">
        <v>824</v>
      </c>
      <c r="B11" s="2"/>
      <c r="C11" s="2"/>
      <c r="D11" s="10">
        <v>0</v>
      </c>
      <c r="E11" s="2"/>
      <c r="F11" s="2"/>
      <c r="G11" s="2"/>
      <c r="I11" s="2"/>
      <c r="J11" s="2"/>
      <c r="K11" s="236"/>
    </row>
    <row r="12" spans="1:11" x14ac:dyDescent="0.2">
      <c r="A12" s="236" t="s">
        <v>1073</v>
      </c>
      <c r="B12" s="2"/>
      <c r="C12" s="2"/>
      <c r="D12" s="2">
        <f>SUM(D7:D11)</f>
        <v>117360</v>
      </c>
      <c r="E12" s="2"/>
      <c r="F12" s="2"/>
      <c r="G12" s="2"/>
      <c r="I12" s="2"/>
      <c r="J12" s="2"/>
      <c r="K12" s="236"/>
    </row>
    <row r="13" spans="1:11" x14ac:dyDescent="0.2">
      <c r="A13" s="236"/>
      <c r="B13" s="2"/>
      <c r="C13" s="2"/>
      <c r="E13" s="2"/>
      <c r="F13" s="2"/>
      <c r="G13" s="2"/>
      <c r="I13" s="2"/>
      <c r="J13" s="2"/>
      <c r="K13" s="236"/>
    </row>
    <row r="14" spans="1:11" ht="13.5" x14ac:dyDescent="0.25">
      <c r="A14" s="239" t="s">
        <v>459</v>
      </c>
      <c r="B14" s="2"/>
      <c r="C14" s="2"/>
      <c r="D14" s="2">
        <f t="shared" ref="D14:D20" si="0">ROUND(B14*C14,0)</f>
        <v>0</v>
      </c>
      <c r="E14" s="2">
        <v>187293</v>
      </c>
      <c r="F14" s="2">
        <v>203565</v>
      </c>
      <c r="G14" s="2">
        <v>200024</v>
      </c>
      <c r="H14" s="2">
        <v>200024</v>
      </c>
      <c r="I14" s="2">
        <v>200024</v>
      </c>
      <c r="J14" s="2">
        <v>200024</v>
      </c>
      <c r="K14" s="236"/>
    </row>
    <row r="15" spans="1:11" x14ac:dyDescent="0.2">
      <c r="A15" s="103" t="s">
        <v>1698</v>
      </c>
      <c r="B15" s="2">
        <v>52</v>
      </c>
      <c r="C15" s="103">
        <v>1004</v>
      </c>
      <c r="D15" s="2">
        <f t="shared" si="0"/>
        <v>52208</v>
      </c>
      <c r="E15" s="2"/>
      <c r="F15" s="2"/>
      <c r="G15" s="2"/>
      <c r="I15" s="2"/>
      <c r="J15" s="2"/>
      <c r="K15" s="236"/>
    </row>
    <row r="16" spans="1:11" x14ac:dyDescent="0.2">
      <c r="A16" s="103" t="s">
        <v>1698</v>
      </c>
      <c r="B16" s="2">
        <v>52</v>
      </c>
      <c r="C16" s="103">
        <v>969</v>
      </c>
      <c r="D16" s="2">
        <f t="shared" si="0"/>
        <v>50388</v>
      </c>
      <c r="E16" s="2"/>
      <c r="F16" s="2"/>
      <c r="G16" s="2"/>
      <c r="I16" s="2"/>
      <c r="J16" s="2"/>
      <c r="K16" s="236"/>
    </row>
    <row r="17" spans="1:11" x14ac:dyDescent="0.2">
      <c r="A17" s="103" t="s">
        <v>1699</v>
      </c>
      <c r="B17" s="2">
        <v>52</v>
      </c>
      <c r="C17" s="103">
        <v>860</v>
      </c>
      <c r="D17" s="2">
        <f t="shared" si="0"/>
        <v>44720</v>
      </c>
      <c r="E17" s="2"/>
      <c r="F17" s="2"/>
      <c r="G17" s="2"/>
      <c r="I17" s="2"/>
      <c r="J17" s="2"/>
      <c r="K17" s="236"/>
    </row>
    <row r="18" spans="1:11" x14ac:dyDescent="0.2">
      <c r="A18" s="103" t="s">
        <v>1699</v>
      </c>
      <c r="B18" s="2">
        <v>52</v>
      </c>
      <c r="C18" s="103">
        <v>860</v>
      </c>
      <c r="D18" s="2">
        <f t="shared" si="0"/>
        <v>44720</v>
      </c>
      <c r="E18" s="2"/>
      <c r="F18" s="2"/>
      <c r="G18" s="2"/>
      <c r="I18" s="2"/>
      <c r="J18" s="2"/>
      <c r="K18" s="236"/>
    </row>
    <row r="19" spans="1:11" x14ac:dyDescent="0.2">
      <c r="A19" s="236" t="s">
        <v>600</v>
      </c>
      <c r="B19" s="2">
        <v>1664</v>
      </c>
      <c r="C19" s="11">
        <v>1</v>
      </c>
      <c r="D19" s="2">
        <f t="shared" si="0"/>
        <v>1664</v>
      </c>
      <c r="E19" s="2"/>
      <c r="F19" s="2"/>
      <c r="G19" s="2"/>
      <c r="I19" s="2"/>
      <c r="J19" s="2"/>
      <c r="K19" s="236"/>
    </row>
    <row r="20" spans="1:11" x14ac:dyDescent="0.2">
      <c r="A20" s="236" t="s">
        <v>601</v>
      </c>
      <c r="B20" s="2">
        <v>224</v>
      </c>
      <c r="C20" s="11">
        <f>SUM(C15:C19)/40/4</f>
        <v>23.087499999999999</v>
      </c>
      <c r="D20" s="2">
        <f t="shared" si="0"/>
        <v>5172</v>
      </c>
      <c r="E20" s="2"/>
      <c r="F20" s="2"/>
      <c r="G20" s="2"/>
      <c r="I20" s="2"/>
      <c r="J20" s="2"/>
      <c r="K20" s="236"/>
    </row>
    <row r="21" spans="1:11" ht="15" x14ac:dyDescent="0.35">
      <c r="A21" s="236" t="s">
        <v>824</v>
      </c>
      <c r="B21" s="2" t="s">
        <v>345</v>
      </c>
      <c r="C21" s="39" t="s">
        <v>345</v>
      </c>
      <c r="D21" s="10">
        <v>1152</v>
      </c>
      <c r="E21" s="2"/>
      <c r="F21" s="2"/>
      <c r="G21" s="2"/>
      <c r="I21" s="2"/>
      <c r="J21" s="2"/>
      <c r="K21" s="236"/>
    </row>
    <row r="22" spans="1:11" x14ac:dyDescent="0.2">
      <c r="A22" s="236" t="s">
        <v>1073</v>
      </c>
      <c r="B22" s="2"/>
      <c r="C22" s="2"/>
      <c r="D22" s="2">
        <f>SUM(D15:D21)</f>
        <v>200024</v>
      </c>
      <c r="E22" s="2"/>
      <c r="F22" s="2"/>
      <c r="G22" s="2"/>
      <c r="I22" s="2"/>
      <c r="J22" s="2"/>
      <c r="K22" s="236"/>
    </row>
    <row r="23" spans="1:11" x14ac:dyDescent="0.2">
      <c r="A23" s="236"/>
      <c r="B23" s="236"/>
      <c r="C23" s="236"/>
      <c r="E23" s="2"/>
      <c r="F23" s="2"/>
      <c r="G23" s="2"/>
      <c r="I23" s="2"/>
      <c r="J23" s="2"/>
      <c r="K23" s="236"/>
    </row>
    <row r="24" spans="1:11" ht="13.5" x14ac:dyDescent="0.25">
      <c r="A24" s="239" t="s">
        <v>460</v>
      </c>
      <c r="B24" s="236"/>
      <c r="C24" s="236"/>
      <c r="E24" s="2">
        <v>15010</v>
      </c>
      <c r="F24" s="2">
        <v>14000</v>
      </c>
      <c r="G24" s="2">
        <v>14013</v>
      </c>
      <c r="H24" s="2">
        <v>14013</v>
      </c>
      <c r="I24" s="2">
        <v>14013</v>
      </c>
      <c r="J24" s="2">
        <v>14615</v>
      </c>
      <c r="K24" s="236"/>
    </row>
    <row r="25" spans="1:11" x14ac:dyDescent="0.2">
      <c r="A25" s="236" t="s">
        <v>1348</v>
      </c>
      <c r="B25" s="2">
        <v>354.67</v>
      </c>
      <c r="C25" s="11">
        <f>+(C7+C8)/40/2*1.5</f>
        <v>41.207624999999993</v>
      </c>
      <c r="D25" s="2">
        <f>ROUND(B25*C25,0)</f>
        <v>14615</v>
      </c>
      <c r="E25" s="2"/>
      <c r="F25" s="2"/>
      <c r="G25" s="2"/>
      <c r="I25" s="2"/>
      <c r="J25" s="2"/>
      <c r="K25" s="236"/>
    </row>
    <row r="26" spans="1:11" x14ac:dyDescent="0.2">
      <c r="A26" s="236" t="s">
        <v>345</v>
      </c>
      <c r="B26" s="2"/>
      <c r="C26" s="11"/>
      <c r="E26" s="2"/>
      <c r="F26" s="2"/>
      <c r="G26" s="2"/>
      <c r="I26" s="2"/>
      <c r="J26" s="2"/>
      <c r="K26" s="236"/>
    </row>
    <row r="27" spans="1:11" ht="13.5" x14ac:dyDescent="0.25">
      <c r="A27" s="239" t="s">
        <v>1507</v>
      </c>
      <c r="B27" s="236"/>
      <c r="C27" s="236"/>
      <c r="E27" s="2">
        <v>14597</v>
      </c>
      <c r="F27" s="2">
        <v>18431</v>
      </c>
      <c r="G27" s="2">
        <v>18431</v>
      </c>
      <c r="H27" s="2">
        <v>18431</v>
      </c>
      <c r="I27" s="2">
        <v>18431</v>
      </c>
      <c r="J27" s="2">
        <v>18431</v>
      </c>
      <c r="K27" s="236"/>
    </row>
    <row r="28" spans="1:11" x14ac:dyDescent="0.2">
      <c r="A28" s="22" t="s">
        <v>1431</v>
      </c>
      <c r="B28" s="236">
        <v>1020</v>
      </c>
      <c r="C28" s="123">
        <v>13.05</v>
      </c>
      <c r="D28" s="2">
        <f>+C28*B28</f>
        <v>13311</v>
      </c>
      <c r="E28" s="2"/>
      <c r="F28" s="236"/>
      <c r="G28" s="236"/>
      <c r="H28" s="236"/>
      <c r="I28" s="236"/>
      <c r="J28" s="236"/>
      <c r="K28" s="236"/>
    </row>
    <row r="29" spans="1:11" x14ac:dyDescent="0.2">
      <c r="A29" s="22" t="s">
        <v>1967</v>
      </c>
      <c r="B29" s="236" t="s">
        <v>1954</v>
      </c>
      <c r="C29" s="123">
        <v>16</v>
      </c>
      <c r="D29" s="31">
        <f>20*16*16</f>
        <v>5120</v>
      </c>
      <c r="E29" s="2"/>
      <c r="F29" s="236"/>
      <c r="G29" s="236"/>
      <c r="H29" s="236"/>
      <c r="I29" s="236"/>
      <c r="J29" s="236"/>
      <c r="K29" s="236"/>
    </row>
    <row r="30" spans="1:11" x14ac:dyDescent="0.2">
      <c r="A30" s="22"/>
      <c r="B30" s="236"/>
      <c r="C30" s="123"/>
      <c r="D30" s="2">
        <f>SUM(D28:D29)</f>
        <v>18431</v>
      </c>
      <c r="E30" s="2"/>
      <c r="F30" s="236"/>
      <c r="G30" s="236"/>
      <c r="H30" s="236"/>
      <c r="I30" s="236"/>
      <c r="J30" s="236"/>
      <c r="K30" s="236"/>
    </row>
    <row r="31" spans="1:11" x14ac:dyDescent="0.2">
      <c r="A31" s="236"/>
      <c r="B31" s="2"/>
      <c r="C31" s="11"/>
      <c r="E31" s="2"/>
      <c r="F31" s="2"/>
      <c r="G31" s="2"/>
      <c r="I31" s="2"/>
      <c r="J31" s="2"/>
      <c r="K31" s="236"/>
    </row>
    <row r="32" spans="1:11" ht="13.5" x14ac:dyDescent="0.25">
      <c r="A32" s="239" t="s">
        <v>488</v>
      </c>
      <c r="B32" s="236"/>
      <c r="C32" s="236"/>
      <c r="E32" s="2">
        <v>45656</v>
      </c>
      <c r="F32" s="2">
        <v>34631</v>
      </c>
      <c r="G32" s="2">
        <v>34631</v>
      </c>
      <c r="H32" s="2">
        <v>34631</v>
      </c>
      <c r="I32" s="2">
        <v>34631</v>
      </c>
      <c r="J32" s="2">
        <v>34631</v>
      </c>
      <c r="K32" s="236"/>
    </row>
    <row r="33" spans="1:11" x14ac:dyDescent="0.2">
      <c r="A33" s="236" t="s">
        <v>1349</v>
      </c>
      <c r="B33" s="2" t="s">
        <v>345</v>
      </c>
      <c r="C33" s="11" t="s">
        <v>345</v>
      </c>
      <c r="D33" s="2" t="s">
        <v>345</v>
      </c>
      <c r="E33" s="2"/>
      <c r="F33" s="2"/>
      <c r="G33" s="2"/>
      <c r="I33" s="2"/>
      <c r="J33" s="2"/>
      <c r="K33" s="236"/>
    </row>
    <row r="34" spans="1:11" x14ac:dyDescent="0.2">
      <c r="A34" s="236" t="s">
        <v>613</v>
      </c>
      <c r="B34" s="2">
        <v>1000</v>
      </c>
      <c r="C34" s="11">
        <f>+C20*1.5</f>
        <v>34.631249999999994</v>
      </c>
      <c r="D34" s="2">
        <f>ROUND(B34*C34,0)</f>
        <v>34631</v>
      </c>
      <c r="E34" s="2"/>
      <c r="F34" s="2"/>
      <c r="G34" s="2"/>
      <c r="I34" s="2"/>
      <c r="J34" s="2"/>
      <c r="K34" s="236"/>
    </row>
    <row r="35" spans="1:11" ht="13.15" customHeight="1" x14ac:dyDescent="0.2">
      <c r="A35" s="236"/>
      <c r="B35" s="2"/>
      <c r="C35" s="11"/>
      <c r="E35" s="2"/>
      <c r="F35" s="2"/>
      <c r="G35" s="2"/>
      <c r="I35" s="2"/>
      <c r="J35" s="2"/>
      <c r="K35" s="236"/>
    </row>
    <row r="36" spans="1:11" ht="13.5" x14ac:dyDescent="0.25">
      <c r="A36" s="239" t="s">
        <v>489</v>
      </c>
      <c r="B36" s="236"/>
      <c r="C36" s="236"/>
      <c r="E36" s="2">
        <v>28321</v>
      </c>
      <c r="F36" s="2">
        <v>29137</v>
      </c>
      <c r="G36" s="2">
        <v>28657</v>
      </c>
      <c r="H36" s="2">
        <v>28657</v>
      </c>
      <c r="I36" s="2">
        <v>28657</v>
      </c>
      <c r="J36" s="2">
        <v>29065</v>
      </c>
      <c r="K36" s="236"/>
    </row>
    <row r="37" spans="1:11" hidden="1" x14ac:dyDescent="0.2">
      <c r="A37" s="12" t="s">
        <v>1271</v>
      </c>
      <c r="B37" s="2">
        <f>+D12</f>
        <v>117360</v>
      </c>
      <c r="C37" s="13">
        <v>7.6499999999999999E-2</v>
      </c>
      <c r="D37" s="2">
        <f>ROUND(B37*C37,0)</f>
        <v>8978</v>
      </c>
      <c r="E37" s="2"/>
      <c r="F37" s="2"/>
      <c r="G37" s="2"/>
      <c r="I37" s="2"/>
      <c r="J37" s="2"/>
      <c r="K37" s="236"/>
    </row>
    <row r="38" spans="1:11" hidden="1" x14ac:dyDescent="0.2">
      <c r="A38" s="12" t="s">
        <v>688</v>
      </c>
      <c r="B38" s="2">
        <f>+D22</f>
        <v>200024</v>
      </c>
      <c r="C38" s="13">
        <v>7.6499999999999999E-2</v>
      </c>
      <c r="D38" s="2">
        <f>ROUND(B38*C38,0)</f>
        <v>15302</v>
      </c>
      <c r="E38" s="2"/>
      <c r="F38" s="2"/>
      <c r="G38" s="2"/>
      <c r="I38" s="2"/>
      <c r="J38" s="2"/>
      <c r="K38" s="236"/>
    </row>
    <row r="39" spans="1:11" hidden="1" x14ac:dyDescent="0.2">
      <c r="A39" s="12" t="s">
        <v>763</v>
      </c>
      <c r="B39" s="2">
        <f>+D25</f>
        <v>14615</v>
      </c>
      <c r="C39" s="13">
        <v>7.6499999999999999E-2</v>
      </c>
      <c r="D39" s="2">
        <f>ROUND(B39*C39,0)</f>
        <v>1118</v>
      </c>
      <c r="E39" s="2"/>
      <c r="F39" s="2"/>
      <c r="G39" s="2"/>
      <c r="I39" s="2"/>
      <c r="J39" s="2"/>
      <c r="K39" s="236"/>
    </row>
    <row r="40" spans="1:11" hidden="1" x14ac:dyDescent="0.2">
      <c r="A40" s="12" t="s">
        <v>155</v>
      </c>
      <c r="B40" s="2">
        <f>+D28</f>
        <v>13311</v>
      </c>
      <c r="C40" s="13">
        <v>7.6499999999999999E-2</v>
      </c>
      <c r="D40" s="2">
        <f>ROUND(B40*C40,0)</f>
        <v>1018</v>
      </c>
      <c r="E40" s="2"/>
      <c r="F40" s="2"/>
      <c r="G40" s="2"/>
      <c r="I40" s="2"/>
      <c r="J40" s="2"/>
      <c r="K40" s="236"/>
    </row>
    <row r="41" spans="1:11" ht="15" hidden="1" x14ac:dyDescent="0.35">
      <c r="A41" s="12" t="s">
        <v>156</v>
      </c>
      <c r="B41" s="2">
        <f>+D34</f>
        <v>34631</v>
      </c>
      <c r="C41" s="13">
        <v>7.6499999999999999E-2</v>
      </c>
      <c r="D41" s="10">
        <f>ROUND(B41*C41,0)</f>
        <v>2649</v>
      </c>
      <c r="E41" s="2"/>
      <c r="F41" s="2"/>
      <c r="G41" s="2"/>
      <c r="I41" s="2"/>
      <c r="J41" s="2"/>
      <c r="K41" s="236"/>
    </row>
    <row r="42" spans="1:11" hidden="1" x14ac:dyDescent="0.2">
      <c r="A42" s="236" t="s">
        <v>95</v>
      </c>
      <c r="B42" s="236"/>
      <c r="C42" s="236"/>
      <c r="D42" s="2">
        <f>SUM(D37:D41)</f>
        <v>29065</v>
      </c>
      <c r="E42" s="2"/>
      <c r="F42" s="2"/>
      <c r="G42" s="2"/>
      <c r="I42" s="2"/>
      <c r="J42" s="2"/>
      <c r="K42" s="236"/>
    </row>
    <row r="43" spans="1:11" x14ac:dyDescent="0.2">
      <c r="A43" s="236"/>
      <c r="B43" s="2"/>
      <c r="C43" s="236"/>
      <c r="E43" s="2"/>
      <c r="F43" s="2"/>
      <c r="G43" s="2"/>
      <c r="I43" s="2"/>
      <c r="J43" s="2"/>
      <c r="K43" s="236"/>
    </row>
    <row r="44" spans="1:11" ht="13.15" customHeight="1" x14ac:dyDescent="0.25">
      <c r="A44" s="239" t="s">
        <v>490</v>
      </c>
      <c r="B44" s="236"/>
      <c r="C44" s="236"/>
      <c r="E44" s="2">
        <v>39848</v>
      </c>
      <c r="F44" s="2">
        <v>51382</v>
      </c>
      <c r="G44" s="2">
        <v>50797</v>
      </c>
      <c r="H44" s="2">
        <v>50797</v>
      </c>
      <c r="I44" s="2">
        <v>50797</v>
      </c>
      <c r="J44" s="2">
        <v>51548</v>
      </c>
      <c r="K44" s="236"/>
    </row>
    <row r="45" spans="1:11" ht="13.15" hidden="1" customHeight="1" x14ac:dyDescent="0.2">
      <c r="A45" s="236" t="s">
        <v>614</v>
      </c>
      <c r="B45" s="2">
        <f>+D7+D9+D11</f>
        <v>69326</v>
      </c>
      <c r="C45" s="190">
        <v>0.1406</v>
      </c>
      <c r="D45" s="2">
        <f>ROUND(B45*C45,0)</f>
        <v>9747</v>
      </c>
      <c r="E45" s="2"/>
      <c r="F45" s="2"/>
      <c r="G45" s="2"/>
      <c r="I45" s="2"/>
      <c r="J45" s="2"/>
      <c r="K45" s="236"/>
    </row>
    <row r="46" spans="1:11" ht="13.15" hidden="1" customHeight="1" x14ac:dyDescent="0.2">
      <c r="A46" s="236" t="s">
        <v>439</v>
      </c>
      <c r="B46" s="2">
        <f>+D8+D10</f>
        <v>48034</v>
      </c>
      <c r="C46" s="190">
        <v>0.1406</v>
      </c>
      <c r="D46" s="2">
        <f>ROUND(B46*C46,0)</f>
        <v>6754</v>
      </c>
      <c r="E46" s="2"/>
      <c r="F46" s="2"/>
      <c r="G46" s="2"/>
      <c r="I46" s="2"/>
      <c r="J46" s="2"/>
      <c r="K46" s="236"/>
    </row>
    <row r="47" spans="1:11" ht="13.15" hidden="1" customHeight="1" x14ac:dyDescent="0.2">
      <c r="A47" s="12" t="s">
        <v>688</v>
      </c>
      <c r="B47" s="2">
        <f>+D22</f>
        <v>200024</v>
      </c>
      <c r="C47" s="190">
        <v>0.1406</v>
      </c>
      <c r="D47" s="2">
        <f>ROUND(B47*C47,0)</f>
        <v>28123</v>
      </c>
      <c r="E47" s="2"/>
      <c r="F47" s="2"/>
      <c r="G47" s="2"/>
      <c r="I47" s="2"/>
      <c r="J47" s="2"/>
      <c r="K47" s="236"/>
    </row>
    <row r="48" spans="1:11" ht="13.15" hidden="1" customHeight="1" x14ac:dyDescent="0.2">
      <c r="A48" s="12" t="s">
        <v>763</v>
      </c>
      <c r="B48" s="2">
        <f>+D25</f>
        <v>14615</v>
      </c>
      <c r="C48" s="190">
        <v>0.1406</v>
      </c>
      <c r="D48" s="2">
        <f>ROUND(B48*C48,0)</f>
        <v>2055</v>
      </c>
      <c r="E48" s="2"/>
      <c r="F48" s="2"/>
      <c r="G48" s="2"/>
      <c r="I48" s="2"/>
      <c r="J48" s="2"/>
      <c r="K48" s="236"/>
    </row>
    <row r="49" spans="1:11" ht="13.15" hidden="1" customHeight="1" x14ac:dyDescent="0.35">
      <c r="A49" s="12" t="s">
        <v>156</v>
      </c>
      <c r="B49" s="2">
        <f>+D34</f>
        <v>34631</v>
      </c>
      <c r="C49" s="190">
        <v>0.1406</v>
      </c>
      <c r="D49" s="10">
        <f>ROUND(B49*C49,0)</f>
        <v>4869</v>
      </c>
      <c r="E49" s="2"/>
      <c r="F49" s="2"/>
      <c r="G49" s="2"/>
      <c r="I49" s="2"/>
      <c r="J49" s="2"/>
      <c r="K49" s="236"/>
    </row>
    <row r="50" spans="1:11" ht="13.15" hidden="1" customHeight="1" x14ac:dyDescent="0.2">
      <c r="A50" s="236" t="s">
        <v>1073</v>
      </c>
      <c r="B50" s="236"/>
      <c r="C50" s="236"/>
      <c r="D50" s="2">
        <f>SUM(D45:D49)</f>
        <v>51548</v>
      </c>
      <c r="E50" s="2"/>
      <c r="F50" s="2"/>
      <c r="G50" s="2"/>
      <c r="I50" s="2"/>
      <c r="J50" s="2"/>
      <c r="K50" s="236"/>
    </row>
    <row r="51" spans="1:11" ht="13.15" customHeight="1" x14ac:dyDescent="0.2">
      <c r="A51" s="236"/>
      <c r="B51" s="236"/>
      <c r="C51" s="236"/>
      <c r="E51" s="2"/>
      <c r="F51" s="2"/>
      <c r="G51" s="2"/>
      <c r="I51" s="2"/>
      <c r="J51" s="2"/>
      <c r="K51" s="236"/>
    </row>
    <row r="52" spans="1:11" ht="13.15" customHeight="1" x14ac:dyDescent="0.25">
      <c r="A52" s="239" t="s">
        <v>491</v>
      </c>
      <c r="B52" s="236"/>
      <c r="C52" s="236"/>
      <c r="E52" s="2">
        <v>116771</v>
      </c>
      <c r="F52" s="2">
        <v>118500</v>
      </c>
      <c r="G52" s="2">
        <v>117000</v>
      </c>
      <c r="H52" s="2">
        <v>117000</v>
      </c>
      <c r="I52" s="2">
        <v>114000</v>
      </c>
      <c r="J52" s="2">
        <v>114000</v>
      </c>
      <c r="K52" s="236"/>
    </row>
    <row r="53" spans="1:11" ht="13.15" hidden="1" customHeight="1" x14ac:dyDescent="0.2">
      <c r="A53" s="236" t="s">
        <v>1972</v>
      </c>
      <c r="B53" s="2">
        <v>4</v>
      </c>
      <c r="C53" s="2">
        <v>19000</v>
      </c>
      <c r="D53" s="2">
        <f>ROUND(B53*C53,0)</f>
        <v>76000</v>
      </c>
      <c r="E53" s="2"/>
      <c r="F53" s="2"/>
      <c r="G53" s="2"/>
      <c r="I53" s="2"/>
      <c r="J53" s="2"/>
      <c r="K53" s="236"/>
    </row>
    <row r="54" spans="1:11" ht="13.15" hidden="1" customHeight="1" x14ac:dyDescent="0.35">
      <c r="A54" s="236" t="s">
        <v>303</v>
      </c>
      <c r="B54" s="2">
        <v>2</v>
      </c>
      <c r="C54" s="2">
        <v>19000</v>
      </c>
      <c r="D54" s="10">
        <f>ROUND(B54*C54,0)</f>
        <v>38000</v>
      </c>
      <c r="E54" s="2"/>
      <c r="F54" s="2"/>
      <c r="G54" s="2"/>
      <c r="I54" s="2"/>
      <c r="J54" s="2"/>
      <c r="K54" s="236"/>
    </row>
    <row r="55" spans="1:11" ht="13.15" hidden="1" customHeight="1" x14ac:dyDescent="0.2">
      <c r="A55" s="236" t="s">
        <v>683</v>
      </c>
      <c r="B55" s="2"/>
      <c r="C55" s="2"/>
      <c r="D55" s="2">
        <f>SUM(D53:D54)</f>
        <v>114000</v>
      </c>
      <c r="E55" s="2"/>
      <c r="F55" s="2"/>
      <c r="G55" s="2"/>
      <c r="I55" s="2"/>
      <c r="J55" s="2"/>
      <c r="K55" s="236"/>
    </row>
    <row r="56" spans="1:11" ht="13.15" customHeight="1" x14ac:dyDescent="0.2">
      <c r="A56" s="236"/>
      <c r="B56" s="2"/>
      <c r="C56" s="236"/>
      <c r="E56" s="2"/>
      <c r="F56" s="2"/>
      <c r="G56" s="2"/>
      <c r="I56" s="2"/>
      <c r="J56" s="2"/>
      <c r="K56" s="236"/>
    </row>
    <row r="57" spans="1:11" ht="13.15" customHeight="1" x14ac:dyDescent="0.25">
      <c r="A57" s="239" t="s">
        <v>492</v>
      </c>
      <c r="B57" s="2"/>
      <c r="C57" s="236"/>
      <c r="E57" s="2">
        <v>7454</v>
      </c>
      <c r="F57" s="2">
        <v>7560</v>
      </c>
      <c r="G57" s="2">
        <v>7425</v>
      </c>
      <c r="H57" s="2">
        <v>7425</v>
      </c>
      <c r="I57" s="2">
        <v>7425</v>
      </c>
      <c r="J57" s="2">
        <v>7425</v>
      </c>
      <c r="K57" s="236"/>
    </row>
    <row r="58" spans="1:11" ht="13.15" hidden="1" customHeight="1" x14ac:dyDescent="0.2">
      <c r="A58" s="236" t="s">
        <v>365</v>
      </c>
      <c r="B58" s="2">
        <v>6</v>
      </c>
      <c r="C58" s="2">
        <v>1375</v>
      </c>
      <c r="D58" s="2">
        <f>ROUND(B58*C58,0)</f>
        <v>8250</v>
      </c>
      <c r="E58" s="2"/>
      <c r="F58" s="2"/>
      <c r="G58" s="2"/>
      <c r="I58" s="2"/>
      <c r="J58" s="2"/>
      <c r="K58" s="236"/>
    </row>
    <row r="59" spans="1:11" ht="13.15" hidden="1" customHeight="1" x14ac:dyDescent="0.35">
      <c r="A59" s="236" t="s">
        <v>1472</v>
      </c>
      <c r="B59" s="2"/>
      <c r="C59" s="2"/>
      <c r="D59" s="10">
        <f>+D58*-0.1</f>
        <v>-825</v>
      </c>
      <c r="E59" s="2"/>
      <c r="F59" s="2"/>
      <c r="G59" s="2"/>
      <c r="I59" s="2"/>
      <c r="J59" s="2"/>
      <c r="K59" s="236"/>
    </row>
    <row r="60" spans="1:11" ht="13.15" hidden="1" customHeight="1" x14ac:dyDescent="0.2">
      <c r="A60" s="236"/>
      <c r="B60" s="2"/>
      <c r="C60" s="2"/>
      <c r="D60" s="2">
        <f>SUM(D58:D59)</f>
        <v>7425</v>
      </c>
      <c r="E60" s="2"/>
      <c r="F60" s="2"/>
      <c r="G60" s="2"/>
      <c r="I60" s="2"/>
      <c r="J60" s="2"/>
      <c r="K60" s="236"/>
    </row>
    <row r="61" spans="1:11" ht="13.15" customHeight="1" x14ac:dyDescent="0.2">
      <c r="A61" s="236"/>
      <c r="B61" s="236"/>
      <c r="C61" s="236"/>
      <c r="E61" s="2"/>
      <c r="F61" s="2"/>
      <c r="G61" s="2"/>
      <c r="I61" s="2"/>
      <c r="J61" s="2"/>
      <c r="K61" s="236"/>
    </row>
    <row r="62" spans="1:11" ht="13.15" customHeight="1" x14ac:dyDescent="0.25">
      <c r="A62" s="239" t="s">
        <v>493</v>
      </c>
      <c r="B62" s="236"/>
      <c r="C62" s="236"/>
      <c r="E62" s="2">
        <v>342</v>
      </c>
      <c r="F62" s="2">
        <v>410</v>
      </c>
      <c r="G62" s="2">
        <v>410</v>
      </c>
      <c r="H62" s="2">
        <v>410</v>
      </c>
      <c r="I62" s="2">
        <v>410</v>
      </c>
      <c r="J62" s="2">
        <v>620</v>
      </c>
      <c r="K62" s="236"/>
    </row>
    <row r="63" spans="1:11" ht="13.15" hidden="1" customHeight="1" x14ac:dyDescent="0.2">
      <c r="A63" s="236" t="s">
        <v>302</v>
      </c>
      <c r="B63" s="2">
        <v>2</v>
      </c>
      <c r="C63" s="2">
        <v>240</v>
      </c>
      <c r="D63" s="2">
        <f>ROUND(B63*C63,0)</f>
        <v>480</v>
      </c>
      <c r="E63" s="2"/>
      <c r="F63" s="2"/>
      <c r="G63" s="2"/>
      <c r="I63" s="2"/>
      <c r="J63" s="2"/>
      <c r="K63" s="236"/>
    </row>
    <row r="64" spans="1:11" ht="13.15" hidden="1" customHeight="1" x14ac:dyDescent="0.35">
      <c r="A64" s="236" t="s">
        <v>904</v>
      </c>
      <c r="B64" s="2">
        <v>4</v>
      </c>
      <c r="C64" s="2">
        <v>35</v>
      </c>
      <c r="D64" s="10">
        <f>ROUND(B64*C64,0)</f>
        <v>140</v>
      </c>
      <c r="E64" s="2"/>
      <c r="F64" s="2"/>
      <c r="G64" s="2"/>
      <c r="I64" s="2"/>
      <c r="J64" s="2"/>
      <c r="K64" s="236"/>
    </row>
    <row r="65" spans="1:11" ht="13.15" hidden="1" customHeight="1" x14ac:dyDescent="0.2">
      <c r="A65" s="236" t="s">
        <v>1073</v>
      </c>
      <c r="B65" s="236"/>
      <c r="C65" s="236"/>
      <c r="D65" s="2">
        <f>SUM(D63:D64)</f>
        <v>620</v>
      </c>
      <c r="E65" s="2"/>
      <c r="F65" s="2"/>
      <c r="G65" s="2"/>
      <c r="I65" s="2"/>
      <c r="J65" s="2"/>
      <c r="K65" s="236"/>
    </row>
    <row r="66" spans="1:11" ht="13.15" customHeight="1" x14ac:dyDescent="0.2">
      <c r="A66" s="236"/>
      <c r="B66" s="236"/>
      <c r="C66" s="236"/>
      <c r="E66" s="2"/>
      <c r="F66" s="2"/>
      <c r="G66" s="2"/>
      <c r="I66" s="2"/>
      <c r="J66" s="2"/>
      <c r="K66" s="236"/>
    </row>
    <row r="67" spans="1:11" ht="13.15" customHeight="1" x14ac:dyDescent="0.25">
      <c r="A67" s="239" t="s">
        <v>494</v>
      </c>
      <c r="B67" s="236"/>
      <c r="C67" s="236"/>
      <c r="E67" s="2">
        <v>3127</v>
      </c>
      <c r="F67" s="2">
        <v>3300</v>
      </c>
      <c r="G67" s="2">
        <v>3150</v>
      </c>
      <c r="H67" s="2">
        <v>3150</v>
      </c>
      <c r="I67" s="2">
        <v>3150</v>
      </c>
      <c r="J67" s="2">
        <v>3150</v>
      </c>
      <c r="K67" s="236"/>
    </row>
    <row r="68" spans="1:11" ht="13.15" hidden="1" customHeight="1" x14ac:dyDescent="0.2">
      <c r="A68" s="236" t="s">
        <v>705</v>
      </c>
      <c r="B68" s="2">
        <v>6</v>
      </c>
      <c r="C68" s="2">
        <v>525</v>
      </c>
      <c r="D68" s="2">
        <f>ROUND(B68*C68,0)</f>
        <v>3150</v>
      </c>
      <c r="E68" s="2"/>
      <c r="F68" s="2"/>
      <c r="G68" s="2"/>
      <c r="I68" s="2"/>
      <c r="J68" s="2"/>
      <c r="K68" s="236"/>
    </row>
    <row r="69" spans="1:11" ht="13.15" customHeight="1" x14ac:dyDescent="0.2">
      <c r="A69" s="236"/>
      <c r="B69" s="236"/>
      <c r="C69" s="236"/>
      <c r="E69" s="2"/>
      <c r="F69" s="2"/>
      <c r="G69" s="2"/>
      <c r="I69" s="2"/>
      <c r="J69" s="2"/>
      <c r="K69" s="236"/>
    </row>
    <row r="70" spans="1:11" ht="13.5" x14ac:dyDescent="0.25">
      <c r="A70" s="239" t="s">
        <v>495</v>
      </c>
      <c r="B70" s="236"/>
      <c r="C70" s="236"/>
      <c r="E70" s="2">
        <v>7751</v>
      </c>
      <c r="F70" s="2">
        <v>10552</v>
      </c>
      <c r="G70" s="2">
        <v>9479</v>
      </c>
      <c r="H70" s="2">
        <v>9479</v>
      </c>
      <c r="I70" s="2">
        <v>9479</v>
      </c>
      <c r="J70" s="2">
        <v>9614</v>
      </c>
      <c r="K70" s="236"/>
    </row>
    <row r="71" spans="1:11" hidden="1" x14ac:dyDescent="0.2">
      <c r="A71" s="12" t="s">
        <v>1271</v>
      </c>
      <c r="B71" s="2">
        <f>+D12</f>
        <v>117360</v>
      </c>
      <c r="C71" s="13">
        <v>2.53E-2</v>
      </c>
      <c r="D71" s="2">
        <f>ROUND(B71*C71,0)</f>
        <v>2969</v>
      </c>
      <c r="E71" s="2"/>
      <c r="F71" s="2"/>
      <c r="G71" s="2"/>
      <c r="I71" s="2"/>
      <c r="J71" s="2"/>
      <c r="K71" s="236"/>
    </row>
    <row r="72" spans="1:11" hidden="1" x14ac:dyDescent="0.2">
      <c r="A72" s="12" t="s">
        <v>688</v>
      </c>
      <c r="B72" s="2">
        <f>+B47</f>
        <v>200024</v>
      </c>
      <c r="C72" s="13">
        <v>2.53E-2</v>
      </c>
      <c r="D72" s="2">
        <f>ROUND(B72*C72,0)</f>
        <v>5061</v>
      </c>
      <c r="E72" s="2"/>
      <c r="F72" s="2"/>
      <c r="G72" s="2"/>
      <c r="I72" s="2"/>
      <c r="J72" s="2"/>
      <c r="K72" s="236"/>
    </row>
    <row r="73" spans="1:11" hidden="1" x14ac:dyDescent="0.2">
      <c r="A73" s="12" t="s">
        <v>1605</v>
      </c>
      <c r="B73" s="2">
        <f>ROUND(+D25,0)</f>
        <v>14615</v>
      </c>
      <c r="C73" s="13">
        <v>2.53E-2</v>
      </c>
      <c r="D73" s="2">
        <f>ROUND(B73*C73,0)</f>
        <v>370</v>
      </c>
      <c r="E73" s="2"/>
      <c r="F73" s="2"/>
      <c r="G73" s="2"/>
      <c r="I73" s="2"/>
      <c r="J73" s="2"/>
      <c r="K73" s="236"/>
    </row>
    <row r="74" spans="1:11" hidden="1" x14ac:dyDescent="0.2">
      <c r="A74" s="30">
        <v>8107</v>
      </c>
      <c r="B74" s="2">
        <f>+D28</f>
        <v>13311</v>
      </c>
      <c r="C74" s="13">
        <v>2.53E-2</v>
      </c>
      <c r="D74" s="2">
        <f>ROUND(B74*C74,0)</f>
        <v>337</v>
      </c>
      <c r="E74" s="2"/>
      <c r="F74" s="2"/>
      <c r="G74" s="2"/>
      <c r="I74" s="2"/>
      <c r="J74" s="2"/>
      <c r="K74" s="236"/>
    </row>
    <row r="75" spans="1:11" ht="15" hidden="1" x14ac:dyDescent="0.35">
      <c r="A75" s="12" t="s">
        <v>1606</v>
      </c>
      <c r="B75" s="2">
        <f>ROUND(+D34,0)</f>
        <v>34631</v>
      </c>
      <c r="C75" s="13">
        <v>2.53E-2</v>
      </c>
      <c r="D75" s="10">
        <f>ROUND(B75*C75,0)</f>
        <v>876</v>
      </c>
      <c r="E75" s="2"/>
      <c r="F75" s="2"/>
      <c r="G75" s="2"/>
      <c r="I75" s="2"/>
      <c r="J75" s="2"/>
      <c r="K75" s="236"/>
    </row>
    <row r="76" spans="1:11" hidden="1" x14ac:dyDescent="0.2">
      <c r="A76" s="236" t="s">
        <v>1073</v>
      </c>
      <c r="B76" s="236"/>
      <c r="C76" s="236"/>
      <c r="D76" s="2">
        <f>SUM(D71:D75)+1</f>
        <v>9614</v>
      </c>
      <c r="E76" s="2"/>
      <c r="F76" s="2"/>
      <c r="G76" s="2"/>
      <c r="I76" s="2"/>
      <c r="J76" s="2"/>
      <c r="K76" s="236"/>
    </row>
    <row r="77" spans="1:11" x14ac:dyDescent="0.2">
      <c r="A77" s="236"/>
      <c r="B77" s="236"/>
      <c r="C77" s="236"/>
      <c r="E77" s="2"/>
      <c r="F77" s="2"/>
      <c r="G77" s="2"/>
      <c r="I77" s="2"/>
      <c r="J77" s="2"/>
      <c r="K77" s="236"/>
    </row>
    <row r="78" spans="1:11" ht="13.5" x14ac:dyDescent="0.25">
      <c r="A78" s="239" t="s">
        <v>496</v>
      </c>
      <c r="B78" s="236"/>
      <c r="C78" s="236"/>
      <c r="E78" s="2">
        <v>166</v>
      </c>
      <c r="F78" s="2">
        <v>138</v>
      </c>
      <c r="G78" s="2">
        <v>139</v>
      </c>
      <c r="H78" s="2">
        <v>139</v>
      </c>
      <c r="I78" s="2">
        <v>139</v>
      </c>
      <c r="J78" s="2">
        <v>139</v>
      </c>
      <c r="K78" s="236"/>
    </row>
    <row r="79" spans="1:11" hidden="1" x14ac:dyDescent="0.2">
      <c r="A79" s="12" t="s">
        <v>1271</v>
      </c>
      <c r="B79" s="2">
        <v>2</v>
      </c>
      <c r="C79" s="2">
        <v>20</v>
      </c>
      <c r="D79" s="2">
        <f>ROUND(B79*C79,0)</f>
        <v>40</v>
      </c>
      <c r="E79" s="2"/>
      <c r="F79" s="2"/>
      <c r="G79" s="2"/>
      <c r="I79" s="2"/>
      <c r="J79" s="2"/>
      <c r="K79" s="236"/>
    </row>
    <row r="80" spans="1:11" hidden="1" x14ac:dyDescent="0.2">
      <c r="A80" s="12" t="s">
        <v>688</v>
      </c>
      <c r="B80" s="2">
        <v>4</v>
      </c>
      <c r="C80" s="2">
        <v>20</v>
      </c>
      <c r="D80" s="2">
        <f>ROUND(B80*C80,0)</f>
        <v>80</v>
      </c>
      <c r="E80" s="2"/>
      <c r="F80" s="2"/>
      <c r="G80" s="2"/>
      <c r="I80" s="2"/>
      <c r="J80" s="2"/>
      <c r="K80" s="236"/>
    </row>
    <row r="81" spans="1:11" ht="15" hidden="1" x14ac:dyDescent="0.35">
      <c r="A81" s="12" t="s">
        <v>155</v>
      </c>
      <c r="B81" s="2">
        <f>+D28</f>
        <v>13311</v>
      </c>
      <c r="C81" s="13">
        <v>1.4E-3</v>
      </c>
      <c r="D81" s="10">
        <f>ROUND(B81*C81,0)</f>
        <v>19</v>
      </c>
      <c r="E81" s="2"/>
      <c r="F81" s="2"/>
      <c r="G81" s="2"/>
      <c r="I81" s="2"/>
      <c r="J81" s="2"/>
      <c r="K81" s="236"/>
    </row>
    <row r="82" spans="1:11" hidden="1" x14ac:dyDescent="0.2">
      <c r="A82" s="236" t="s">
        <v>1073</v>
      </c>
      <c r="B82" s="236"/>
      <c r="C82" s="236"/>
      <c r="D82" s="2">
        <f>SUM(D79:D81)</f>
        <v>139</v>
      </c>
      <c r="E82" s="2"/>
      <c r="F82" s="2"/>
      <c r="G82" s="2"/>
      <c r="I82" s="2"/>
      <c r="J82" s="2"/>
      <c r="K82" s="236"/>
    </row>
    <row r="83" spans="1:11" x14ac:dyDescent="0.2">
      <c r="A83" s="236"/>
      <c r="B83" s="236"/>
      <c r="C83" s="236"/>
      <c r="E83" s="2"/>
      <c r="F83" s="2"/>
      <c r="G83" s="2"/>
      <c r="I83" s="2"/>
      <c r="J83" s="2"/>
      <c r="K83" s="236"/>
    </row>
    <row r="84" spans="1:11" ht="13.5" x14ac:dyDescent="0.25">
      <c r="A84" s="239" t="s">
        <v>1026</v>
      </c>
      <c r="B84" s="236"/>
      <c r="C84" s="236"/>
      <c r="E84" s="2">
        <v>1027</v>
      </c>
      <c r="F84" s="2">
        <v>1000</v>
      </c>
      <c r="G84" s="2">
        <v>1000</v>
      </c>
      <c r="H84" s="2">
        <v>1000</v>
      </c>
      <c r="I84" s="2">
        <v>1000</v>
      </c>
      <c r="J84" s="2">
        <v>1000</v>
      </c>
      <c r="K84" s="2"/>
    </row>
    <row r="85" spans="1:11" x14ac:dyDescent="0.2">
      <c r="A85" s="236" t="s">
        <v>1350</v>
      </c>
      <c r="B85" s="236"/>
      <c r="C85" s="236"/>
      <c r="D85" s="2" t="s">
        <v>345</v>
      </c>
      <c r="E85" s="2"/>
      <c r="F85" s="2"/>
      <c r="G85" s="2"/>
      <c r="I85" s="2"/>
      <c r="J85" s="2"/>
      <c r="K85" s="2"/>
    </row>
    <row r="86" spans="1:11" x14ac:dyDescent="0.2">
      <c r="A86" s="236" t="s">
        <v>1423</v>
      </c>
      <c r="B86" s="236"/>
      <c r="C86" s="2"/>
      <c r="D86" s="2">
        <v>1000</v>
      </c>
      <c r="E86" s="2"/>
      <c r="F86" s="2"/>
      <c r="G86" s="2"/>
      <c r="I86" s="2"/>
      <c r="J86" s="2"/>
      <c r="K86" s="2"/>
    </row>
    <row r="87" spans="1:11" x14ac:dyDescent="0.2">
      <c r="A87" s="236"/>
      <c r="B87" s="2"/>
      <c r="C87" s="2"/>
      <c r="E87" s="2"/>
      <c r="F87" s="2"/>
      <c r="G87" s="2"/>
      <c r="I87" s="2"/>
      <c r="J87" s="2"/>
      <c r="K87" s="2"/>
    </row>
    <row r="88" spans="1:11" ht="13.5" x14ac:dyDescent="0.25">
      <c r="A88" s="239" t="s">
        <v>1027</v>
      </c>
      <c r="B88" s="236"/>
      <c r="C88" s="2"/>
      <c r="E88" s="2">
        <v>1044</v>
      </c>
      <c r="F88" s="2">
        <v>650</v>
      </c>
      <c r="G88" s="2">
        <v>650</v>
      </c>
      <c r="H88" s="2">
        <v>650</v>
      </c>
      <c r="I88" s="2">
        <v>650</v>
      </c>
      <c r="J88" s="2">
        <v>650</v>
      </c>
      <c r="K88" s="2"/>
    </row>
    <row r="89" spans="1:11" x14ac:dyDescent="0.2">
      <c r="A89" s="236" t="s">
        <v>871</v>
      </c>
      <c r="B89" s="236"/>
      <c r="C89" s="2"/>
      <c r="D89" s="2">
        <v>650</v>
      </c>
      <c r="E89" s="2"/>
      <c r="F89" s="2"/>
      <c r="G89" s="2"/>
      <c r="I89" s="2"/>
      <c r="J89" s="2"/>
      <c r="K89" s="2"/>
    </row>
    <row r="90" spans="1:11" x14ac:dyDescent="0.2">
      <c r="A90" s="236"/>
      <c r="B90" s="236"/>
      <c r="C90" s="2"/>
      <c r="E90" s="2"/>
      <c r="F90" s="2"/>
      <c r="G90" s="2"/>
      <c r="I90" s="2"/>
      <c r="J90" s="2"/>
      <c r="K90" s="2"/>
    </row>
    <row r="91" spans="1:11" ht="13.5" x14ac:dyDescent="0.25">
      <c r="A91" s="239" t="s">
        <v>1028</v>
      </c>
      <c r="B91" s="236"/>
      <c r="C91" s="2"/>
      <c r="E91" s="2">
        <v>4962</v>
      </c>
      <c r="F91" s="2">
        <v>6500</v>
      </c>
      <c r="G91" s="2">
        <v>6500</v>
      </c>
      <c r="H91" s="2">
        <v>6500</v>
      </c>
      <c r="I91" s="2">
        <v>6500</v>
      </c>
      <c r="J91" s="2">
        <v>6500</v>
      </c>
      <c r="K91" s="2"/>
    </row>
    <row r="92" spans="1:11" x14ac:dyDescent="0.2">
      <c r="A92" s="5" t="s">
        <v>820</v>
      </c>
      <c r="B92" s="5"/>
      <c r="C92" s="2"/>
      <c r="E92" s="2"/>
      <c r="F92" s="2"/>
      <c r="G92" s="2"/>
      <c r="I92" s="2"/>
      <c r="J92" s="2"/>
      <c r="K92" s="2"/>
    </row>
    <row r="93" spans="1:11" x14ac:dyDescent="0.2">
      <c r="A93" s="5" t="s">
        <v>1351</v>
      </c>
      <c r="B93" s="5"/>
      <c r="C93" s="2"/>
      <c r="D93" s="2">
        <v>6500</v>
      </c>
      <c r="E93" s="2"/>
      <c r="F93" s="2"/>
      <c r="G93" s="2"/>
      <c r="I93" s="2"/>
      <c r="J93" s="2"/>
      <c r="K93" s="2"/>
    </row>
    <row r="94" spans="1:11" x14ac:dyDescent="0.2">
      <c r="A94" s="236" t="s">
        <v>345</v>
      </c>
      <c r="B94" s="236"/>
      <c r="C94" s="2"/>
      <c r="E94" s="2"/>
      <c r="F94" s="2"/>
      <c r="G94" s="2"/>
      <c r="I94" s="2"/>
      <c r="J94" s="2"/>
      <c r="K94" s="2"/>
    </row>
    <row r="95" spans="1:11" ht="13.5" x14ac:dyDescent="0.25">
      <c r="A95" s="239" t="s">
        <v>549</v>
      </c>
      <c r="B95" s="236"/>
      <c r="C95" s="236"/>
      <c r="D95" s="2" t="s">
        <v>345</v>
      </c>
      <c r="E95" s="2">
        <v>3420</v>
      </c>
      <c r="F95" s="2">
        <v>3072</v>
      </c>
      <c r="G95" s="2">
        <v>3072</v>
      </c>
      <c r="H95" s="2">
        <v>3072</v>
      </c>
      <c r="I95" s="2">
        <v>3072</v>
      </c>
      <c r="J95" s="2">
        <v>3302</v>
      </c>
      <c r="K95" s="2"/>
    </row>
    <row r="96" spans="1:11" x14ac:dyDescent="0.2">
      <c r="A96" s="236" t="s">
        <v>1263</v>
      </c>
      <c r="B96" s="2">
        <v>1</v>
      </c>
      <c r="C96" s="236">
        <v>200</v>
      </c>
      <c r="D96" s="2">
        <f>+C96*B96</f>
        <v>200</v>
      </c>
      <c r="E96" s="2"/>
      <c r="F96" s="2"/>
      <c r="G96" s="2"/>
      <c r="I96" s="2"/>
      <c r="J96" s="2"/>
      <c r="K96" s="2"/>
    </row>
    <row r="97" spans="1:11" x14ac:dyDescent="0.2">
      <c r="A97" s="236" t="s">
        <v>1264</v>
      </c>
      <c r="B97" s="2">
        <v>2</v>
      </c>
      <c r="C97" s="2">
        <v>230</v>
      </c>
      <c r="D97" s="2">
        <f>+C97*B97</f>
        <v>460</v>
      </c>
      <c r="E97" s="2"/>
      <c r="F97" s="2"/>
      <c r="G97" s="2"/>
      <c r="I97" s="2"/>
      <c r="J97" s="2"/>
      <c r="K97" s="2"/>
    </row>
    <row r="98" spans="1:11" x14ac:dyDescent="0.2">
      <c r="A98" s="236" t="s">
        <v>1265</v>
      </c>
      <c r="B98" s="2">
        <v>4</v>
      </c>
      <c r="C98" s="2">
        <v>275</v>
      </c>
      <c r="D98" s="2">
        <f>+C98*B98</f>
        <v>1100</v>
      </c>
      <c r="E98" s="2"/>
      <c r="F98" s="2"/>
      <c r="G98" s="2"/>
      <c r="I98" s="2"/>
      <c r="J98" s="2"/>
      <c r="K98" s="2"/>
    </row>
    <row r="99" spans="1:11" x14ac:dyDescent="0.2">
      <c r="A99" s="236" t="s">
        <v>109</v>
      </c>
      <c r="B99" s="2">
        <v>4</v>
      </c>
      <c r="C99" s="2">
        <v>203</v>
      </c>
      <c r="D99" s="2">
        <f>+C99*B99</f>
        <v>812</v>
      </c>
      <c r="E99" s="2"/>
      <c r="F99" s="2"/>
      <c r="G99" s="2"/>
      <c r="I99" s="2"/>
      <c r="J99" s="2"/>
      <c r="K99" s="2"/>
    </row>
    <row r="100" spans="1:11" x14ac:dyDescent="0.2">
      <c r="A100" s="236" t="s">
        <v>331</v>
      </c>
      <c r="B100" s="2"/>
      <c r="C100" s="2"/>
      <c r="D100" s="2">
        <v>500</v>
      </c>
      <c r="E100" s="2"/>
      <c r="F100" s="2"/>
      <c r="G100" s="2"/>
      <c r="I100" s="2"/>
      <c r="J100" s="2"/>
      <c r="K100" s="2"/>
    </row>
    <row r="101" spans="1:11" s="236" customFormat="1" ht="15" x14ac:dyDescent="0.35">
      <c r="A101" s="236" t="s">
        <v>2115</v>
      </c>
      <c r="B101" s="2">
        <v>2</v>
      </c>
      <c r="C101" s="2">
        <v>115</v>
      </c>
      <c r="D101" s="10">
        <f>+C101*B101</f>
        <v>230</v>
      </c>
      <c r="E101" s="2"/>
      <c r="F101" s="2"/>
      <c r="G101" s="2"/>
      <c r="H101" s="2"/>
      <c r="I101" s="2"/>
      <c r="J101" s="2"/>
      <c r="K101" s="2"/>
    </row>
    <row r="102" spans="1:11" x14ac:dyDescent="0.2">
      <c r="A102" s="236" t="s">
        <v>1073</v>
      </c>
      <c r="B102" s="2" t="s">
        <v>345</v>
      </c>
      <c r="C102" s="2" t="s">
        <v>345</v>
      </c>
      <c r="D102" s="2">
        <f>SUM(D96:D101)</f>
        <v>3302</v>
      </c>
      <c r="E102" s="2"/>
      <c r="F102" s="2"/>
      <c r="G102" s="2"/>
      <c r="I102" s="2"/>
      <c r="J102" s="2"/>
      <c r="K102" s="2"/>
    </row>
    <row r="103" spans="1:11" x14ac:dyDescent="0.2">
      <c r="A103" s="236"/>
      <c r="B103" s="236"/>
      <c r="C103" s="236"/>
      <c r="E103" s="2"/>
      <c r="F103" s="2"/>
      <c r="G103" s="2"/>
      <c r="I103" s="2"/>
      <c r="J103" s="2"/>
      <c r="K103" s="2"/>
    </row>
    <row r="104" spans="1:11" ht="13.5" x14ac:dyDescent="0.25">
      <c r="A104" s="239" t="s">
        <v>176</v>
      </c>
      <c r="B104" s="236"/>
      <c r="C104" s="236"/>
      <c r="E104" s="2">
        <v>8886</v>
      </c>
      <c r="F104" s="2">
        <v>2200</v>
      </c>
      <c r="G104" s="2">
        <v>1300</v>
      </c>
      <c r="H104" s="2">
        <v>1300</v>
      </c>
      <c r="I104" s="2">
        <v>1300</v>
      </c>
      <c r="J104" s="2">
        <v>1300</v>
      </c>
      <c r="K104" s="2"/>
    </row>
    <row r="105" spans="1:11" x14ac:dyDescent="0.2">
      <c r="A105" s="236" t="s">
        <v>1955</v>
      </c>
      <c r="B105" s="236"/>
      <c r="C105" s="236"/>
      <c r="D105" s="2">
        <v>800</v>
      </c>
      <c r="E105" s="2"/>
      <c r="F105" s="2"/>
      <c r="G105" s="2"/>
      <c r="I105" s="2"/>
      <c r="J105" s="2"/>
      <c r="K105" s="2"/>
    </row>
    <row r="106" spans="1:11" ht="15" x14ac:dyDescent="0.35">
      <c r="A106" s="236" t="s">
        <v>1424</v>
      </c>
      <c r="B106" s="236"/>
      <c r="C106" s="2"/>
      <c r="D106" s="10">
        <v>500</v>
      </c>
      <c r="E106" s="2"/>
      <c r="F106" s="2"/>
      <c r="G106" s="2"/>
      <c r="I106" s="2"/>
      <c r="J106" s="2"/>
      <c r="K106" s="2"/>
    </row>
    <row r="107" spans="1:11" ht="15" x14ac:dyDescent="0.35">
      <c r="A107" s="236" t="s">
        <v>1073</v>
      </c>
      <c r="B107" s="236"/>
      <c r="C107" s="10"/>
      <c r="D107" s="2">
        <f>SUM(D105:D106)</f>
        <v>1300</v>
      </c>
      <c r="E107" s="2"/>
      <c r="F107" s="2"/>
      <c r="G107" s="2"/>
      <c r="I107" s="2"/>
      <c r="J107" s="2"/>
      <c r="K107" s="2"/>
    </row>
    <row r="108" spans="1:11" x14ac:dyDescent="0.2">
      <c r="A108" s="236"/>
      <c r="B108" s="2"/>
      <c r="C108" s="2"/>
      <c r="E108" s="2"/>
      <c r="F108" s="2"/>
      <c r="G108" s="2"/>
      <c r="I108" s="2"/>
      <c r="J108" s="2"/>
      <c r="K108" s="2"/>
    </row>
    <row r="109" spans="1:11" ht="13.5" x14ac:dyDescent="0.25">
      <c r="A109" s="239" t="s">
        <v>177</v>
      </c>
      <c r="B109" s="236"/>
      <c r="C109" s="2"/>
      <c r="E109" s="2">
        <v>2370</v>
      </c>
      <c r="F109" s="2">
        <v>3600</v>
      </c>
      <c r="G109" s="2">
        <v>3600</v>
      </c>
      <c r="H109" s="2">
        <v>3600</v>
      </c>
      <c r="I109" s="2">
        <v>3600</v>
      </c>
      <c r="J109" s="2">
        <v>3600</v>
      </c>
      <c r="K109" s="2"/>
    </row>
    <row r="110" spans="1:11" x14ac:dyDescent="0.2">
      <c r="A110" s="236" t="s">
        <v>929</v>
      </c>
      <c r="B110" s="236"/>
      <c r="C110" s="2"/>
      <c r="D110" s="2">
        <v>3600</v>
      </c>
      <c r="E110" s="2"/>
      <c r="F110" s="2"/>
      <c r="G110" s="2"/>
      <c r="I110" s="2"/>
      <c r="J110" s="2"/>
      <c r="K110" s="2"/>
    </row>
    <row r="111" spans="1:11" x14ac:dyDescent="0.2">
      <c r="A111" s="236"/>
      <c r="B111" s="236"/>
      <c r="C111" s="2"/>
      <c r="E111" s="2"/>
      <c r="F111" s="2"/>
      <c r="G111" s="2"/>
      <c r="I111" s="2"/>
      <c r="J111" s="2"/>
      <c r="K111" s="2"/>
    </row>
    <row r="112" spans="1:11" ht="13.5" x14ac:dyDescent="0.25">
      <c r="A112" s="239" t="s">
        <v>103</v>
      </c>
      <c r="B112" s="236"/>
      <c r="C112" s="2"/>
      <c r="D112" s="2">
        <v>20</v>
      </c>
      <c r="E112" s="2">
        <v>0</v>
      </c>
      <c r="F112" s="2">
        <v>20</v>
      </c>
      <c r="G112" s="2">
        <v>20</v>
      </c>
      <c r="H112" s="2">
        <v>20</v>
      </c>
      <c r="I112" s="2">
        <v>20</v>
      </c>
      <c r="J112" s="2">
        <v>20</v>
      </c>
      <c r="K112" s="2"/>
    </row>
    <row r="113" spans="1:11" x14ac:dyDescent="0.2">
      <c r="A113" s="236"/>
      <c r="B113" s="2"/>
      <c r="C113" s="17"/>
      <c r="D113" s="17"/>
      <c r="E113" s="2"/>
      <c r="F113" s="2"/>
      <c r="G113" s="2"/>
      <c r="I113" s="2"/>
      <c r="J113" s="2"/>
      <c r="K113" s="2"/>
    </row>
    <row r="114" spans="1:11" ht="13.5" x14ac:dyDescent="0.25">
      <c r="A114" s="239" t="s">
        <v>178</v>
      </c>
      <c r="B114" s="236"/>
      <c r="C114" s="2"/>
      <c r="E114" s="2">
        <v>16903</v>
      </c>
      <c r="F114" s="2">
        <v>16500</v>
      </c>
      <c r="G114" s="2">
        <v>17100</v>
      </c>
      <c r="H114" s="2">
        <v>17100</v>
      </c>
      <c r="I114" s="2">
        <v>17100</v>
      </c>
      <c r="J114" s="2">
        <v>17100</v>
      </c>
      <c r="K114" s="2"/>
    </row>
    <row r="115" spans="1:11" x14ac:dyDescent="0.2">
      <c r="A115" s="236" t="s">
        <v>1799</v>
      </c>
      <c r="B115" s="236"/>
      <c r="C115" s="2"/>
      <c r="D115" s="2">
        <v>7500</v>
      </c>
      <c r="E115" s="2"/>
      <c r="F115" s="2"/>
      <c r="G115" s="2"/>
      <c r="I115" s="2"/>
      <c r="J115" s="2"/>
      <c r="K115" s="2"/>
    </row>
    <row r="116" spans="1:11" x14ac:dyDescent="0.2">
      <c r="A116" s="236" t="s">
        <v>930</v>
      </c>
      <c r="B116" s="236"/>
      <c r="C116" s="2"/>
      <c r="D116" s="2">
        <v>6600</v>
      </c>
      <c r="E116" s="2"/>
      <c r="F116" s="2"/>
      <c r="G116" s="2"/>
      <c r="I116" s="2"/>
      <c r="J116" s="2"/>
      <c r="K116" s="2"/>
    </row>
    <row r="117" spans="1:11" ht="15" x14ac:dyDescent="0.35">
      <c r="A117" s="236" t="s">
        <v>1765</v>
      </c>
      <c r="B117" s="236"/>
      <c r="C117" s="2"/>
      <c r="D117" s="10">
        <v>3000</v>
      </c>
      <c r="E117" s="2"/>
      <c r="F117" s="2"/>
      <c r="G117" s="2"/>
      <c r="I117" s="2"/>
      <c r="J117" s="2"/>
      <c r="K117" s="2"/>
    </row>
    <row r="118" spans="1:11" ht="15" x14ac:dyDescent="0.35">
      <c r="A118" s="236" t="s">
        <v>1073</v>
      </c>
      <c r="B118" s="236"/>
      <c r="C118" s="10"/>
      <c r="D118" s="2">
        <f>SUM(D115:D117)</f>
        <v>17100</v>
      </c>
      <c r="E118" s="2"/>
      <c r="F118" s="2"/>
      <c r="G118" s="2"/>
      <c r="I118" s="2"/>
      <c r="J118" s="2"/>
      <c r="K118" s="2"/>
    </row>
    <row r="119" spans="1:11" ht="15" x14ac:dyDescent="0.35">
      <c r="A119" s="236"/>
      <c r="B119" s="236"/>
      <c r="C119" s="10"/>
      <c r="E119" s="2"/>
      <c r="F119" s="2"/>
      <c r="G119" s="2"/>
      <c r="I119" s="2"/>
      <c r="J119" s="2"/>
      <c r="K119" s="2"/>
    </row>
    <row r="120" spans="1:11" ht="13.5" x14ac:dyDescent="0.25">
      <c r="A120" s="239" t="s">
        <v>179</v>
      </c>
      <c r="B120" s="236"/>
      <c r="C120" s="236"/>
      <c r="E120" s="2">
        <v>44182</v>
      </c>
      <c r="F120" s="2">
        <v>51570</v>
      </c>
      <c r="G120" s="2">
        <v>55170</v>
      </c>
      <c r="H120" s="2">
        <v>55170</v>
      </c>
      <c r="I120" s="2">
        <v>55170</v>
      </c>
      <c r="J120" s="2">
        <v>55170</v>
      </c>
      <c r="K120" s="2"/>
    </row>
    <row r="121" spans="1:11" x14ac:dyDescent="0.2">
      <c r="A121" s="236" t="s">
        <v>1425</v>
      </c>
      <c r="B121" s="40">
        <v>18000</v>
      </c>
      <c r="C121" s="11">
        <v>2.75</v>
      </c>
      <c r="D121" s="2">
        <f>ROUND(B121*C121,0)</f>
        <v>49500</v>
      </c>
      <c r="E121" s="2"/>
      <c r="F121" s="2"/>
      <c r="G121" s="2"/>
      <c r="I121" s="2"/>
      <c r="J121" s="2"/>
      <c r="K121" s="2"/>
    </row>
    <row r="122" spans="1:11" x14ac:dyDescent="0.2">
      <c r="A122" s="236" t="s">
        <v>1426</v>
      </c>
      <c r="B122" s="2">
        <v>1200</v>
      </c>
      <c r="C122" s="11">
        <v>2.85</v>
      </c>
      <c r="D122" s="2">
        <f>ROUND(B122*C122,0)</f>
        <v>3420</v>
      </c>
      <c r="E122" s="2"/>
      <c r="F122" s="2"/>
      <c r="G122" s="2"/>
      <c r="I122" s="2"/>
      <c r="J122" s="2"/>
      <c r="K122" s="2"/>
    </row>
    <row r="123" spans="1:11" ht="15" x14ac:dyDescent="0.35">
      <c r="A123" s="236" t="s">
        <v>1956</v>
      </c>
      <c r="B123" s="2">
        <v>600</v>
      </c>
      <c r="C123" s="11">
        <v>3.75</v>
      </c>
      <c r="D123" s="10">
        <f>ROUND(B123*C123,0)</f>
        <v>2250</v>
      </c>
      <c r="E123" s="2"/>
      <c r="F123" s="2"/>
      <c r="G123" s="2"/>
      <c r="I123" s="2"/>
      <c r="J123" s="2"/>
      <c r="K123" s="2"/>
    </row>
    <row r="124" spans="1:11" x14ac:dyDescent="0.2">
      <c r="A124" s="236" t="s">
        <v>1073</v>
      </c>
      <c r="B124" s="2"/>
      <c r="C124" s="13"/>
      <c r="D124" s="2">
        <f>SUM(D121:D123)</f>
        <v>55170</v>
      </c>
      <c r="E124" s="2"/>
      <c r="F124" s="2"/>
      <c r="G124" s="2"/>
      <c r="I124" s="2"/>
      <c r="J124" s="2"/>
      <c r="K124" s="2"/>
    </row>
    <row r="125" spans="1:11" x14ac:dyDescent="0.2">
      <c r="A125" s="236"/>
      <c r="B125" s="236"/>
      <c r="C125" s="236"/>
      <c r="E125" s="2"/>
      <c r="F125" s="2"/>
      <c r="G125" s="2"/>
      <c r="I125" s="2"/>
      <c r="J125" s="2"/>
      <c r="K125" s="2"/>
    </row>
    <row r="126" spans="1:11" ht="13.5" x14ac:dyDescent="0.25">
      <c r="A126" s="239" t="s">
        <v>367</v>
      </c>
      <c r="B126" s="236"/>
      <c r="C126" s="236"/>
      <c r="E126" s="2">
        <v>4549</v>
      </c>
      <c r="F126" s="2">
        <v>5090</v>
      </c>
      <c r="G126" s="2">
        <v>4610</v>
      </c>
      <c r="H126" s="2">
        <v>4610</v>
      </c>
      <c r="I126" s="2">
        <v>4610</v>
      </c>
      <c r="J126" s="2">
        <v>4610</v>
      </c>
      <c r="K126" s="2"/>
    </row>
    <row r="127" spans="1:11" x14ac:dyDescent="0.2">
      <c r="A127" s="236" t="s">
        <v>811</v>
      </c>
      <c r="B127" s="236"/>
      <c r="C127" s="236"/>
      <c r="D127" s="2">
        <v>1850</v>
      </c>
      <c r="E127" s="2"/>
      <c r="F127" s="2"/>
      <c r="G127" s="2"/>
      <c r="I127" s="2"/>
      <c r="J127" s="2"/>
      <c r="K127" s="2"/>
    </row>
    <row r="128" spans="1:11" x14ac:dyDescent="0.2">
      <c r="A128" s="236" t="s">
        <v>1995</v>
      </c>
      <c r="B128" s="236"/>
      <c r="C128" s="2"/>
      <c r="D128" s="2">
        <v>960</v>
      </c>
      <c r="E128" s="2"/>
      <c r="F128" s="2"/>
      <c r="G128" s="2"/>
      <c r="I128" s="2"/>
      <c r="J128" s="2"/>
      <c r="K128" s="2"/>
    </row>
    <row r="129" spans="1:11" x14ac:dyDescent="0.2">
      <c r="A129" s="236" t="s">
        <v>1543</v>
      </c>
      <c r="B129" s="236"/>
      <c r="C129" s="2"/>
      <c r="D129" s="2">
        <v>1800</v>
      </c>
      <c r="E129" s="2"/>
      <c r="F129" s="2"/>
      <c r="G129" s="2"/>
      <c r="I129" s="2"/>
      <c r="J129" s="2"/>
      <c r="K129" s="2"/>
    </row>
    <row r="130" spans="1:11" ht="15" x14ac:dyDescent="0.35">
      <c r="A130" s="236" t="s">
        <v>587</v>
      </c>
      <c r="B130" s="236"/>
      <c r="C130" s="2"/>
      <c r="D130" s="10">
        <v>0</v>
      </c>
      <c r="E130" s="2"/>
      <c r="F130" s="2"/>
      <c r="G130" s="2"/>
      <c r="I130" s="2"/>
      <c r="J130" s="2"/>
      <c r="K130" s="2"/>
    </row>
    <row r="131" spans="1:11" ht="15" x14ac:dyDescent="0.35">
      <c r="A131" s="236" t="s">
        <v>1073</v>
      </c>
      <c r="B131" s="2" t="s">
        <v>345</v>
      </c>
      <c r="C131" s="10"/>
      <c r="D131" s="2">
        <f>SUM(D127:D130)</f>
        <v>4610</v>
      </c>
      <c r="E131" s="2"/>
      <c r="F131" s="2"/>
      <c r="G131" s="2"/>
      <c r="I131" s="2"/>
      <c r="J131" s="2"/>
      <c r="K131" s="2"/>
    </row>
    <row r="132" spans="1:11" x14ac:dyDescent="0.2">
      <c r="A132" s="236"/>
      <c r="B132" s="2"/>
      <c r="C132" s="2"/>
      <c r="E132" s="2"/>
      <c r="F132" s="2"/>
      <c r="G132" s="2"/>
      <c r="I132" s="2"/>
      <c r="J132" s="2"/>
      <c r="K132" s="2"/>
    </row>
    <row r="133" spans="1:11" ht="13.5" x14ac:dyDescent="0.25">
      <c r="A133" s="239" t="s">
        <v>368</v>
      </c>
      <c r="B133" s="236"/>
      <c r="C133" s="236"/>
      <c r="E133" s="2">
        <v>18497</v>
      </c>
      <c r="F133" s="2">
        <v>19156</v>
      </c>
      <c r="G133" s="2">
        <v>19826</v>
      </c>
      <c r="H133" s="2">
        <v>19826</v>
      </c>
      <c r="I133" s="2">
        <v>19826</v>
      </c>
      <c r="J133" s="2">
        <v>19826</v>
      </c>
      <c r="K133" s="2"/>
    </row>
    <row r="134" spans="1:11" x14ac:dyDescent="0.2">
      <c r="A134" s="236" t="s">
        <v>429</v>
      </c>
      <c r="B134" s="236"/>
      <c r="C134" s="236"/>
      <c r="D134" s="2">
        <v>16700</v>
      </c>
      <c r="E134" s="2"/>
      <c r="F134" s="2"/>
      <c r="G134" s="2"/>
      <c r="I134" s="2"/>
      <c r="J134" s="2"/>
      <c r="K134" s="2"/>
    </row>
    <row r="135" spans="1:11" x14ac:dyDescent="0.2">
      <c r="A135" s="236" t="s">
        <v>108</v>
      </c>
      <c r="B135" s="2" t="s">
        <v>345</v>
      </c>
      <c r="C135" s="2"/>
      <c r="D135" s="2">
        <v>170</v>
      </c>
      <c r="E135" s="2"/>
      <c r="F135" s="2"/>
      <c r="G135" s="2"/>
      <c r="I135" s="2"/>
      <c r="J135" s="2"/>
      <c r="K135" s="2"/>
    </row>
    <row r="136" spans="1:11" x14ac:dyDescent="0.2">
      <c r="A136" s="236" t="s">
        <v>1656</v>
      </c>
      <c r="B136" s="2"/>
      <c r="C136" s="2"/>
      <c r="D136" s="2">
        <v>1800</v>
      </c>
      <c r="E136" s="2"/>
      <c r="F136" s="2"/>
      <c r="G136" s="2"/>
      <c r="I136" s="2"/>
      <c r="J136" s="2"/>
      <c r="K136" s="2"/>
    </row>
    <row r="137" spans="1:11" x14ac:dyDescent="0.2">
      <c r="A137" s="236" t="s">
        <v>527</v>
      </c>
      <c r="B137" s="2"/>
      <c r="C137" s="2"/>
      <c r="D137" s="2">
        <v>180</v>
      </c>
      <c r="E137" s="2"/>
      <c r="F137" s="2"/>
      <c r="G137" s="2"/>
      <c r="I137" s="2"/>
      <c r="J137" s="2"/>
      <c r="K137" s="2"/>
    </row>
    <row r="138" spans="1:11" x14ac:dyDescent="0.2">
      <c r="A138" s="236" t="s">
        <v>1121</v>
      </c>
      <c r="B138" s="2">
        <v>6</v>
      </c>
      <c r="C138" s="2">
        <v>96</v>
      </c>
      <c r="D138" s="2">
        <f>C138*B138</f>
        <v>576</v>
      </c>
      <c r="E138" s="2"/>
      <c r="F138" s="2"/>
      <c r="G138" s="2"/>
      <c r="I138" s="2"/>
      <c r="J138" s="2"/>
      <c r="K138" s="2"/>
    </row>
    <row r="139" spans="1:11" ht="15" x14ac:dyDescent="0.35">
      <c r="A139" s="236" t="s">
        <v>1245</v>
      </c>
      <c r="B139" s="2">
        <v>8</v>
      </c>
      <c r="C139" s="2">
        <v>50</v>
      </c>
      <c r="D139" s="10">
        <f>C139*B139</f>
        <v>400</v>
      </c>
      <c r="E139" s="2"/>
      <c r="F139" s="2"/>
      <c r="G139" s="2"/>
      <c r="I139" s="2"/>
      <c r="J139" s="2"/>
      <c r="K139" s="2"/>
    </row>
    <row r="140" spans="1:11" x14ac:dyDescent="0.2">
      <c r="A140" s="236" t="s">
        <v>1073</v>
      </c>
      <c r="B140" s="2"/>
      <c r="C140" s="2"/>
      <c r="D140" s="2">
        <f>SUM(D134:D139)</f>
        <v>19826</v>
      </c>
      <c r="E140" s="2"/>
      <c r="F140" s="2"/>
      <c r="G140" s="2"/>
      <c r="I140" s="2"/>
      <c r="J140" s="2"/>
      <c r="K140" s="2"/>
    </row>
    <row r="141" spans="1:11" x14ac:dyDescent="0.2">
      <c r="A141" s="236" t="s">
        <v>345</v>
      </c>
      <c r="B141" s="2"/>
      <c r="C141" s="11"/>
      <c r="E141" s="2"/>
      <c r="F141" s="2"/>
      <c r="G141" s="2"/>
      <c r="I141" s="2"/>
      <c r="J141" s="2"/>
      <c r="K141" s="2"/>
    </row>
    <row r="142" spans="1:11" ht="13.5" x14ac:dyDescent="0.25">
      <c r="A142" s="16" t="s">
        <v>369</v>
      </c>
      <c r="B142" s="236"/>
      <c r="C142" s="236"/>
      <c r="D142" s="2" t="s">
        <v>345</v>
      </c>
      <c r="E142" s="2">
        <v>8812</v>
      </c>
      <c r="F142" s="2">
        <v>9322</v>
      </c>
      <c r="G142" s="2">
        <v>10721</v>
      </c>
      <c r="H142" s="2">
        <v>10721</v>
      </c>
      <c r="I142" s="2">
        <v>10721</v>
      </c>
      <c r="J142" s="2">
        <v>10721</v>
      </c>
      <c r="K142" s="2"/>
    </row>
    <row r="143" spans="1:11" x14ac:dyDescent="0.2">
      <c r="A143" s="236" t="s">
        <v>906</v>
      </c>
      <c r="B143" s="236"/>
      <c r="C143" s="236"/>
      <c r="D143" s="2">
        <v>10721</v>
      </c>
      <c r="E143" s="2"/>
      <c r="F143" s="2"/>
      <c r="G143" s="2"/>
      <c r="I143" s="2"/>
      <c r="J143" s="2"/>
      <c r="K143" s="2"/>
    </row>
    <row r="144" spans="1:11" x14ac:dyDescent="0.2">
      <c r="A144" s="236"/>
      <c r="B144" s="236"/>
      <c r="C144" s="2"/>
      <c r="E144" s="2"/>
      <c r="F144" s="2"/>
      <c r="G144" s="2"/>
      <c r="I144" s="2"/>
      <c r="J144" s="2"/>
      <c r="K144" s="2"/>
    </row>
    <row r="145" spans="1:11" ht="13.5" x14ac:dyDescent="0.25">
      <c r="A145" s="239" t="s">
        <v>370</v>
      </c>
      <c r="B145" s="236"/>
      <c r="C145" s="2"/>
      <c r="E145" s="2">
        <v>0</v>
      </c>
      <c r="F145" s="2">
        <v>500</v>
      </c>
      <c r="G145" s="2">
        <v>500</v>
      </c>
      <c r="H145" s="2">
        <v>500</v>
      </c>
      <c r="I145" s="2">
        <v>500</v>
      </c>
      <c r="J145" s="2">
        <v>500</v>
      </c>
      <c r="K145" s="2"/>
    </row>
    <row r="146" spans="1:11" x14ac:dyDescent="0.2">
      <c r="A146" s="236" t="s">
        <v>431</v>
      </c>
      <c r="B146" s="236"/>
      <c r="C146" s="2"/>
      <c r="D146" s="2">
        <v>500</v>
      </c>
      <c r="E146" s="2"/>
      <c r="F146" s="2"/>
      <c r="G146" s="2"/>
      <c r="I146" s="2"/>
      <c r="J146" s="2"/>
      <c r="K146" s="2"/>
    </row>
    <row r="147" spans="1:11" x14ac:dyDescent="0.2">
      <c r="A147" s="236"/>
      <c r="B147" s="236"/>
      <c r="C147" s="2"/>
      <c r="E147" s="2"/>
      <c r="F147" s="2"/>
      <c r="G147" s="2"/>
      <c r="I147" s="2"/>
      <c r="J147" s="2"/>
      <c r="K147" s="2"/>
    </row>
    <row r="148" spans="1:11" ht="13.5" x14ac:dyDescent="0.25">
      <c r="A148" s="239" t="s">
        <v>253</v>
      </c>
      <c r="B148" s="236"/>
      <c r="C148" s="2"/>
      <c r="E148" s="2">
        <v>6008</v>
      </c>
      <c r="F148" s="2">
        <v>7500</v>
      </c>
      <c r="G148" s="2">
        <v>7500</v>
      </c>
      <c r="H148" s="2">
        <v>7500</v>
      </c>
      <c r="I148" s="2">
        <v>7500</v>
      </c>
      <c r="J148" s="2">
        <v>7500</v>
      </c>
      <c r="K148" s="2"/>
    </row>
    <row r="149" spans="1:11" x14ac:dyDescent="0.2">
      <c r="A149" s="236" t="s">
        <v>1427</v>
      </c>
      <c r="B149" s="236"/>
      <c r="C149" s="2"/>
      <c r="D149" s="2">
        <v>5500</v>
      </c>
      <c r="E149" s="2"/>
      <c r="F149" s="2"/>
      <c r="G149" s="2"/>
      <c r="I149" s="2"/>
      <c r="J149" s="2"/>
      <c r="K149" s="2"/>
    </row>
    <row r="150" spans="1:11" x14ac:dyDescent="0.2">
      <c r="A150" s="236" t="s">
        <v>1957</v>
      </c>
      <c r="B150" s="236"/>
      <c r="C150" s="2"/>
      <c r="D150" s="31">
        <v>2000</v>
      </c>
      <c r="E150" s="2"/>
      <c r="F150" s="2"/>
      <c r="G150" s="2"/>
      <c r="I150" s="2"/>
      <c r="J150" s="2"/>
      <c r="K150" s="2"/>
    </row>
    <row r="151" spans="1:11" x14ac:dyDescent="0.2">
      <c r="A151" s="236"/>
      <c r="B151" s="236"/>
      <c r="C151" s="2"/>
      <c r="D151" s="2">
        <f>SUM(D149:D150)</f>
        <v>7500</v>
      </c>
      <c r="E151" s="2"/>
      <c r="F151" s="2"/>
      <c r="G151" s="2"/>
      <c r="I151" s="2"/>
      <c r="J151" s="2"/>
      <c r="K151" s="2"/>
    </row>
    <row r="152" spans="1:11" x14ac:dyDescent="0.2">
      <c r="A152" s="236"/>
      <c r="B152" s="236"/>
      <c r="C152" s="2"/>
      <c r="E152" s="2"/>
      <c r="F152" s="2"/>
      <c r="G152" s="2"/>
      <c r="I152" s="2"/>
      <c r="J152" s="2"/>
      <c r="K152" s="2"/>
    </row>
    <row r="153" spans="1:11" ht="13.5" x14ac:dyDescent="0.25">
      <c r="A153" s="239" t="s">
        <v>972</v>
      </c>
      <c r="B153" s="236"/>
      <c r="C153" s="2"/>
      <c r="E153" s="2">
        <v>440</v>
      </c>
      <c r="F153" s="2">
        <v>500</v>
      </c>
      <c r="G153" s="2">
        <v>500</v>
      </c>
      <c r="H153" s="2">
        <v>500</v>
      </c>
      <c r="I153" s="2">
        <v>500</v>
      </c>
      <c r="J153" s="2">
        <v>500</v>
      </c>
      <c r="K153" s="2"/>
    </row>
    <row r="154" spans="1:11" x14ac:dyDescent="0.2">
      <c r="A154" s="236" t="s">
        <v>1428</v>
      </c>
      <c r="B154" s="236"/>
      <c r="C154" s="2"/>
      <c r="D154" s="2">
        <v>500</v>
      </c>
      <c r="E154" s="2"/>
      <c r="F154" s="2"/>
      <c r="G154" s="2"/>
      <c r="I154" s="2"/>
      <c r="J154" s="2"/>
      <c r="K154" s="2"/>
    </row>
    <row r="155" spans="1:11" ht="15" x14ac:dyDescent="0.35">
      <c r="A155" s="236" t="s">
        <v>931</v>
      </c>
      <c r="B155" s="236"/>
      <c r="C155" s="2"/>
      <c r="D155" s="10">
        <v>0</v>
      </c>
      <c r="E155" s="2"/>
      <c r="F155" s="2"/>
      <c r="G155" s="2"/>
      <c r="I155" s="2"/>
      <c r="J155" s="2"/>
      <c r="K155" s="2"/>
    </row>
    <row r="156" spans="1:11" ht="15" x14ac:dyDescent="0.35">
      <c r="A156" s="236" t="s">
        <v>1073</v>
      </c>
      <c r="B156" s="236"/>
      <c r="C156" s="10"/>
      <c r="D156" s="2">
        <f>SUM(D154:D155)</f>
        <v>500</v>
      </c>
      <c r="E156" s="2"/>
      <c r="F156" s="2"/>
      <c r="G156" s="2"/>
      <c r="I156" s="2"/>
      <c r="J156" s="2"/>
      <c r="K156" s="2"/>
    </row>
    <row r="157" spans="1:11" x14ac:dyDescent="0.2">
      <c r="A157" s="236"/>
      <c r="B157" s="236"/>
      <c r="C157" s="2"/>
      <c r="E157" s="2"/>
      <c r="F157" s="2"/>
      <c r="G157" s="2"/>
      <c r="I157" s="2"/>
      <c r="J157" s="2"/>
      <c r="K157" s="2"/>
    </row>
    <row r="158" spans="1:11" ht="13.5" x14ac:dyDescent="0.25">
      <c r="A158" s="239" t="s">
        <v>973</v>
      </c>
      <c r="B158" s="236"/>
      <c r="C158" s="2"/>
      <c r="E158" s="2">
        <v>47135</v>
      </c>
      <c r="F158" s="2">
        <v>30000</v>
      </c>
      <c r="G158" s="2">
        <v>40000</v>
      </c>
      <c r="H158" s="2">
        <v>40000</v>
      </c>
      <c r="I158" s="2">
        <v>30000</v>
      </c>
      <c r="J158" s="2">
        <v>30000</v>
      </c>
      <c r="K158" s="2"/>
    </row>
    <row r="159" spans="1:11" x14ac:dyDescent="0.2">
      <c r="A159" s="236" t="s">
        <v>805</v>
      </c>
      <c r="B159" s="236"/>
      <c r="C159" s="2"/>
      <c r="D159" s="2">
        <v>30000</v>
      </c>
      <c r="E159" s="2"/>
      <c r="F159" s="2"/>
      <c r="G159" s="2"/>
      <c r="I159" s="2"/>
      <c r="J159" s="2"/>
      <c r="K159" s="2"/>
    </row>
    <row r="160" spans="1:11" x14ac:dyDescent="0.2">
      <c r="A160" s="236"/>
      <c r="B160" s="2"/>
      <c r="C160" s="2"/>
      <c r="E160" s="2"/>
      <c r="F160" s="2"/>
      <c r="G160" s="2"/>
      <c r="I160" s="2"/>
      <c r="J160" s="2"/>
      <c r="K160" s="2"/>
    </row>
    <row r="161" spans="1:11" ht="13.5" x14ac:dyDescent="0.25">
      <c r="A161" s="239" t="s">
        <v>371</v>
      </c>
      <c r="B161" s="236"/>
      <c r="C161" s="2"/>
      <c r="E161" s="2">
        <v>5002</v>
      </c>
      <c r="F161" s="2">
        <v>5300</v>
      </c>
      <c r="G161" s="2">
        <v>5300</v>
      </c>
      <c r="H161" s="2">
        <v>5300</v>
      </c>
      <c r="I161" s="2">
        <v>5300</v>
      </c>
      <c r="J161" s="2">
        <v>5300</v>
      </c>
      <c r="K161" s="2"/>
    </row>
    <row r="162" spans="1:11" x14ac:dyDescent="0.2">
      <c r="A162" s="236" t="s">
        <v>1429</v>
      </c>
      <c r="B162" s="236"/>
      <c r="C162" s="2"/>
      <c r="D162" s="2">
        <v>2500</v>
      </c>
      <c r="E162" s="2"/>
      <c r="F162" s="2"/>
      <c r="G162" s="2"/>
      <c r="I162" s="2"/>
      <c r="J162" s="2"/>
      <c r="K162" s="2"/>
    </row>
    <row r="163" spans="1:11" x14ac:dyDescent="0.2">
      <c r="A163" s="236" t="s">
        <v>1657</v>
      </c>
      <c r="B163" s="236"/>
      <c r="C163" s="2"/>
      <c r="D163" s="31">
        <v>2800</v>
      </c>
      <c r="E163" s="2"/>
      <c r="F163" s="2"/>
      <c r="G163" s="2"/>
      <c r="I163" s="2"/>
      <c r="J163" s="2"/>
      <c r="K163" s="2"/>
    </row>
    <row r="164" spans="1:11" s="198" customFormat="1" x14ac:dyDescent="0.2">
      <c r="A164" s="236"/>
      <c r="B164" s="236"/>
      <c r="C164" s="2"/>
      <c r="D164" s="2">
        <f>SUM(D162:D163)</f>
        <v>5300</v>
      </c>
      <c r="E164" s="2"/>
      <c r="F164" s="2"/>
      <c r="G164" s="2"/>
      <c r="H164" s="2"/>
      <c r="I164" s="2"/>
      <c r="J164" s="2"/>
      <c r="K164" s="2"/>
    </row>
    <row r="165" spans="1:11" s="198" customFormat="1" x14ac:dyDescent="0.2">
      <c r="A165" s="236"/>
      <c r="B165" s="236"/>
      <c r="C165" s="2"/>
      <c r="D165" s="3"/>
      <c r="E165" s="2"/>
      <c r="F165" s="2"/>
      <c r="G165" s="2"/>
      <c r="H165" s="2"/>
      <c r="I165" s="2"/>
      <c r="J165" s="2"/>
      <c r="K165" s="2"/>
    </row>
    <row r="166" spans="1:11" s="198" customFormat="1" ht="13.5" x14ac:dyDescent="0.25">
      <c r="A166" s="239" t="s">
        <v>473</v>
      </c>
      <c r="B166" s="236"/>
      <c r="C166" s="2"/>
      <c r="D166" s="2"/>
      <c r="E166" s="2">
        <v>32</v>
      </c>
      <c r="F166" s="2">
        <v>300</v>
      </c>
      <c r="G166" s="2">
        <v>300</v>
      </c>
      <c r="H166" s="2">
        <v>300</v>
      </c>
      <c r="I166" s="2">
        <v>300</v>
      </c>
      <c r="J166" s="2">
        <v>300</v>
      </c>
      <c r="K166" s="2"/>
    </row>
    <row r="167" spans="1:11" x14ac:dyDescent="0.2">
      <c r="A167" s="236" t="s">
        <v>1658</v>
      </c>
      <c r="B167" s="236"/>
      <c r="C167" s="2"/>
      <c r="D167" s="2">
        <v>300</v>
      </c>
      <c r="E167" s="2"/>
      <c r="F167" s="236"/>
      <c r="G167" s="236"/>
      <c r="H167" s="236"/>
      <c r="I167" s="236"/>
      <c r="J167" s="236"/>
      <c r="K167" s="2"/>
    </row>
    <row r="168" spans="1:11" x14ac:dyDescent="0.2">
      <c r="A168" s="236"/>
      <c r="B168" s="236"/>
      <c r="C168" s="2"/>
      <c r="E168" s="2"/>
      <c r="F168" s="2"/>
      <c r="G168" s="2"/>
      <c r="I168" s="2"/>
      <c r="J168" s="2"/>
      <c r="K168" s="2"/>
    </row>
    <row r="169" spans="1:11" ht="13.5" x14ac:dyDescent="0.25">
      <c r="A169" s="239" t="s">
        <v>1982</v>
      </c>
      <c r="B169" s="236"/>
      <c r="C169" s="2"/>
      <c r="E169" s="2">
        <v>136</v>
      </c>
      <c r="F169" s="2">
        <v>0</v>
      </c>
      <c r="G169" s="2">
        <v>0</v>
      </c>
      <c r="H169" s="2">
        <v>0</v>
      </c>
      <c r="I169" s="2">
        <v>0</v>
      </c>
      <c r="J169" s="2">
        <v>0</v>
      </c>
      <c r="K169" s="2"/>
    </row>
    <row r="170" spans="1:11" x14ac:dyDescent="0.2">
      <c r="A170" s="236"/>
      <c r="B170" s="236"/>
      <c r="C170" s="2"/>
      <c r="D170" s="2">
        <v>0</v>
      </c>
      <c r="E170" s="2"/>
      <c r="F170" s="236"/>
      <c r="G170" s="236"/>
      <c r="H170" s="236"/>
      <c r="I170" s="236"/>
      <c r="J170" s="236"/>
      <c r="K170" s="2"/>
    </row>
    <row r="171" spans="1:11" x14ac:dyDescent="0.2">
      <c r="A171" s="236"/>
      <c r="B171" s="236"/>
      <c r="C171" s="2"/>
      <c r="E171" s="2"/>
      <c r="F171" s="2"/>
      <c r="G171" s="2"/>
      <c r="I171" s="2"/>
      <c r="J171" s="2"/>
      <c r="K171" s="2"/>
    </row>
    <row r="172" spans="1:11" ht="13.5" x14ac:dyDescent="0.25">
      <c r="A172" s="239" t="s">
        <v>1319</v>
      </c>
      <c r="B172" s="236"/>
      <c r="C172" s="2"/>
      <c r="E172" s="2">
        <v>609</v>
      </c>
      <c r="F172" s="2">
        <v>150</v>
      </c>
      <c r="G172" s="2">
        <v>300</v>
      </c>
      <c r="H172" s="2">
        <v>300</v>
      </c>
      <c r="I172" s="2">
        <v>300</v>
      </c>
      <c r="J172" s="2">
        <v>300</v>
      </c>
      <c r="K172" s="2"/>
    </row>
    <row r="173" spans="1:11" x14ac:dyDescent="0.2">
      <c r="A173" s="236" t="s">
        <v>110</v>
      </c>
      <c r="B173" s="236"/>
      <c r="C173" s="2"/>
      <c r="D173" s="2">
        <v>150</v>
      </c>
      <c r="E173" s="2"/>
      <c r="F173" s="236"/>
      <c r="G173" s="236"/>
      <c r="H173" s="236"/>
      <c r="I173" s="236"/>
      <c r="J173" s="236"/>
      <c r="K173" s="2"/>
    </row>
    <row r="174" spans="1:11" x14ac:dyDescent="0.2">
      <c r="A174" s="236"/>
      <c r="B174" s="236"/>
      <c r="C174" s="2"/>
      <c r="E174" s="2"/>
      <c r="F174" s="2"/>
      <c r="G174" s="2"/>
      <c r="I174" s="2"/>
      <c r="J174" s="2"/>
      <c r="K174" s="2"/>
    </row>
    <row r="175" spans="1:11" ht="13.5" x14ac:dyDescent="0.25">
      <c r="A175" s="239" t="s">
        <v>1187</v>
      </c>
      <c r="B175" s="2"/>
      <c r="C175" s="236"/>
      <c r="E175" s="2">
        <v>682739</v>
      </c>
      <c r="F175" s="2">
        <v>801525</v>
      </c>
      <c r="G175" s="2">
        <v>839550</v>
      </c>
      <c r="H175" s="2">
        <v>839550</v>
      </c>
      <c r="I175" s="2">
        <v>839550</v>
      </c>
      <c r="J175" s="2">
        <v>839550</v>
      </c>
      <c r="K175" s="2"/>
    </row>
    <row r="176" spans="1:11" x14ac:dyDescent="0.2">
      <c r="A176" s="29" t="s">
        <v>2042</v>
      </c>
      <c r="B176" s="2">
        <v>6600</v>
      </c>
      <c r="C176" s="11">
        <v>79.25</v>
      </c>
      <c r="D176" s="2">
        <f>B176*C176</f>
        <v>523050</v>
      </c>
      <c r="E176" s="2"/>
      <c r="F176" s="236"/>
      <c r="G176" s="236"/>
      <c r="H176" s="236"/>
      <c r="I176" s="236"/>
      <c r="J176" s="236"/>
      <c r="K176" s="2"/>
    </row>
    <row r="177" spans="1:11" ht="25.5" x14ac:dyDescent="0.2">
      <c r="A177" s="29" t="s">
        <v>2043</v>
      </c>
      <c r="B177" s="2">
        <v>1500</v>
      </c>
      <c r="C177" s="11">
        <v>96</v>
      </c>
      <c r="D177" s="2">
        <f>B177*C177</f>
        <v>144000</v>
      </c>
      <c r="E177" s="2"/>
      <c r="F177" s="236"/>
      <c r="G177" s="236"/>
      <c r="H177" s="236"/>
      <c r="I177" s="236"/>
      <c r="J177" s="236"/>
      <c r="K177" s="2"/>
    </row>
    <row r="178" spans="1:11" ht="15" x14ac:dyDescent="0.35">
      <c r="A178" s="236" t="s">
        <v>2044</v>
      </c>
      <c r="B178" s="2">
        <v>1500</v>
      </c>
      <c r="C178" s="11">
        <v>115</v>
      </c>
      <c r="D178" s="10">
        <f>B178*C178</f>
        <v>172500</v>
      </c>
      <c r="E178" s="2"/>
      <c r="F178" s="236"/>
      <c r="G178" s="236"/>
      <c r="H178" s="236"/>
      <c r="I178" s="236"/>
      <c r="J178" s="236"/>
      <c r="K178" s="2"/>
    </row>
    <row r="179" spans="1:11" x14ac:dyDescent="0.2">
      <c r="A179" s="236" t="s">
        <v>1073</v>
      </c>
      <c r="B179" s="2"/>
      <c r="C179" s="11"/>
      <c r="D179" s="2">
        <f>SUM(D176:D178)</f>
        <v>839550</v>
      </c>
      <c r="E179" s="2"/>
      <c r="F179" s="236"/>
      <c r="G179" s="236"/>
      <c r="H179" s="236"/>
      <c r="I179" s="236"/>
      <c r="J179" s="236"/>
      <c r="K179" s="2"/>
    </row>
    <row r="180" spans="1:11" x14ac:dyDescent="0.2">
      <c r="A180" s="236"/>
      <c r="B180" s="2"/>
      <c r="C180" s="11"/>
      <c r="E180" s="2"/>
      <c r="F180" s="236"/>
      <c r="G180" s="236"/>
      <c r="H180" s="236"/>
      <c r="I180" s="236"/>
      <c r="J180" s="236"/>
      <c r="K180" s="2"/>
    </row>
    <row r="181" spans="1:11" ht="13.5" x14ac:dyDescent="0.25">
      <c r="A181" s="74" t="s">
        <v>1476</v>
      </c>
      <c r="B181" s="2"/>
      <c r="C181" s="11"/>
      <c r="E181" s="2">
        <v>121305</v>
      </c>
      <c r="F181" s="236">
        <v>0</v>
      </c>
      <c r="G181" s="236">
        <v>0</v>
      </c>
      <c r="H181" s="236">
        <v>0</v>
      </c>
      <c r="I181" s="236">
        <v>0</v>
      </c>
      <c r="J181" s="236">
        <v>0</v>
      </c>
      <c r="K181" s="2"/>
    </row>
    <row r="182" spans="1:11" x14ac:dyDescent="0.2">
      <c r="A182" s="236"/>
      <c r="B182" s="2"/>
      <c r="C182" s="11"/>
      <c r="E182" s="2"/>
      <c r="F182" s="236"/>
      <c r="G182" s="236"/>
      <c r="H182" s="236"/>
      <c r="I182" s="236"/>
      <c r="J182" s="236"/>
      <c r="K182" s="2"/>
    </row>
    <row r="183" spans="1:11" ht="13.5" x14ac:dyDescent="0.25">
      <c r="A183" s="239" t="s">
        <v>1320</v>
      </c>
      <c r="B183" s="236"/>
      <c r="C183" s="236"/>
      <c r="E183" s="2">
        <v>20643</v>
      </c>
      <c r="F183" s="2">
        <v>20340</v>
      </c>
      <c r="G183" s="2">
        <v>20340</v>
      </c>
      <c r="H183" s="2">
        <v>20340</v>
      </c>
      <c r="I183" s="2">
        <v>20340</v>
      </c>
      <c r="J183" s="2">
        <v>20340</v>
      </c>
      <c r="K183" s="2"/>
    </row>
    <row r="184" spans="1:11" x14ac:dyDescent="0.2">
      <c r="A184" s="236" t="s">
        <v>1272</v>
      </c>
      <c r="B184" s="236"/>
      <c r="C184" s="236"/>
      <c r="D184" s="7">
        <v>500</v>
      </c>
      <c r="E184" s="236"/>
      <c r="F184" s="236"/>
      <c r="G184" s="236"/>
      <c r="H184" s="236"/>
      <c r="I184" s="236"/>
      <c r="J184" s="236"/>
      <c r="K184" s="2"/>
    </row>
    <row r="185" spans="1:11" x14ac:dyDescent="0.2">
      <c r="A185" s="236" t="s">
        <v>1273</v>
      </c>
      <c r="B185" s="236"/>
      <c r="C185" s="2"/>
      <c r="D185" s="2">
        <v>300</v>
      </c>
      <c r="E185" s="2"/>
      <c r="F185" s="2"/>
      <c r="G185" s="2"/>
      <c r="I185" s="2"/>
      <c r="J185" s="2"/>
      <c r="K185" s="2"/>
    </row>
    <row r="186" spans="1:11" x14ac:dyDescent="0.2">
      <c r="A186" s="236" t="s">
        <v>1274</v>
      </c>
      <c r="B186" s="236"/>
      <c r="C186" s="2"/>
      <c r="D186" s="2">
        <v>200</v>
      </c>
      <c r="E186" s="2"/>
      <c r="F186" s="2"/>
      <c r="G186" s="2"/>
      <c r="I186" s="2"/>
      <c r="J186" s="2"/>
      <c r="K186" s="2"/>
    </row>
    <row r="187" spans="1:11" x14ac:dyDescent="0.2">
      <c r="A187" s="236" t="s">
        <v>825</v>
      </c>
      <c r="B187" s="236"/>
      <c r="C187" s="2"/>
      <c r="D187" s="2">
        <v>840</v>
      </c>
      <c r="E187" s="2"/>
      <c r="F187" s="2"/>
      <c r="G187" s="2"/>
      <c r="I187" s="2"/>
      <c r="J187" s="2"/>
      <c r="K187" s="2"/>
    </row>
    <row r="188" spans="1:11" x14ac:dyDescent="0.2">
      <c r="A188" s="236" t="s">
        <v>517</v>
      </c>
      <c r="B188" s="236"/>
      <c r="C188" s="2"/>
      <c r="D188" s="2">
        <v>500</v>
      </c>
      <c r="E188" s="2"/>
      <c r="F188" s="236"/>
      <c r="G188" s="236"/>
      <c r="H188" s="236"/>
      <c r="I188" s="236"/>
      <c r="J188" s="236"/>
      <c r="K188" s="2"/>
    </row>
    <row r="189" spans="1:11" x14ac:dyDescent="0.2">
      <c r="A189" s="236" t="s">
        <v>1034</v>
      </c>
      <c r="B189" s="236"/>
      <c r="C189" s="2"/>
      <c r="D189" s="3">
        <v>3000</v>
      </c>
      <c r="E189" s="2"/>
      <c r="F189" s="2"/>
      <c r="G189" s="2"/>
      <c r="I189" s="2"/>
      <c r="J189" s="2"/>
      <c r="K189" s="2"/>
    </row>
    <row r="190" spans="1:11" ht="15" x14ac:dyDescent="0.35">
      <c r="A190" s="236" t="s">
        <v>1800</v>
      </c>
      <c r="B190" s="236"/>
      <c r="C190" s="2"/>
      <c r="D190" s="10">
        <v>15000</v>
      </c>
      <c r="E190" s="2"/>
      <c r="F190" s="2"/>
      <c r="G190" s="2"/>
      <c r="I190" s="2"/>
      <c r="J190" s="2"/>
      <c r="K190" s="2"/>
    </row>
    <row r="191" spans="1:11" ht="15" x14ac:dyDescent="0.35">
      <c r="A191" s="236" t="s">
        <v>1073</v>
      </c>
      <c r="B191" s="236"/>
      <c r="C191" s="10"/>
      <c r="D191" s="2">
        <f>SUM(D184:D190)</f>
        <v>20340</v>
      </c>
      <c r="E191" s="2"/>
      <c r="F191" s="236"/>
      <c r="G191" s="236"/>
      <c r="H191" s="236"/>
      <c r="I191" s="236"/>
      <c r="J191" s="236"/>
      <c r="K191" s="2"/>
    </row>
    <row r="192" spans="1:11" x14ac:dyDescent="0.2">
      <c r="A192" s="236"/>
      <c r="B192" s="236"/>
      <c r="C192" s="2"/>
      <c r="E192" s="2"/>
      <c r="F192" s="236"/>
      <c r="G192" s="236"/>
      <c r="H192" s="236"/>
      <c r="I192" s="236"/>
      <c r="J192" s="236"/>
      <c r="K192" s="2"/>
    </row>
    <row r="193" spans="1:11" ht="13.5" x14ac:dyDescent="0.25">
      <c r="A193" s="239" t="s">
        <v>607</v>
      </c>
      <c r="B193" s="236"/>
      <c r="C193" s="2"/>
      <c r="E193" s="2">
        <v>28715</v>
      </c>
      <c r="F193" s="2">
        <v>42000</v>
      </c>
      <c r="G193" s="2">
        <v>42000</v>
      </c>
      <c r="H193" s="2">
        <v>42000</v>
      </c>
      <c r="I193" s="2">
        <v>42000</v>
      </c>
      <c r="J193" s="2">
        <v>42000</v>
      </c>
      <c r="K193" s="2"/>
    </row>
    <row r="194" spans="1:11" x14ac:dyDescent="0.2">
      <c r="A194" s="236" t="s">
        <v>1352</v>
      </c>
      <c r="B194" s="236"/>
      <c r="C194" s="2"/>
      <c r="D194" s="2">
        <v>12000</v>
      </c>
      <c r="E194" s="2"/>
      <c r="F194" s="2"/>
      <c r="G194" s="2"/>
      <c r="I194" s="2"/>
      <c r="J194" s="2"/>
      <c r="K194" s="2"/>
    </row>
    <row r="195" spans="1:11" x14ac:dyDescent="0.2">
      <c r="A195" s="236" t="s">
        <v>1353</v>
      </c>
      <c r="B195" s="236"/>
      <c r="C195" s="2"/>
      <c r="D195" s="2">
        <v>26000</v>
      </c>
      <c r="E195" s="2"/>
      <c r="F195" s="2"/>
      <c r="G195" s="2"/>
      <c r="I195" s="2"/>
      <c r="J195" s="2"/>
      <c r="K195" s="2"/>
    </row>
    <row r="196" spans="1:11" ht="15" x14ac:dyDescent="0.35">
      <c r="A196" s="236" t="s">
        <v>1354</v>
      </c>
      <c r="B196" s="236"/>
      <c r="C196" s="2"/>
      <c r="D196" s="10">
        <v>4000</v>
      </c>
      <c r="E196" s="2"/>
      <c r="F196" s="2"/>
      <c r="G196" s="2"/>
      <c r="I196" s="2"/>
      <c r="J196" s="2"/>
      <c r="K196" s="2"/>
    </row>
    <row r="197" spans="1:11" x14ac:dyDescent="0.2">
      <c r="A197" s="236"/>
      <c r="B197" s="236"/>
      <c r="C197" s="2"/>
      <c r="D197" s="2">
        <f>SUM(D194:D196)</f>
        <v>42000</v>
      </c>
      <c r="E197" s="2"/>
      <c r="F197" s="2"/>
      <c r="G197" s="2"/>
      <c r="I197" s="2"/>
      <c r="J197" s="2"/>
      <c r="K197" s="2"/>
    </row>
    <row r="198" spans="1:11" ht="13.5" x14ac:dyDescent="0.25">
      <c r="A198" s="239"/>
      <c r="B198" s="2"/>
      <c r="C198" s="11"/>
      <c r="E198" s="2"/>
      <c r="F198" s="236"/>
      <c r="G198" s="236"/>
      <c r="H198" s="236"/>
      <c r="I198" s="236"/>
      <c r="J198" s="236"/>
      <c r="K198" s="2"/>
    </row>
    <row r="199" spans="1:11" ht="13.5" x14ac:dyDescent="0.25">
      <c r="A199" s="239" t="s">
        <v>1321</v>
      </c>
      <c r="B199" s="236"/>
      <c r="C199" s="2"/>
      <c r="E199" s="2">
        <v>51420</v>
      </c>
      <c r="F199" s="2">
        <v>81000</v>
      </c>
      <c r="G199" s="2">
        <v>83700</v>
      </c>
      <c r="H199" s="2">
        <v>76700</v>
      </c>
      <c r="I199" s="2">
        <v>76700</v>
      </c>
      <c r="J199" s="2">
        <v>76700</v>
      </c>
      <c r="K199" s="2"/>
    </row>
    <row r="200" spans="1:11" x14ac:dyDescent="0.2">
      <c r="A200" s="236" t="s">
        <v>31</v>
      </c>
      <c r="B200" s="236"/>
      <c r="C200" s="2"/>
      <c r="D200" s="2">
        <v>15000</v>
      </c>
      <c r="E200" s="2"/>
      <c r="F200" s="2"/>
      <c r="G200" s="2"/>
      <c r="I200" s="2"/>
      <c r="J200" s="2"/>
      <c r="K200" s="2"/>
    </row>
    <row r="201" spans="1:11" x14ac:dyDescent="0.2">
      <c r="A201" s="236" t="s">
        <v>826</v>
      </c>
      <c r="B201" s="236"/>
      <c r="C201" s="2"/>
      <c r="D201" s="2">
        <v>7700</v>
      </c>
      <c r="E201" s="2"/>
      <c r="F201" s="2"/>
      <c r="G201" s="2"/>
      <c r="I201" s="2"/>
      <c r="J201" s="2"/>
      <c r="K201" s="2"/>
    </row>
    <row r="202" spans="1:11" x14ac:dyDescent="0.2">
      <c r="A202" s="236" t="s">
        <v>397</v>
      </c>
      <c r="B202" s="236"/>
      <c r="C202" s="2"/>
      <c r="D202" s="2">
        <v>30000</v>
      </c>
      <c r="E202" s="2"/>
      <c r="F202" s="2"/>
      <c r="G202" s="2"/>
      <c r="I202" s="2"/>
      <c r="J202" s="2"/>
      <c r="K202" s="2"/>
    </row>
    <row r="203" spans="1:11" x14ac:dyDescent="0.2">
      <c r="A203" s="236" t="s">
        <v>87</v>
      </c>
      <c r="B203" s="236"/>
      <c r="C203" s="2"/>
      <c r="D203" s="2">
        <v>19000</v>
      </c>
      <c r="E203" s="2"/>
      <c r="F203" s="2"/>
      <c r="G203" s="2"/>
      <c r="I203" s="2"/>
      <c r="J203" s="2"/>
      <c r="K203" s="2"/>
    </row>
    <row r="204" spans="1:11" x14ac:dyDescent="0.2">
      <c r="A204" s="236" t="s">
        <v>1430</v>
      </c>
      <c r="B204" s="236"/>
      <c r="C204" s="2"/>
      <c r="D204" s="2">
        <v>4000</v>
      </c>
      <c r="E204" s="2"/>
      <c r="F204" s="2"/>
      <c r="G204" s="2"/>
      <c r="I204" s="2"/>
      <c r="J204" s="2"/>
      <c r="K204" s="2"/>
    </row>
    <row r="205" spans="1:11" ht="15" x14ac:dyDescent="0.35">
      <c r="A205" s="236" t="s">
        <v>1958</v>
      </c>
      <c r="B205" s="236"/>
      <c r="C205" s="2"/>
      <c r="D205" s="10">
        <v>1000</v>
      </c>
      <c r="E205" s="2"/>
      <c r="F205" s="2"/>
      <c r="G205" s="2"/>
      <c r="I205" s="2"/>
      <c r="J205" s="2"/>
      <c r="K205" s="2"/>
    </row>
    <row r="206" spans="1:11" ht="15" x14ac:dyDescent="0.35">
      <c r="A206" s="236" t="s">
        <v>1073</v>
      </c>
      <c r="B206" s="236"/>
      <c r="C206" s="10"/>
      <c r="D206" s="2">
        <f>SUM(D200:D205)</f>
        <v>76700</v>
      </c>
      <c r="E206" s="2"/>
      <c r="F206" s="2"/>
      <c r="G206" s="2"/>
      <c r="I206" s="2"/>
      <c r="J206" s="2"/>
      <c r="K206" s="2"/>
    </row>
    <row r="207" spans="1:11" ht="15" x14ac:dyDescent="0.35">
      <c r="A207" s="236"/>
      <c r="B207" s="236"/>
      <c r="C207" s="10"/>
      <c r="E207" s="2"/>
      <c r="F207" s="2"/>
      <c r="G207" s="2"/>
      <c r="I207" s="2"/>
      <c r="J207" s="2"/>
      <c r="K207" s="2"/>
    </row>
    <row r="208" spans="1:11" ht="15" x14ac:dyDescent="0.35">
      <c r="A208" s="239" t="s">
        <v>1685</v>
      </c>
      <c r="B208" s="236"/>
      <c r="C208" s="10"/>
      <c r="E208" s="2">
        <v>130</v>
      </c>
      <c r="F208" s="2">
        <v>0</v>
      </c>
      <c r="G208" s="2">
        <v>250</v>
      </c>
      <c r="H208" s="2">
        <v>250</v>
      </c>
      <c r="I208" s="2">
        <v>250</v>
      </c>
      <c r="J208" s="2">
        <v>250</v>
      </c>
      <c r="K208" s="2"/>
    </row>
    <row r="209" spans="1:11" ht="15" x14ac:dyDescent="0.35">
      <c r="A209" s="22" t="s">
        <v>2045</v>
      </c>
      <c r="B209" s="236"/>
      <c r="C209" s="10"/>
      <c r="D209" s="2">
        <v>250</v>
      </c>
      <c r="E209" s="2"/>
      <c r="F209" s="2"/>
      <c r="G209" s="2"/>
      <c r="I209" s="2"/>
      <c r="J209" s="2"/>
      <c r="K209" s="2"/>
    </row>
    <row r="210" spans="1:11" x14ac:dyDescent="0.2">
      <c r="A210" s="236"/>
      <c r="B210" s="236"/>
      <c r="C210" s="2"/>
      <c r="E210" s="2"/>
      <c r="F210" s="236"/>
      <c r="G210" s="236"/>
      <c r="H210" s="236"/>
      <c r="I210" s="236"/>
      <c r="J210" s="236"/>
      <c r="K210" s="2"/>
    </row>
    <row r="211" spans="1:11" ht="13.5" x14ac:dyDescent="0.25">
      <c r="A211" s="49" t="s">
        <v>1544</v>
      </c>
      <c r="B211" s="236"/>
      <c r="C211" s="2"/>
      <c r="E211" s="2">
        <v>1894</v>
      </c>
      <c r="F211" s="2">
        <v>0</v>
      </c>
      <c r="G211" s="2">
        <v>97000</v>
      </c>
      <c r="H211" s="2">
        <v>2000</v>
      </c>
      <c r="I211" s="2">
        <v>2000</v>
      </c>
      <c r="J211" s="2">
        <v>2000</v>
      </c>
      <c r="K211" s="2"/>
    </row>
    <row r="212" spans="1:11" x14ac:dyDescent="0.2">
      <c r="A212" s="236" t="s">
        <v>2046</v>
      </c>
      <c r="B212" s="236"/>
      <c r="C212" s="2"/>
      <c r="D212" s="2">
        <v>95000</v>
      </c>
      <c r="E212" s="2"/>
      <c r="F212" s="2"/>
      <c r="G212" s="2"/>
      <c r="I212" s="2"/>
      <c r="J212" s="2"/>
      <c r="K212" s="2"/>
    </row>
    <row r="213" spans="1:11" ht="15" x14ac:dyDescent="0.35">
      <c r="A213" s="236" t="s">
        <v>2047</v>
      </c>
      <c r="B213" s="236"/>
      <c r="C213" s="2"/>
      <c r="D213" s="10">
        <v>2000</v>
      </c>
      <c r="E213" s="2"/>
      <c r="F213" s="2"/>
      <c r="G213" s="2"/>
      <c r="I213" s="2"/>
      <c r="J213" s="2"/>
      <c r="K213" s="2"/>
    </row>
    <row r="214" spans="1:11" ht="15" x14ac:dyDescent="0.35">
      <c r="A214" s="236"/>
      <c r="B214" s="236"/>
      <c r="C214" s="10"/>
      <c r="D214" s="2">
        <f>SUM(D212:D213)</f>
        <v>97000</v>
      </c>
      <c r="E214" s="2"/>
      <c r="F214" s="2"/>
      <c r="G214" s="2"/>
      <c r="I214" s="2"/>
      <c r="J214" s="2"/>
      <c r="K214" s="2"/>
    </row>
    <row r="215" spans="1:11" ht="13.5" x14ac:dyDescent="0.25">
      <c r="A215" s="49" t="s">
        <v>1520</v>
      </c>
      <c r="B215" s="236"/>
      <c r="C215" s="2"/>
      <c r="E215" s="2"/>
      <c r="F215" s="2"/>
      <c r="G215" s="2">
        <v>0</v>
      </c>
      <c r="H215" s="2">
        <v>0</v>
      </c>
      <c r="I215" s="2">
        <v>0</v>
      </c>
      <c r="J215" s="2">
        <v>0</v>
      </c>
      <c r="K215" s="2"/>
    </row>
    <row r="216" spans="1:11" ht="13.5" x14ac:dyDescent="0.25">
      <c r="A216" s="49"/>
      <c r="B216" s="236"/>
      <c r="C216" s="2"/>
      <c r="E216" s="2"/>
      <c r="F216" s="236"/>
      <c r="G216" s="236"/>
      <c r="H216" s="236"/>
      <c r="I216" s="236"/>
      <c r="J216" s="236"/>
      <c r="K216" s="2"/>
    </row>
    <row r="217" spans="1:11" ht="13.5" x14ac:dyDescent="0.25">
      <c r="A217" s="239" t="s">
        <v>1475</v>
      </c>
      <c r="B217" s="236"/>
      <c r="C217" s="2"/>
      <c r="E217" s="2">
        <v>0</v>
      </c>
      <c r="F217" s="2">
        <v>0</v>
      </c>
      <c r="G217" s="2">
        <v>0</v>
      </c>
      <c r="H217" s="2">
        <v>0</v>
      </c>
      <c r="I217" s="2">
        <v>0</v>
      </c>
      <c r="J217" s="2">
        <v>0</v>
      </c>
      <c r="K217" s="2"/>
    </row>
    <row r="218" spans="1:11" x14ac:dyDescent="0.2">
      <c r="A218" s="236"/>
      <c r="B218" s="236"/>
      <c r="C218" s="2"/>
      <c r="E218" s="2"/>
      <c r="F218" s="236"/>
      <c r="G218" s="236"/>
      <c r="H218" s="236"/>
      <c r="I218" s="236"/>
      <c r="J218" s="236"/>
      <c r="K218" s="2"/>
    </row>
    <row r="219" spans="1:11" ht="13.5" x14ac:dyDescent="0.25">
      <c r="A219" s="239" t="s">
        <v>2119</v>
      </c>
      <c r="B219" s="236"/>
      <c r="C219" s="2"/>
      <c r="E219" s="2">
        <v>0</v>
      </c>
      <c r="F219" s="236"/>
      <c r="G219" s="107">
        <v>20000</v>
      </c>
      <c r="H219" s="107">
        <v>0</v>
      </c>
      <c r="I219" s="107">
        <v>0</v>
      </c>
      <c r="J219" s="107">
        <v>0</v>
      </c>
      <c r="K219" s="2"/>
    </row>
    <row r="220" spans="1:11" s="215" customFormat="1" x14ac:dyDescent="0.2">
      <c r="A220" s="22" t="s">
        <v>2062</v>
      </c>
      <c r="B220" s="236"/>
      <c r="C220" s="2"/>
      <c r="D220" s="2">
        <v>20000</v>
      </c>
      <c r="E220" s="2"/>
      <c r="F220" s="236"/>
      <c r="G220" s="236"/>
      <c r="H220" s="236"/>
      <c r="I220" s="236"/>
      <c r="J220" s="236"/>
      <c r="K220" s="2"/>
    </row>
    <row r="221" spans="1:11" s="215" customFormat="1" ht="13.5" x14ac:dyDescent="0.25">
      <c r="A221" s="239"/>
      <c r="B221" s="236"/>
      <c r="C221" s="2"/>
      <c r="D221" s="2"/>
      <c r="E221" s="2"/>
      <c r="F221" s="236"/>
      <c r="G221" s="236"/>
      <c r="H221" s="236"/>
      <c r="I221" s="236"/>
      <c r="J221" s="236"/>
      <c r="K221" s="2"/>
    </row>
    <row r="222" spans="1:11" ht="13.5" x14ac:dyDescent="0.25">
      <c r="A222" s="239" t="s">
        <v>723</v>
      </c>
      <c r="B222" s="2"/>
      <c r="C222" s="2"/>
      <c r="E222" s="2"/>
      <c r="F222" s="236"/>
      <c r="G222" s="236"/>
      <c r="H222" s="236"/>
      <c r="I222" s="236"/>
      <c r="J222" s="236"/>
      <c r="K222" s="2"/>
    </row>
    <row r="223" spans="1:11" x14ac:dyDescent="0.2">
      <c r="A223" s="236" t="s">
        <v>969</v>
      </c>
      <c r="B223" s="2"/>
      <c r="C223" s="2">
        <v>100000</v>
      </c>
      <c r="E223" s="236"/>
      <c r="F223" s="236"/>
      <c r="G223" s="236"/>
      <c r="H223" s="236"/>
      <c r="I223" s="236"/>
      <c r="J223" s="107">
        <v>100000</v>
      </c>
      <c r="K223" s="236"/>
    </row>
    <row r="224" spans="1:11" x14ac:dyDescent="0.2">
      <c r="A224" s="236"/>
      <c r="B224" s="236"/>
      <c r="C224" s="236"/>
      <c r="E224" s="236"/>
      <c r="F224" s="236"/>
      <c r="G224" s="236"/>
      <c r="H224" s="236"/>
      <c r="I224" s="236"/>
      <c r="J224" s="236"/>
      <c r="K224" s="236"/>
    </row>
    <row r="225" spans="1:11" x14ac:dyDescent="0.2">
      <c r="A225" s="236" t="s">
        <v>424</v>
      </c>
      <c r="B225" s="236"/>
      <c r="C225" s="236"/>
      <c r="E225" s="2">
        <f>SUM(E6:E222)</f>
        <v>1651426</v>
      </c>
      <c r="F225" s="2">
        <f>SUM(F6:F222)</f>
        <v>1714772</v>
      </c>
      <c r="G225" s="2">
        <f>SUM(G6:G222)</f>
        <v>1877586</v>
      </c>
      <c r="H225" s="2">
        <f>SUM(H6:H222)</f>
        <v>1755586</v>
      </c>
      <c r="I225" s="2">
        <f>SUM(I6:I222)</f>
        <v>1742586</v>
      </c>
      <c r="J225" s="2">
        <f>SUM(J6:J224)</f>
        <v>1849661</v>
      </c>
      <c r="K225" s="236"/>
    </row>
    <row r="226" spans="1:11" x14ac:dyDescent="0.2">
      <c r="A226" s="236"/>
      <c r="B226" s="236"/>
      <c r="C226" s="236"/>
      <c r="E226" s="236"/>
      <c r="F226" s="236"/>
      <c r="G226" s="236"/>
      <c r="H226" s="236"/>
      <c r="I226" s="236"/>
      <c r="J226" s="2"/>
      <c r="K226" s="236"/>
    </row>
    <row r="227" spans="1:11" x14ac:dyDescent="0.2">
      <c r="A227" s="236"/>
      <c r="B227" s="236"/>
      <c r="C227" s="236"/>
      <c r="E227" s="236"/>
      <c r="F227" s="236"/>
      <c r="G227" s="236"/>
      <c r="H227" s="236"/>
      <c r="I227" s="236"/>
      <c r="J227" s="2"/>
      <c r="K227" s="236"/>
    </row>
    <row r="228" spans="1:11" x14ac:dyDescent="0.2">
      <c r="A228" s="236" t="s">
        <v>519</v>
      </c>
      <c r="B228" s="236"/>
      <c r="C228" s="236"/>
      <c r="E228" s="2">
        <f t="shared" ref="E228:J228" si="1">SUM(E6:E82)</f>
        <v>570566</v>
      </c>
      <c r="F228" s="2">
        <f t="shared" si="1"/>
        <v>606977</v>
      </c>
      <c r="G228" s="2">
        <f t="shared" si="1"/>
        <v>596777</v>
      </c>
      <c r="H228" s="2">
        <f t="shared" si="1"/>
        <v>596777</v>
      </c>
      <c r="I228" s="2">
        <f t="shared" si="1"/>
        <v>593777</v>
      </c>
      <c r="J228" s="2">
        <f t="shared" si="1"/>
        <v>600622</v>
      </c>
      <c r="K228" s="236"/>
    </row>
    <row r="229" spans="1:11" x14ac:dyDescent="0.2">
      <c r="A229" s="236" t="s">
        <v>809</v>
      </c>
      <c r="B229" s="236"/>
      <c r="C229" s="236"/>
      <c r="E229" s="2">
        <f>SUM(E84:E208)</f>
        <v>1078966</v>
      </c>
      <c r="F229" s="2">
        <f>SUM(F84:F207)</f>
        <v>1107795</v>
      </c>
      <c r="G229" s="2">
        <f>SUM(G84:G208)</f>
        <v>1163809</v>
      </c>
      <c r="H229" s="2">
        <f>SUM(H84:H208)</f>
        <v>1156809</v>
      </c>
      <c r="I229" s="2">
        <f>SUM(I84:I208)</f>
        <v>1146809</v>
      </c>
      <c r="J229" s="2">
        <f>SUM(J84:J208)</f>
        <v>1147039</v>
      </c>
      <c r="K229" s="236"/>
    </row>
    <row r="230" spans="1:11" ht="15" x14ac:dyDescent="0.35">
      <c r="A230" s="236" t="s">
        <v>810</v>
      </c>
      <c r="B230" s="236"/>
      <c r="C230" s="236"/>
      <c r="E230" s="10">
        <f>SUM(E209:E222)</f>
        <v>1894</v>
      </c>
      <c r="F230" s="10">
        <f>SUM(F209:F222)</f>
        <v>0</v>
      </c>
      <c r="G230" s="10">
        <f>SUM(G210:G222)</f>
        <v>117000</v>
      </c>
      <c r="H230" s="10">
        <f>SUM(H210:H222)</f>
        <v>2000</v>
      </c>
      <c r="I230" s="10">
        <f>SUM(I210:I222)</f>
        <v>2000</v>
      </c>
      <c r="J230" s="10">
        <f>SUM(J211:J224)</f>
        <v>102000</v>
      </c>
      <c r="K230" s="236"/>
    </row>
    <row r="231" spans="1:11" x14ac:dyDescent="0.2">
      <c r="A231" s="236" t="s">
        <v>1073</v>
      </c>
      <c r="B231" s="236"/>
      <c r="C231" s="236"/>
      <c r="E231" s="2">
        <f t="shared" ref="E231:J231" si="2">SUM(E228:E230)</f>
        <v>1651426</v>
      </c>
      <c r="F231" s="2">
        <f t="shared" si="2"/>
        <v>1714772</v>
      </c>
      <c r="G231" s="2">
        <f t="shared" si="2"/>
        <v>1877586</v>
      </c>
      <c r="H231" s="2">
        <f t="shared" ref="H231:I231" si="3">SUM(H228:H230)</f>
        <v>1755586</v>
      </c>
      <c r="I231" s="2">
        <f t="shared" si="3"/>
        <v>1742586</v>
      </c>
      <c r="J231" s="2">
        <f t="shared" si="2"/>
        <v>1849661</v>
      </c>
      <c r="K231" s="236"/>
    </row>
    <row r="232" spans="1:11" x14ac:dyDescent="0.2">
      <c r="A232" s="236"/>
      <c r="B232" s="236"/>
      <c r="C232" s="236"/>
      <c r="E232" s="236"/>
      <c r="F232" s="236"/>
      <c r="G232" s="236"/>
      <c r="H232" s="236"/>
      <c r="I232" s="236"/>
      <c r="J232" s="236"/>
      <c r="K232" s="236"/>
    </row>
    <row r="233" spans="1:11" x14ac:dyDescent="0.2">
      <c r="A233" s="236"/>
      <c r="B233" s="236"/>
      <c r="C233" s="236"/>
      <c r="E233" s="236"/>
      <c r="F233" s="236"/>
      <c r="G233" s="236"/>
      <c r="H233" s="236"/>
      <c r="I233" s="236"/>
      <c r="J233" s="2">
        <f>+J230-I230</f>
        <v>100000</v>
      </c>
      <c r="K233" s="236"/>
    </row>
    <row r="234" spans="1:11" x14ac:dyDescent="0.2">
      <c r="A234" s="236"/>
      <c r="B234" s="236"/>
      <c r="C234" s="236"/>
      <c r="E234" s="236"/>
      <c r="F234" s="236"/>
      <c r="G234" s="236"/>
      <c r="H234" s="236"/>
      <c r="I234" s="236"/>
      <c r="J234" s="236"/>
      <c r="K234" s="236"/>
    </row>
    <row r="235" spans="1:11" x14ac:dyDescent="0.2">
      <c r="A235" s="236"/>
      <c r="B235" s="236"/>
      <c r="C235" s="236"/>
      <c r="E235" s="236"/>
      <c r="F235" s="236"/>
      <c r="G235" s="236"/>
      <c r="H235" s="236"/>
      <c r="I235" s="236"/>
      <c r="J235" s="236"/>
      <c r="K235" s="236"/>
    </row>
    <row r="236" spans="1:11" x14ac:dyDescent="0.2">
      <c r="A236" s="236"/>
      <c r="B236" s="236"/>
      <c r="C236" s="236"/>
      <c r="E236" s="236"/>
      <c r="F236" s="236"/>
      <c r="G236" s="236"/>
      <c r="H236" s="236"/>
      <c r="I236" s="236"/>
      <c r="J236" s="236"/>
      <c r="K236" s="236"/>
    </row>
    <row r="237" spans="1:11" x14ac:dyDescent="0.2">
      <c r="A237" s="236"/>
      <c r="B237" s="236"/>
      <c r="C237" s="236"/>
      <c r="E237" s="236"/>
      <c r="F237" s="236"/>
      <c r="G237" s="236"/>
      <c r="H237" s="236"/>
      <c r="I237" s="236"/>
      <c r="J237" s="236"/>
      <c r="K237" s="236"/>
    </row>
    <row r="238" spans="1:11" x14ac:dyDescent="0.2">
      <c r="A238" s="236"/>
      <c r="B238" s="236"/>
      <c r="C238" s="236"/>
      <c r="E238" s="236"/>
      <c r="F238" s="236"/>
      <c r="G238" s="236"/>
      <c r="H238" s="236"/>
      <c r="I238" s="236"/>
      <c r="J238" s="236"/>
      <c r="K238" s="236"/>
    </row>
    <row r="239" spans="1:11" x14ac:dyDescent="0.2">
      <c r="A239" s="236"/>
      <c r="B239" s="236"/>
      <c r="C239" s="236"/>
      <c r="E239" s="236"/>
      <c r="F239" s="236"/>
      <c r="G239" s="236"/>
      <c r="H239" s="236"/>
      <c r="I239" s="236"/>
      <c r="J239" s="236"/>
      <c r="K239" s="236"/>
    </row>
    <row r="240" spans="1:11" x14ac:dyDescent="0.2">
      <c r="A240" s="236"/>
      <c r="B240" s="236"/>
      <c r="C240" s="236"/>
      <c r="E240" s="236"/>
      <c r="F240" s="236"/>
      <c r="G240" s="236"/>
      <c r="H240" s="236"/>
      <c r="I240" s="236"/>
      <c r="J240" s="236"/>
      <c r="K240" s="236"/>
    </row>
    <row r="241" spans="1:11" x14ac:dyDescent="0.2">
      <c r="A241" s="236"/>
      <c r="B241" s="236"/>
      <c r="C241" s="236"/>
      <c r="E241" s="236"/>
      <c r="F241" s="236"/>
      <c r="G241" s="236"/>
      <c r="H241" s="236"/>
      <c r="I241" s="236"/>
      <c r="J241" s="236"/>
      <c r="K241" s="236"/>
    </row>
    <row r="242" spans="1:11" x14ac:dyDescent="0.2">
      <c r="A242" s="236"/>
      <c r="B242" s="236"/>
      <c r="C242" s="236"/>
      <c r="E242" s="236"/>
      <c r="F242" s="236"/>
      <c r="G242" s="236"/>
      <c r="I242" s="2"/>
      <c r="J242" s="236"/>
      <c r="K242" s="236"/>
    </row>
    <row r="243" spans="1:11" x14ac:dyDescent="0.2">
      <c r="A243" s="236"/>
      <c r="B243" s="236"/>
      <c r="C243" s="236"/>
      <c r="E243" s="236"/>
      <c r="F243" s="236"/>
      <c r="G243" s="236"/>
      <c r="I243" s="2"/>
      <c r="J243" s="236"/>
      <c r="K243" s="236"/>
    </row>
    <row r="244" spans="1:11" x14ac:dyDescent="0.2">
      <c r="A244" s="236"/>
      <c r="B244" s="236"/>
      <c r="C244" s="236"/>
      <c r="E244" s="236"/>
      <c r="F244" s="236"/>
      <c r="G244" s="236"/>
      <c r="I244" s="2"/>
      <c r="J244" s="236"/>
      <c r="K244" s="236"/>
    </row>
    <row r="245" spans="1:11" x14ac:dyDescent="0.2">
      <c r="A245" s="236"/>
      <c r="B245" s="236"/>
      <c r="C245" s="236"/>
      <c r="E245" s="236"/>
      <c r="F245" s="236"/>
      <c r="G245" s="236"/>
      <c r="I245" s="2"/>
      <c r="J245" s="236"/>
      <c r="K245" s="236"/>
    </row>
    <row r="246" spans="1:11" x14ac:dyDescent="0.2">
      <c r="A246" s="236"/>
      <c r="B246" s="236"/>
      <c r="C246" s="236"/>
      <c r="E246" s="236"/>
      <c r="F246" s="236"/>
      <c r="G246" s="236"/>
      <c r="I246" s="2"/>
      <c r="J246" s="236"/>
      <c r="K246" s="236"/>
    </row>
    <row r="247" spans="1:11" x14ac:dyDescent="0.2">
      <c r="A247" s="236"/>
      <c r="B247" s="236"/>
      <c r="C247" s="236"/>
      <c r="E247" s="236"/>
      <c r="F247" s="236"/>
      <c r="G247" s="236"/>
      <c r="I247" s="2"/>
      <c r="J247" s="236"/>
      <c r="K247" s="236"/>
    </row>
    <row r="248" spans="1:11" x14ac:dyDescent="0.2">
      <c r="A248" s="236"/>
      <c r="B248" s="236"/>
      <c r="C248" s="236"/>
      <c r="E248" s="236"/>
      <c r="F248" s="236"/>
      <c r="G248" s="236"/>
      <c r="I248" s="2"/>
      <c r="J248" s="236"/>
      <c r="K248" s="236"/>
    </row>
    <row r="249" spans="1:11" x14ac:dyDescent="0.2">
      <c r="A249" s="236"/>
      <c r="B249" s="236"/>
      <c r="C249" s="236"/>
      <c r="E249" s="236"/>
      <c r="F249" s="236"/>
      <c r="G249" s="236"/>
      <c r="I249" s="2"/>
      <c r="J249" s="236"/>
      <c r="K249" s="236"/>
    </row>
    <row r="250" spans="1:11" x14ac:dyDescent="0.2">
      <c r="A250" s="236"/>
      <c r="B250" s="236"/>
      <c r="C250" s="236"/>
      <c r="E250" s="236"/>
      <c r="F250" s="236"/>
      <c r="G250" s="236"/>
      <c r="I250" s="2"/>
      <c r="J250" s="236"/>
      <c r="K250" s="236"/>
    </row>
    <row r="251" spans="1:11" x14ac:dyDescent="0.2">
      <c r="A251" s="236"/>
      <c r="B251" s="236"/>
      <c r="C251" s="236"/>
      <c r="E251" s="236"/>
      <c r="F251" s="236"/>
      <c r="G251" s="236"/>
      <c r="I251" s="2"/>
      <c r="J251" s="236"/>
      <c r="K251" s="236"/>
    </row>
    <row r="252" spans="1:11" x14ac:dyDescent="0.2">
      <c r="A252" s="236"/>
      <c r="B252" s="236"/>
      <c r="C252" s="236"/>
      <c r="E252" s="236"/>
      <c r="F252" s="236"/>
      <c r="G252" s="236"/>
      <c r="I252" s="2"/>
      <c r="J252" s="236"/>
      <c r="K252" s="236"/>
    </row>
    <row r="253" spans="1:11" x14ac:dyDescent="0.2">
      <c r="A253" s="236"/>
      <c r="B253" s="236"/>
      <c r="C253" s="236"/>
      <c r="E253" s="236"/>
      <c r="F253" s="236"/>
      <c r="G253" s="236"/>
      <c r="I253" s="2"/>
      <c r="J253" s="236"/>
      <c r="K253" s="236"/>
    </row>
    <row r="254" spans="1:11" x14ac:dyDescent="0.2">
      <c r="A254" s="236"/>
      <c r="B254" s="236"/>
      <c r="C254" s="236"/>
      <c r="E254" s="236"/>
      <c r="F254" s="236"/>
      <c r="G254" s="236"/>
      <c r="I254" s="2"/>
      <c r="J254" s="236"/>
      <c r="K254" s="236"/>
    </row>
    <row r="255" spans="1:11" x14ac:dyDescent="0.2">
      <c r="A255" s="236"/>
      <c r="B255" s="236"/>
      <c r="C255" s="236"/>
      <c r="E255" s="236"/>
      <c r="F255" s="236"/>
      <c r="G255" s="236"/>
      <c r="I255" s="2"/>
      <c r="J255" s="236"/>
      <c r="K255" s="236"/>
    </row>
    <row r="256" spans="1:11" x14ac:dyDescent="0.2">
      <c r="A256" s="236"/>
      <c r="B256" s="236"/>
      <c r="C256" s="236"/>
      <c r="E256" s="236"/>
      <c r="F256" s="236"/>
      <c r="G256" s="236"/>
      <c r="I256" s="2"/>
      <c r="J256" s="236"/>
      <c r="K256" s="236"/>
    </row>
    <row r="257" spans="1:11" x14ac:dyDescent="0.2">
      <c r="A257" s="236"/>
      <c r="B257" s="236"/>
      <c r="C257" s="236"/>
      <c r="E257" s="236"/>
      <c r="F257" s="236"/>
      <c r="G257" s="236"/>
      <c r="I257" s="2"/>
      <c r="J257" s="236"/>
      <c r="K257" s="236"/>
    </row>
    <row r="258" spans="1:11" x14ac:dyDescent="0.2">
      <c r="A258" s="236"/>
      <c r="B258" s="236"/>
      <c r="C258" s="236"/>
      <c r="E258" s="236"/>
      <c r="F258" s="236"/>
      <c r="G258" s="236"/>
      <c r="I258" s="2"/>
      <c r="J258" s="236"/>
      <c r="K258" s="236"/>
    </row>
    <row r="259" spans="1:11" x14ac:dyDescent="0.2">
      <c r="A259" s="236"/>
      <c r="B259" s="236"/>
      <c r="C259" s="236"/>
      <c r="E259" s="236"/>
      <c r="F259" s="236"/>
      <c r="G259" s="236"/>
      <c r="I259" s="2"/>
      <c r="J259" s="236"/>
      <c r="K259" s="236"/>
    </row>
    <row r="260" spans="1:11" x14ac:dyDescent="0.2">
      <c r="A260" s="236"/>
      <c r="B260" s="236"/>
      <c r="C260" s="236"/>
      <c r="E260" s="236"/>
      <c r="F260" s="236"/>
      <c r="G260" s="236"/>
      <c r="I260" s="2"/>
      <c r="J260" s="236"/>
      <c r="K260" s="236"/>
    </row>
    <row r="261" spans="1:11" x14ac:dyDescent="0.2">
      <c r="A261" s="236"/>
      <c r="B261" s="236"/>
      <c r="C261" s="236"/>
      <c r="E261" s="236"/>
      <c r="F261" s="236"/>
      <c r="G261" s="236"/>
      <c r="I261" s="2"/>
      <c r="J261" s="236"/>
      <c r="K261" s="236"/>
    </row>
    <row r="262" spans="1:11" x14ac:dyDescent="0.2">
      <c r="A262" s="236"/>
      <c r="B262" s="236"/>
      <c r="C262" s="236"/>
      <c r="E262" s="236"/>
      <c r="F262" s="236"/>
      <c r="G262" s="236"/>
      <c r="I262" s="2"/>
      <c r="J262" s="236"/>
      <c r="K262" s="236"/>
    </row>
    <row r="263" spans="1:11" x14ac:dyDescent="0.2">
      <c r="A263" s="236"/>
      <c r="B263" s="236"/>
      <c r="C263" s="236"/>
      <c r="E263" s="236"/>
      <c r="F263" s="236"/>
      <c r="G263" s="236"/>
      <c r="I263" s="2"/>
      <c r="J263" s="236"/>
      <c r="K263" s="236"/>
    </row>
    <row r="264" spans="1:11" x14ac:dyDescent="0.2">
      <c r="A264" s="236"/>
      <c r="B264" s="236"/>
      <c r="C264" s="236"/>
      <c r="E264" s="236"/>
      <c r="F264" s="236"/>
      <c r="G264" s="236"/>
      <c r="I264" s="2"/>
      <c r="J264" s="236"/>
      <c r="K264" s="236"/>
    </row>
    <row r="265" spans="1:11" x14ac:dyDescent="0.2">
      <c r="A265" s="236"/>
      <c r="B265" s="236"/>
      <c r="C265" s="236"/>
      <c r="E265" s="236"/>
      <c r="F265" s="236"/>
      <c r="G265" s="236"/>
      <c r="I265" s="2"/>
      <c r="J265" s="236"/>
      <c r="K265" s="236"/>
    </row>
    <row r="266" spans="1:11" x14ac:dyDescent="0.2">
      <c r="A266" s="236"/>
      <c r="B266" s="236"/>
      <c r="C266" s="236"/>
      <c r="E266" s="236"/>
      <c r="F266" s="236"/>
      <c r="G266" s="236"/>
      <c r="I266" s="2"/>
      <c r="J266" s="236"/>
      <c r="K266" s="236"/>
    </row>
    <row r="267" spans="1:11" x14ac:dyDescent="0.2">
      <c r="A267" s="236"/>
      <c r="B267" s="236"/>
      <c r="C267" s="236"/>
      <c r="E267" s="236"/>
      <c r="F267" s="236"/>
      <c r="G267" s="236"/>
      <c r="I267" s="2"/>
      <c r="J267" s="236"/>
      <c r="K267" s="236"/>
    </row>
    <row r="268" spans="1:11" x14ac:dyDescent="0.2">
      <c r="A268" s="236"/>
      <c r="B268" s="236"/>
      <c r="C268" s="236"/>
      <c r="E268" s="236"/>
      <c r="F268" s="236"/>
      <c r="G268" s="236"/>
      <c r="I268" s="2"/>
      <c r="J268" s="236"/>
      <c r="K268" s="236"/>
    </row>
    <row r="269" spans="1:11" x14ac:dyDescent="0.2">
      <c r="A269" s="236"/>
      <c r="B269" s="236"/>
      <c r="C269" s="236"/>
      <c r="E269" s="236"/>
      <c r="F269" s="236"/>
      <c r="G269" s="236"/>
      <c r="I269" s="2"/>
      <c r="J269" s="236"/>
      <c r="K269" s="236"/>
    </row>
    <row r="270" spans="1:11" x14ac:dyDescent="0.2">
      <c r="A270" s="236"/>
      <c r="B270" s="236"/>
      <c r="C270" s="236"/>
      <c r="E270" s="236"/>
      <c r="F270" s="236"/>
      <c r="G270" s="236"/>
      <c r="I270" s="2"/>
      <c r="J270" s="236"/>
      <c r="K270" s="236"/>
    </row>
    <row r="271" spans="1:11" x14ac:dyDescent="0.2">
      <c r="A271" s="236"/>
      <c r="B271" s="236"/>
      <c r="C271" s="236"/>
      <c r="E271" s="236"/>
      <c r="F271" s="236"/>
      <c r="G271" s="236"/>
      <c r="I271" s="2"/>
      <c r="J271" s="236"/>
      <c r="K271" s="236"/>
    </row>
    <row r="272" spans="1:11" x14ac:dyDescent="0.2">
      <c r="A272" s="236"/>
      <c r="B272" s="236"/>
      <c r="C272" s="236"/>
      <c r="E272" s="236"/>
      <c r="F272" s="236"/>
      <c r="G272" s="236"/>
      <c r="I272" s="2"/>
      <c r="J272" s="236"/>
      <c r="K272" s="236"/>
    </row>
    <row r="273" spans="1:11" x14ac:dyDescent="0.2">
      <c r="A273" s="236"/>
      <c r="B273" s="236"/>
      <c r="C273" s="236"/>
      <c r="E273" s="236"/>
      <c r="F273" s="236"/>
      <c r="G273" s="236"/>
      <c r="I273" s="2"/>
      <c r="J273" s="236"/>
      <c r="K273" s="236"/>
    </row>
    <row r="274" spans="1:11" x14ac:dyDescent="0.2">
      <c r="A274" s="236"/>
      <c r="B274" s="236"/>
      <c r="C274" s="236"/>
      <c r="E274" s="236"/>
      <c r="F274" s="236"/>
      <c r="G274" s="236"/>
      <c r="I274" s="2"/>
      <c r="J274" s="236"/>
      <c r="K274" s="236"/>
    </row>
    <row r="275" spans="1:11" x14ac:dyDescent="0.2">
      <c r="A275" s="236"/>
      <c r="B275" s="236"/>
      <c r="C275" s="236"/>
      <c r="E275" s="236"/>
      <c r="F275" s="236"/>
      <c r="G275" s="236"/>
      <c r="I275" s="2"/>
      <c r="J275" s="236"/>
      <c r="K275" s="236"/>
    </row>
    <row r="276" spans="1:11" x14ac:dyDescent="0.2">
      <c r="A276" s="236"/>
      <c r="B276" s="236"/>
      <c r="C276" s="236"/>
      <c r="E276" s="236"/>
      <c r="F276" s="236"/>
      <c r="G276" s="236"/>
      <c r="I276" s="2"/>
      <c r="J276" s="236"/>
      <c r="K276" s="236"/>
    </row>
    <row r="277" spans="1:11" x14ac:dyDescent="0.2">
      <c r="A277" s="236"/>
      <c r="B277" s="236"/>
      <c r="C277" s="236"/>
      <c r="E277" s="236"/>
      <c r="F277" s="236"/>
      <c r="G277" s="236"/>
      <c r="I277" s="2"/>
      <c r="J277" s="236"/>
      <c r="K277" s="236"/>
    </row>
    <row r="278" spans="1:11" x14ac:dyDescent="0.2">
      <c r="A278" s="236"/>
      <c r="B278" s="236"/>
      <c r="C278" s="236"/>
      <c r="E278" s="236"/>
      <c r="F278" s="236"/>
      <c r="G278" s="236"/>
      <c r="I278" s="2"/>
      <c r="J278" s="236"/>
      <c r="K278" s="236"/>
    </row>
    <row r="279" spans="1:11" x14ac:dyDescent="0.2">
      <c r="A279" s="236"/>
      <c r="B279" s="236"/>
      <c r="C279" s="236"/>
      <c r="E279" s="236"/>
      <c r="F279" s="236"/>
      <c r="G279" s="236"/>
      <c r="I279" s="2"/>
      <c r="J279" s="236"/>
      <c r="K279" s="236"/>
    </row>
    <row r="280" spans="1:11" x14ac:dyDescent="0.2">
      <c r="A280" s="236"/>
      <c r="B280" s="236"/>
      <c r="C280" s="236"/>
      <c r="E280" s="236"/>
      <c r="F280" s="236"/>
      <c r="G280" s="236"/>
      <c r="I280" s="2"/>
      <c r="J280" s="236"/>
      <c r="K280" s="236"/>
    </row>
    <row r="281" spans="1:11" x14ac:dyDescent="0.2">
      <c r="A281" s="236"/>
      <c r="B281" s="236"/>
      <c r="C281" s="236"/>
      <c r="E281" s="236"/>
      <c r="F281" s="236"/>
      <c r="G281" s="236"/>
      <c r="I281" s="2"/>
      <c r="J281" s="236"/>
      <c r="K281" s="236"/>
    </row>
    <row r="282" spans="1:11" x14ac:dyDescent="0.2">
      <c r="A282" s="236"/>
      <c r="B282" s="236"/>
      <c r="C282" s="236"/>
      <c r="E282" s="236"/>
      <c r="F282" s="236"/>
      <c r="G282" s="236"/>
      <c r="I282" s="2"/>
      <c r="J282" s="236"/>
      <c r="K282" s="236"/>
    </row>
    <row r="283" spans="1:11" x14ac:dyDescent="0.2">
      <c r="A283" s="236"/>
      <c r="B283" s="236"/>
      <c r="C283" s="236"/>
      <c r="E283" s="236"/>
      <c r="F283" s="236"/>
      <c r="G283" s="236"/>
      <c r="I283" s="2"/>
      <c r="J283" s="236"/>
      <c r="K283" s="236"/>
    </row>
    <row r="284" spans="1:11" x14ac:dyDescent="0.2">
      <c r="A284" s="236"/>
      <c r="B284" s="236"/>
      <c r="C284" s="236"/>
      <c r="E284" s="236"/>
      <c r="F284" s="236"/>
      <c r="G284" s="236"/>
      <c r="I284" s="2"/>
      <c r="J284" s="236"/>
      <c r="K284" s="236"/>
    </row>
    <row r="285" spans="1:11" x14ac:dyDescent="0.2">
      <c r="A285" s="236"/>
      <c r="B285" s="236"/>
      <c r="C285" s="236"/>
      <c r="E285" s="236"/>
      <c r="F285" s="236"/>
      <c r="G285" s="236"/>
      <c r="I285" s="2"/>
      <c r="J285" s="236"/>
      <c r="K285" s="236"/>
    </row>
    <row r="286" spans="1:11" x14ac:dyDescent="0.2">
      <c r="A286" s="236"/>
      <c r="B286" s="236"/>
      <c r="C286" s="236"/>
      <c r="E286" s="236"/>
      <c r="F286" s="236"/>
      <c r="G286" s="236"/>
      <c r="I286" s="2"/>
      <c r="J286" s="236"/>
      <c r="K286" s="236"/>
    </row>
    <row r="287" spans="1:11" x14ac:dyDescent="0.2">
      <c r="A287" s="236"/>
      <c r="B287" s="236"/>
      <c r="C287" s="236"/>
      <c r="E287" s="236"/>
      <c r="F287" s="236"/>
      <c r="G287" s="236"/>
      <c r="I287" s="2"/>
      <c r="J287" s="236"/>
      <c r="K287" s="236"/>
    </row>
    <row r="288" spans="1:11" x14ac:dyDescent="0.2">
      <c r="A288" s="236"/>
      <c r="B288" s="236"/>
      <c r="C288" s="236"/>
      <c r="E288" s="236"/>
      <c r="F288" s="236"/>
      <c r="G288" s="236"/>
      <c r="I288" s="2"/>
      <c r="J288" s="236"/>
      <c r="K288" s="236"/>
    </row>
    <row r="289" spans="1:11" x14ac:dyDescent="0.2">
      <c r="A289" s="236"/>
      <c r="B289" s="236"/>
      <c r="C289" s="236"/>
      <c r="E289" s="236"/>
      <c r="F289" s="236"/>
      <c r="G289" s="236"/>
      <c r="I289" s="2"/>
      <c r="J289" s="236"/>
      <c r="K289" s="236"/>
    </row>
    <row r="290" spans="1:11" x14ac:dyDescent="0.2">
      <c r="A290" s="236"/>
      <c r="B290" s="236"/>
      <c r="C290" s="236"/>
      <c r="E290" s="236"/>
      <c r="F290" s="236"/>
      <c r="G290" s="236"/>
      <c r="I290" s="2"/>
      <c r="J290" s="236"/>
      <c r="K290" s="236"/>
    </row>
    <row r="291" spans="1:11" x14ac:dyDescent="0.2">
      <c r="A291" s="236"/>
      <c r="B291" s="236"/>
      <c r="C291" s="236"/>
      <c r="E291" s="236"/>
      <c r="F291" s="236"/>
      <c r="G291" s="236"/>
      <c r="I291" s="2"/>
      <c r="J291" s="236"/>
      <c r="K291" s="236"/>
    </row>
    <row r="292" spans="1:11" x14ac:dyDescent="0.2">
      <c r="A292" s="236"/>
      <c r="B292" s="236"/>
      <c r="C292" s="236"/>
      <c r="E292" s="236"/>
      <c r="F292" s="236"/>
      <c r="G292" s="236"/>
      <c r="I292" s="2"/>
      <c r="J292" s="236"/>
      <c r="K292" s="236"/>
    </row>
    <row r="293" spans="1:11" x14ac:dyDescent="0.2">
      <c r="A293" s="236"/>
      <c r="B293" s="236"/>
      <c r="C293" s="236"/>
      <c r="E293" s="236"/>
      <c r="F293" s="236"/>
      <c r="G293" s="236"/>
      <c r="I293" s="2"/>
      <c r="J293" s="236"/>
      <c r="K293" s="236"/>
    </row>
    <row r="294" spans="1:11" x14ac:dyDescent="0.2">
      <c r="A294" s="236"/>
      <c r="B294" s="236"/>
      <c r="C294" s="236"/>
      <c r="E294" s="236"/>
      <c r="F294" s="236"/>
      <c r="G294" s="236"/>
      <c r="I294" s="2"/>
      <c r="J294" s="236"/>
      <c r="K294" s="236"/>
    </row>
    <row r="295" spans="1:11" x14ac:dyDescent="0.2">
      <c r="A295" s="236"/>
      <c r="B295" s="236"/>
      <c r="C295" s="236"/>
      <c r="E295" s="236"/>
      <c r="F295" s="236"/>
      <c r="G295" s="236"/>
      <c r="I295" s="2"/>
      <c r="J295" s="236"/>
      <c r="K295" s="236"/>
    </row>
    <row r="296" spans="1:11" x14ac:dyDescent="0.2">
      <c r="A296" s="236"/>
      <c r="B296" s="236"/>
      <c r="C296" s="236"/>
      <c r="E296" s="236"/>
      <c r="F296" s="236"/>
      <c r="G296" s="236"/>
      <c r="I296" s="2"/>
      <c r="J296" s="236"/>
      <c r="K296" s="236"/>
    </row>
    <row r="297" spans="1:11" x14ac:dyDescent="0.2">
      <c r="A297" s="236"/>
      <c r="B297" s="236"/>
      <c r="C297" s="236"/>
      <c r="E297" s="236"/>
      <c r="F297" s="236"/>
      <c r="G297" s="236"/>
      <c r="I297" s="2"/>
      <c r="J297" s="236"/>
      <c r="K297" s="236"/>
    </row>
    <row r="298" spans="1:11" x14ac:dyDescent="0.2">
      <c r="A298" s="236"/>
      <c r="B298" s="236"/>
      <c r="C298" s="236"/>
      <c r="E298" s="236"/>
      <c r="F298" s="236"/>
      <c r="G298" s="236"/>
      <c r="I298" s="2"/>
      <c r="J298" s="236"/>
      <c r="K298" s="236"/>
    </row>
    <row r="299" spans="1:11" x14ac:dyDescent="0.2">
      <c r="A299" s="236"/>
      <c r="B299" s="236"/>
      <c r="C299" s="236"/>
      <c r="E299" s="236"/>
      <c r="F299" s="236"/>
      <c r="G299" s="236"/>
      <c r="I299" s="2"/>
      <c r="J299" s="236"/>
      <c r="K299" s="236"/>
    </row>
    <row r="300" spans="1:11" x14ac:dyDescent="0.2">
      <c r="A300" s="236"/>
      <c r="B300" s="236"/>
      <c r="C300" s="236"/>
      <c r="E300" s="236"/>
      <c r="F300" s="236"/>
      <c r="G300" s="236"/>
      <c r="I300" s="2"/>
      <c r="J300" s="236"/>
      <c r="K300" s="236"/>
    </row>
    <row r="301" spans="1:11" x14ac:dyDescent="0.2">
      <c r="A301" s="236"/>
      <c r="B301" s="236"/>
      <c r="C301" s="236"/>
      <c r="E301" s="236"/>
      <c r="F301" s="236"/>
      <c r="G301" s="236"/>
      <c r="I301" s="2"/>
      <c r="J301" s="236"/>
      <c r="K301" s="236"/>
    </row>
    <row r="302" spans="1:11" x14ac:dyDescent="0.2">
      <c r="A302" s="236"/>
      <c r="B302" s="236"/>
      <c r="C302" s="236"/>
      <c r="E302" s="236"/>
      <c r="F302" s="236"/>
      <c r="G302" s="236"/>
      <c r="I302" s="2"/>
      <c r="J302" s="236"/>
      <c r="K302" s="236"/>
    </row>
    <row r="303" spans="1:11" x14ac:dyDescent="0.2">
      <c r="A303" s="236"/>
      <c r="B303" s="236"/>
      <c r="C303" s="236"/>
      <c r="E303" s="236"/>
      <c r="F303" s="236"/>
      <c r="G303" s="236"/>
      <c r="I303" s="2"/>
      <c r="J303" s="236"/>
      <c r="K303" s="236"/>
    </row>
    <row r="304" spans="1:11" x14ac:dyDescent="0.2">
      <c r="A304" s="236"/>
      <c r="B304" s="236"/>
      <c r="C304" s="236"/>
      <c r="E304" s="236"/>
      <c r="F304" s="236"/>
      <c r="G304" s="236"/>
      <c r="I304" s="2"/>
      <c r="J304" s="236"/>
      <c r="K304" s="236"/>
    </row>
    <row r="305" spans="1:11" x14ac:dyDescent="0.2">
      <c r="A305" s="236"/>
      <c r="B305" s="236"/>
      <c r="C305" s="236"/>
      <c r="E305" s="236"/>
      <c r="F305" s="236"/>
      <c r="G305" s="236"/>
      <c r="I305" s="2"/>
      <c r="J305" s="236"/>
      <c r="K305" s="236"/>
    </row>
    <row r="306" spans="1:11" x14ac:dyDescent="0.2">
      <c r="A306" s="236"/>
      <c r="B306" s="236"/>
      <c r="C306" s="236"/>
      <c r="E306" s="236"/>
      <c r="F306" s="236"/>
      <c r="G306" s="236"/>
      <c r="I306" s="2"/>
      <c r="J306" s="236"/>
      <c r="K306" s="236"/>
    </row>
    <row r="307" spans="1:11" x14ac:dyDescent="0.2">
      <c r="A307" s="236"/>
      <c r="B307" s="236"/>
      <c r="C307" s="236"/>
      <c r="E307" s="236"/>
      <c r="F307" s="236"/>
      <c r="G307" s="236"/>
      <c r="I307" s="2"/>
      <c r="J307" s="236"/>
      <c r="K307" s="236"/>
    </row>
    <row r="308" spans="1:11" x14ac:dyDescent="0.2">
      <c r="A308" s="236"/>
      <c r="B308" s="236"/>
      <c r="C308" s="236"/>
      <c r="E308" s="236"/>
      <c r="F308" s="236"/>
      <c r="G308" s="236"/>
      <c r="I308" s="2"/>
      <c r="J308" s="236"/>
      <c r="K308" s="236"/>
    </row>
    <row r="309" spans="1:11" x14ac:dyDescent="0.2">
      <c r="A309" s="236"/>
      <c r="B309" s="236"/>
      <c r="C309" s="236"/>
      <c r="E309" s="236"/>
      <c r="F309" s="236"/>
      <c r="G309" s="236"/>
      <c r="I309" s="2"/>
      <c r="J309" s="236"/>
      <c r="K309" s="236"/>
    </row>
    <row r="310" spans="1:11" x14ac:dyDescent="0.2">
      <c r="A310" s="236"/>
      <c r="B310" s="236"/>
      <c r="C310" s="236"/>
      <c r="E310" s="236"/>
      <c r="F310" s="236"/>
      <c r="G310" s="236"/>
      <c r="I310" s="2"/>
      <c r="J310" s="236"/>
      <c r="K310" s="236"/>
    </row>
    <row r="311" spans="1:11" x14ac:dyDescent="0.2">
      <c r="A311" s="236"/>
      <c r="B311" s="236"/>
      <c r="C311" s="236"/>
      <c r="E311" s="236"/>
      <c r="F311" s="236"/>
      <c r="G311" s="236"/>
      <c r="I311" s="2"/>
      <c r="J311" s="236"/>
      <c r="K311" s="236"/>
    </row>
    <row r="312" spans="1:11" x14ac:dyDescent="0.2">
      <c r="A312" s="236"/>
      <c r="B312" s="236"/>
      <c r="C312" s="236"/>
      <c r="E312" s="236"/>
      <c r="F312" s="236"/>
      <c r="G312" s="236"/>
      <c r="I312" s="2"/>
      <c r="J312" s="236"/>
      <c r="K312" s="236"/>
    </row>
    <row r="313" spans="1:11" x14ac:dyDescent="0.2">
      <c r="I313" s="2"/>
    </row>
    <row r="314" spans="1:11" x14ac:dyDescent="0.2">
      <c r="I314" s="2"/>
    </row>
    <row r="315" spans="1:11" x14ac:dyDescent="0.2">
      <c r="I315" s="2"/>
    </row>
    <row r="316" spans="1:11" x14ac:dyDescent="0.2">
      <c r="I316" s="2"/>
    </row>
    <row r="317" spans="1:11" x14ac:dyDescent="0.2">
      <c r="I317" s="2"/>
    </row>
    <row r="318" spans="1:11" x14ac:dyDescent="0.2">
      <c r="I318" s="2"/>
    </row>
    <row r="319" spans="1:11" x14ac:dyDescent="0.2">
      <c r="I319" s="2"/>
    </row>
    <row r="320" spans="1:11" x14ac:dyDescent="0.2">
      <c r="I320" s="2"/>
    </row>
    <row r="321" spans="9:9" x14ac:dyDescent="0.2">
      <c r="I321" s="2"/>
    </row>
    <row r="322" spans="9:9" x14ac:dyDescent="0.2">
      <c r="I322" s="2"/>
    </row>
    <row r="323" spans="9:9" x14ac:dyDescent="0.2">
      <c r="I323" s="2"/>
    </row>
    <row r="324" spans="9:9" x14ac:dyDescent="0.2">
      <c r="I324" s="2"/>
    </row>
    <row r="325" spans="9:9" x14ac:dyDescent="0.2">
      <c r="I325" s="2"/>
    </row>
    <row r="326" spans="9:9" x14ac:dyDescent="0.2">
      <c r="I326" s="2"/>
    </row>
    <row r="327" spans="9:9" x14ac:dyDescent="0.2">
      <c r="I327" s="2"/>
    </row>
    <row r="328" spans="9:9" x14ac:dyDescent="0.2">
      <c r="I328" s="2"/>
    </row>
    <row r="329" spans="9:9" x14ac:dyDescent="0.2">
      <c r="I329" s="2"/>
    </row>
  </sheetData>
  <mergeCells count="1">
    <mergeCell ref="A1:J1"/>
  </mergeCells>
  <phoneticPr fontId="0" type="noConversion"/>
  <printOptions gridLines="1"/>
  <pageMargins left="0.75" right="0.16" top="0.51" bottom="0.22" header="0.5" footer="0.5"/>
  <pageSetup scale="84" fitToHeight="14" orientation="landscape" r:id="rId1"/>
  <headerFooter alignWithMargins="0"/>
  <rowBreaks count="3" manualBreakCount="3">
    <brk id="125" max="9" man="1"/>
    <brk id="171" max="9" man="1"/>
    <brk id="214"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45</vt:i4>
      </vt:variant>
    </vt:vector>
  </HeadingPairs>
  <TitlesOfParts>
    <vt:vector size="68" baseType="lpstr">
      <vt:lpstr>01-gen gov</vt:lpstr>
      <vt:lpstr>02-assessing</vt:lpstr>
      <vt:lpstr>03-fire</vt:lpstr>
      <vt:lpstr>04-police</vt:lpstr>
      <vt:lpstr>05-comm</vt:lpstr>
      <vt:lpstr>06-code enforcement</vt:lpstr>
      <vt:lpstr>07-pub works</vt:lpstr>
      <vt:lpstr>08-highway</vt:lpstr>
      <vt:lpstr>09-solid waste</vt:lpstr>
      <vt:lpstr>13-parks &amp; rec</vt:lpstr>
      <vt:lpstr>15-library</vt:lpstr>
      <vt:lpstr>16-equip mntc</vt:lpstr>
      <vt:lpstr>17-bldg &amp; grounds</vt:lpstr>
      <vt:lpstr>21-comm dev</vt:lpstr>
      <vt:lpstr>24-tax coll</vt:lpstr>
      <vt:lpstr>25-welfare</vt:lpstr>
      <vt:lpstr>27-debt svc</vt:lpstr>
      <vt:lpstr>10-wastewater</vt:lpstr>
      <vt:lpstr>32-Media</vt:lpstr>
      <vt:lpstr>33-Fire Protection -other</vt:lpstr>
      <vt:lpstr>43- WWTF capital Project</vt:lpstr>
      <vt:lpstr>45- capital Projects fund</vt:lpstr>
      <vt:lpstr>-other SPECIAL REVENUE FUNDING</vt:lpstr>
      <vt:lpstr>'01-gen gov'!Print_Area</vt:lpstr>
      <vt:lpstr>'02-assessing'!Print_Area</vt:lpstr>
      <vt:lpstr>'03-fire'!Print_Area</vt:lpstr>
      <vt:lpstr>'04-police'!Print_Area</vt:lpstr>
      <vt:lpstr>'05-comm'!Print_Area</vt:lpstr>
      <vt:lpstr>'06-code enforcement'!Print_Area</vt:lpstr>
      <vt:lpstr>'07-pub works'!Print_Area</vt:lpstr>
      <vt:lpstr>'08-highway'!Print_Area</vt:lpstr>
      <vt:lpstr>'09-solid waste'!Print_Area</vt:lpstr>
      <vt:lpstr>'10-wastewater'!Print_Area</vt:lpstr>
      <vt:lpstr>'13-parks &amp; rec'!Print_Area</vt:lpstr>
      <vt:lpstr>'15-library'!Print_Area</vt:lpstr>
      <vt:lpstr>'16-equip mntc'!Print_Area</vt:lpstr>
      <vt:lpstr>'17-bldg &amp; grounds'!Print_Area</vt:lpstr>
      <vt:lpstr>'21-comm dev'!Print_Area</vt:lpstr>
      <vt:lpstr>'24-tax coll'!Print_Area</vt:lpstr>
      <vt:lpstr>'25-welfare'!Print_Area</vt:lpstr>
      <vt:lpstr>'27-debt svc'!Print_Area</vt:lpstr>
      <vt:lpstr>'32-Media'!Print_Area</vt:lpstr>
      <vt:lpstr>'33-Fire Protection -other'!Print_Area</vt:lpstr>
      <vt:lpstr>'43- WWTF capital Project'!Print_Area</vt:lpstr>
      <vt:lpstr>'45- capital Projects fund'!Print_Area</vt:lpstr>
      <vt:lpstr>'-other SPECIAL REVENUE FUNDING'!Print_Area</vt:lpstr>
      <vt:lpstr>'01-gen gov'!Print_Titles</vt:lpstr>
      <vt:lpstr>'02-assessing'!Print_Titles</vt:lpstr>
      <vt:lpstr>'03-fire'!Print_Titles</vt:lpstr>
      <vt:lpstr>'04-police'!Print_Titles</vt:lpstr>
      <vt:lpstr>'05-comm'!Print_Titles</vt:lpstr>
      <vt:lpstr>'06-code enforcement'!Print_Titles</vt:lpstr>
      <vt:lpstr>'07-pub works'!Print_Titles</vt:lpstr>
      <vt:lpstr>'08-highway'!Print_Titles</vt:lpstr>
      <vt:lpstr>'09-solid waste'!Print_Titles</vt:lpstr>
      <vt:lpstr>'10-wastewater'!Print_Titles</vt:lpstr>
      <vt:lpstr>'13-parks &amp; rec'!Print_Titles</vt:lpstr>
      <vt:lpstr>'15-library'!Print_Titles</vt:lpstr>
      <vt:lpstr>'16-equip mntc'!Print_Titles</vt:lpstr>
      <vt:lpstr>'17-bldg &amp; grounds'!Print_Titles</vt:lpstr>
      <vt:lpstr>'21-comm dev'!Print_Titles</vt:lpstr>
      <vt:lpstr>'24-tax coll'!Print_Titles</vt:lpstr>
      <vt:lpstr>'25-welfare'!Print_Titles</vt:lpstr>
      <vt:lpstr>'32-Media'!Print_Titles</vt:lpstr>
      <vt:lpstr>'33-Fire Protection -other'!Print_Titles</vt:lpstr>
      <vt:lpstr>'43- WWTF capital Project'!Print_Titles</vt:lpstr>
      <vt:lpstr>'45- capital Projects fund'!Print_Titles</vt:lpstr>
      <vt:lpstr>'-other SPECIAL REVENUE FUNDING'!Print_Titles</vt:lpstr>
    </vt:vector>
  </TitlesOfParts>
  <Company>Town of Merrimack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dc:creator>
  <cp:lastModifiedBy>Thomas Boland</cp:lastModifiedBy>
  <cp:lastPrinted>2022-04-19T19:46:01Z</cp:lastPrinted>
  <dcterms:created xsi:type="dcterms:W3CDTF">2001-06-20T19:26:14Z</dcterms:created>
  <dcterms:modified xsi:type="dcterms:W3CDTF">2022-04-22T20:20:36Z</dcterms:modified>
</cp:coreProperties>
</file>