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m-fs01\finance\Shared\Finance Data\Budget 2024-25\tc budget\web\"/>
    </mc:Choice>
  </mc:AlternateContent>
  <bookViews>
    <workbookView xWindow="0" yWindow="0" windowWidth="23040" windowHeight="9870" tabRatio="752" firstSheet="1" activeTab="1"/>
  </bookViews>
  <sheets>
    <sheet name="the one (4)" sheetId="27" r:id="rId1"/>
    <sheet name="operating one" sheetId="1" r:id="rId2"/>
    <sheet name="the one" sheetId="5" r:id="rId3"/>
    <sheet name="revenue one" sheetId="10" r:id="rId4"/>
    <sheet name="summary one" sheetId="2" r:id="rId5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aaa" localSheetId="0">'[1]15-library'!#REF!</definedName>
    <definedName name="aaa">'[1]15-library'!#REF!</definedName>
    <definedName name="bbb" localSheetId="0">'[1]15-library'!#REF!</definedName>
    <definedName name="bbb">'[1]15-library'!#REF!</definedName>
    <definedName name="ccc" localSheetId="0">'[1]15-library'!#REF!</definedName>
    <definedName name="ccc">'[1]15-library'!#REF!</definedName>
    <definedName name="ddd" localSheetId="0">'[1]15-library'!#REF!</definedName>
    <definedName name="ddd">'[1]15-library'!#REF!</definedName>
    <definedName name="dept22" localSheetId="0">'[2]15-library'!#REF!</definedName>
    <definedName name="dept22">'[2]15-library'!#REF!</definedName>
    <definedName name="eee" localSheetId="0">'[1]15-library'!#REF!</definedName>
    <definedName name="eee">'[1]15-library'!#REF!</definedName>
    <definedName name="fff" localSheetId="0">'[1]15-library'!#REF!</definedName>
    <definedName name="fff">'[1]15-library'!#REF!</definedName>
    <definedName name="ggg" localSheetId="0">'[1]15-library'!#REF!</definedName>
    <definedName name="ggg">'[1]15-library'!#REF!</definedName>
    <definedName name="help" localSheetId="0">'[3]15-library'!#REF!</definedName>
    <definedName name="help">'[3]15-library'!#REF!</definedName>
    <definedName name="hhh" localSheetId="0">'[1]15-library'!#REF!</definedName>
    <definedName name="hhh">'[1]15-library'!#REF!</definedName>
    <definedName name="iii" localSheetId="0">'[1]15-library'!#REF!</definedName>
    <definedName name="iii">'[1]15-library'!#REF!</definedName>
    <definedName name="jjj" localSheetId="0">'[1]15-library'!#REF!</definedName>
    <definedName name="jjj">'[1]15-library'!#REF!</definedName>
    <definedName name="meet" localSheetId="0">'[4]15-library'!#REF!</definedName>
    <definedName name="meet">'[4]15-library'!#REF!</definedName>
    <definedName name="ooop" localSheetId="0">'[3]15-library'!#REF!</definedName>
    <definedName name="ooop">'[3]15-library'!#REF!</definedName>
    <definedName name="ooou" localSheetId="0">'[3]15-library'!#REF!</definedName>
    <definedName name="ooou">'[3]15-library'!#REF!</definedName>
    <definedName name="_xlnm.Print_Area" localSheetId="1">'operating one'!$A$1:$S$52</definedName>
    <definedName name="_xlnm.Print_Area" localSheetId="2">'the one'!$A$1:$G$81</definedName>
    <definedName name="_xlnm.Print_Area" localSheetId="0">'the one (4)'!$A$1:$D$22</definedName>
    <definedName name="pwq" localSheetId="0">'[3]15-library'!#REF!</definedName>
    <definedName name="pwq">'[3]15-library'!#REF!</definedName>
    <definedName name="revenue2" localSheetId="0">'[2]15-library'!#REF!</definedName>
    <definedName name="revenue2">'[2]15-library'!#REF!</definedName>
    <definedName name="rtl" localSheetId="0">'[3]15-library'!#REF!</definedName>
    <definedName name="rtl">'[3]15-library'!#REF!</definedName>
    <definedName name="ssg" localSheetId="0">'[3]15-library'!#REF!</definedName>
    <definedName name="ssg">'[3]15-library'!#REF!</definedName>
    <definedName name="www" localSheetId="0">'[3]15-library'!#REF!</definedName>
    <definedName name="www">'[3]15-library'!#REF!</definedName>
  </definedNames>
  <calcPr calcId="162913"/>
</workbook>
</file>

<file path=xl/calcChain.xml><?xml version="1.0" encoding="utf-8"?>
<calcChain xmlns="http://schemas.openxmlformats.org/spreadsheetml/2006/main">
  <c r="D5" i="2" l="1"/>
  <c r="D17" i="27" l="1"/>
  <c r="D16" i="27"/>
  <c r="D15" i="27"/>
  <c r="D14" i="27"/>
  <c r="D13" i="27"/>
  <c r="D12" i="27"/>
  <c r="D11" i="27"/>
  <c r="D10" i="27"/>
  <c r="D9" i="27"/>
  <c r="D8" i="27"/>
  <c r="D7" i="27"/>
  <c r="D6" i="27"/>
  <c r="D5" i="27"/>
  <c r="D20" i="27" l="1"/>
  <c r="D18" i="27"/>
  <c r="D56" i="5" l="1"/>
  <c r="D60" i="5" s="1"/>
  <c r="D5" i="10" l="1"/>
  <c r="F5" i="10"/>
  <c r="B27" i="10"/>
  <c r="D14" i="2" l="1"/>
  <c r="F6" i="5" l="1"/>
  <c r="F31" i="5" l="1"/>
  <c r="G31" i="5" s="1"/>
  <c r="D16" i="2" l="1"/>
  <c r="B28" i="10" l="1"/>
  <c r="B21" i="5" l="1"/>
  <c r="B40" i="5"/>
  <c r="B56" i="5"/>
  <c r="B78" i="5"/>
  <c r="F27" i="2"/>
  <c r="G27" i="2" s="1"/>
  <c r="F23" i="2"/>
  <c r="G23" i="2" s="1"/>
  <c r="F21" i="2"/>
  <c r="G21" i="2" s="1"/>
  <c r="F16" i="2"/>
  <c r="G16" i="2" s="1"/>
  <c r="F15" i="2"/>
  <c r="G15" i="2" s="1"/>
  <c r="B66" i="5" l="1"/>
  <c r="B80" i="5" s="1"/>
  <c r="B60" i="5"/>
  <c r="F11" i="10" l="1"/>
  <c r="F9" i="10"/>
  <c r="F7" i="10"/>
  <c r="D9" i="2"/>
  <c r="D8" i="2"/>
  <c r="F77" i="5"/>
  <c r="G77" i="5" s="1"/>
  <c r="F76" i="5"/>
  <c r="G76" i="5" s="1"/>
  <c r="F75" i="5"/>
  <c r="G75" i="5" s="1"/>
  <c r="F74" i="5"/>
  <c r="G74" i="5" s="1"/>
  <c r="F73" i="5"/>
  <c r="G73" i="5" s="1"/>
  <c r="F72" i="5"/>
  <c r="G72" i="5" s="1"/>
  <c r="F71" i="5"/>
  <c r="F70" i="5"/>
  <c r="G70" i="5" s="1"/>
  <c r="D78" i="5"/>
  <c r="F62" i="5"/>
  <c r="G62" i="5" s="1"/>
  <c r="F58" i="5"/>
  <c r="G58" i="5" s="1"/>
  <c r="F45" i="5"/>
  <c r="G45" i="5" s="1"/>
  <c r="F44" i="5"/>
  <c r="G44" i="5" s="1"/>
  <c r="F46" i="5"/>
  <c r="G46" i="5" s="1"/>
  <c r="F47" i="5"/>
  <c r="G47" i="5" s="1"/>
  <c r="F48" i="5"/>
  <c r="G48" i="5" s="1"/>
  <c r="F49" i="5"/>
  <c r="G49" i="5" s="1"/>
  <c r="F50" i="5"/>
  <c r="G50" i="5" s="1"/>
  <c r="F51" i="5"/>
  <c r="G51" i="5" s="1"/>
  <c r="F52" i="5"/>
  <c r="G52" i="5" s="1"/>
  <c r="F53" i="5"/>
  <c r="G53" i="5" s="1"/>
  <c r="F54" i="5"/>
  <c r="G54" i="5" s="1"/>
  <c r="F55" i="5"/>
  <c r="G55" i="5" s="1"/>
  <c r="F43" i="5"/>
  <c r="G43" i="5" s="1"/>
  <c r="P8" i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G6" i="5"/>
  <c r="F5" i="5"/>
  <c r="G5" i="5" s="1"/>
  <c r="F4" i="5"/>
  <c r="G4" i="5" s="1"/>
  <c r="F25" i="5"/>
  <c r="G25" i="5" s="1"/>
  <c r="F26" i="5"/>
  <c r="G26" i="5" s="1"/>
  <c r="F27" i="5"/>
  <c r="G27" i="5" s="1"/>
  <c r="F28" i="5"/>
  <c r="G28" i="5" s="1"/>
  <c r="F29" i="5"/>
  <c r="G29" i="5" s="1"/>
  <c r="F30" i="5"/>
  <c r="G30" i="5" s="1"/>
  <c r="F32" i="5"/>
  <c r="G32" i="5" s="1"/>
  <c r="F33" i="5"/>
  <c r="G33" i="5" s="1"/>
  <c r="F34" i="5"/>
  <c r="G34" i="5" s="1"/>
  <c r="F35" i="5"/>
  <c r="G35" i="5" s="1"/>
  <c r="F36" i="5"/>
  <c r="G36" i="5" s="1"/>
  <c r="F37" i="5"/>
  <c r="G37" i="5" s="1"/>
  <c r="F38" i="5"/>
  <c r="G38" i="5" s="1"/>
  <c r="F39" i="5"/>
  <c r="G39" i="5" s="1"/>
  <c r="F24" i="5"/>
  <c r="G24" i="5" s="1"/>
  <c r="D40" i="5"/>
  <c r="D6" i="2" l="1"/>
  <c r="D10" i="2"/>
  <c r="D18" i="2" s="1"/>
  <c r="D7" i="2"/>
  <c r="F78" i="5"/>
  <c r="D13" i="10"/>
  <c r="D15" i="10" s="1"/>
  <c r="G71" i="5"/>
  <c r="F9" i="2"/>
  <c r="G9" i="2" s="1"/>
  <c r="D17" i="2"/>
  <c r="D66" i="5"/>
  <c r="D80" i="5" s="1"/>
  <c r="D85" i="5" s="1"/>
  <c r="F56" i="5"/>
  <c r="G56" i="5" s="1"/>
  <c r="R36" i="1"/>
  <c r="Q36" i="1"/>
  <c r="P36" i="1"/>
  <c r="O36" i="1"/>
  <c r="N36" i="1"/>
  <c r="S35" i="1"/>
  <c r="S34" i="1"/>
  <c r="S33" i="1"/>
  <c r="S32" i="1"/>
  <c r="S31" i="1"/>
  <c r="S30" i="1"/>
  <c r="S29" i="1"/>
  <c r="S28" i="1"/>
  <c r="S27" i="1"/>
  <c r="S26" i="1"/>
  <c r="R23" i="1"/>
  <c r="R38" i="1" s="1"/>
  <c r="Q23" i="1"/>
  <c r="Q38" i="1" s="1"/>
  <c r="P23" i="1"/>
  <c r="S22" i="1"/>
  <c r="S21" i="1"/>
  <c r="S20" i="1"/>
  <c r="S19" i="1"/>
  <c r="S18" i="1"/>
  <c r="S17" i="1"/>
  <c r="S16" i="1"/>
  <c r="S15" i="1"/>
  <c r="S14" i="1"/>
  <c r="S13" i="1"/>
  <c r="O23" i="1"/>
  <c r="O38" i="1" s="1"/>
  <c r="S12" i="1"/>
  <c r="S11" i="1"/>
  <c r="S10" i="1"/>
  <c r="S9" i="1"/>
  <c r="S8" i="1"/>
  <c r="S7" i="1"/>
  <c r="S6" i="1"/>
  <c r="D11" i="2" l="1"/>
  <c r="D19" i="2"/>
  <c r="P38" i="1"/>
  <c r="S36" i="1"/>
  <c r="N23" i="1"/>
  <c r="D25" i="2" l="1"/>
  <c r="D29" i="2" s="1"/>
  <c r="F29" i="2" s="1"/>
  <c r="N38" i="1"/>
  <c r="S23" i="1"/>
  <c r="S38" i="1" s="1"/>
  <c r="O40" i="1" l="1"/>
  <c r="H6" i="1" l="1"/>
  <c r="B10" i="2" l="1"/>
  <c r="F10" i="2" s="1"/>
  <c r="G10" i="2" s="1"/>
  <c r="G78" i="5"/>
  <c r="B5" i="2" l="1"/>
  <c r="F5" i="2" s="1"/>
  <c r="G5" i="2" s="1"/>
  <c r="B19" i="1" l="1"/>
  <c r="G19" i="1" s="1"/>
  <c r="B16" i="1"/>
  <c r="B15" i="1"/>
  <c r="G15" i="1" s="1"/>
  <c r="B14" i="1"/>
  <c r="B13" i="1"/>
  <c r="B10" i="1"/>
  <c r="G10" i="1" s="1"/>
  <c r="B8" i="1"/>
  <c r="B7" i="1"/>
  <c r="B6" i="1"/>
  <c r="G6" i="1" s="1"/>
  <c r="M6" i="1"/>
  <c r="G26" i="1"/>
  <c r="G16" i="1"/>
  <c r="G14" i="1"/>
  <c r="B9" i="1"/>
  <c r="G9" i="1" s="1"/>
  <c r="F36" i="1"/>
  <c r="E36" i="1"/>
  <c r="D36" i="1"/>
  <c r="C36" i="1"/>
  <c r="B36" i="1"/>
  <c r="G35" i="1"/>
  <c r="G34" i="1"/>
  <c r="G33" i="1"/>
  <c r="G32" i="1"/>
  <c r="G31" i="1"/>
  <c r="G30" i="1"/>
  <c r="G29" i="1"/>
  <c r="G28" i="1"/>
  <c r="G27" i="1"/>
  <c r="F23" i="1"/>
  <c r="E23" i="1"/>
  <c r="G22" i="1"/>
  <c r="G21" i="1"/>
  <c r="G20" i="1"/>
  <c r="G18" i="1"/>
  <c r="G17" i="1"/>
  <c r="D13" i="1"/>
  <c r="D23" i="1" s="1"/>
  <c r="C13" i="1"/>
  <c r="C23" i="1" s="1"/>
  <c r="G12" i="1"/>
  <c r="G11" i="1"/>
  <c r="G7" i="1"/>
  <c r="G36" i="1" l="1"/>
  <c r="B23" i="1"/>
  <c r="G23" i="1" s="1"/>
  <c r="G13" i="1"/>
  <c r="G8" i="1"/>
  <c r="M20" i="1" l="1"/>
  <c r="M14" i="1"/>
  <c r="M10" i="1"/>
  <c r="M35" i="1"/>
  <c r="M34" i="1"/>
  <c r="M33" i="1"/>
  <c r="M32" i="1"/>
  <c r="M31" i="1"/>
  <c r="M30" i="1"/>
  <c r="M29" i="1"/>
  <c r="M28" i="1"/>
  <c r="M27" i="1"/>
  <c r="M26" i="1"/>
  <c r="M22" i="1"/>
  <c r="M21" i="1"/>
  <c r="M19" i="1"/>
  <c r="M18" i="1"/>
  <c r="M17" i="1"/>
  <c r="M16" i="1"/>
  <c r="M15" i="1"/>
  <c r="M12" i="1"/>
  <c r="M11" i="1"/>
  <c r="M9" i="1"/>
  <c r="M8" i="1"/>
  <c r="M7" i="1"/>
  <c r="I13" i="1"/>
  <c r="M13" i="1" l="1"/>
  <c r="B17" i="2" l="1"/>
  <c r="F17" i="2" s="1"/>
  <c r="G17" i="2" s="1"/>
  <c r="B14" i="2" l="1"/>
  <c r="F14" i="2" s="1"/>
  <c r="G14" i="2" s="1"/>
  <c r="B8" i="2" l="1"/>
  <c r="F8" i="2" s="1"/>
  <c r="G8" i="2" s="1"/>
  <c r="L36" i="1" l="1"/>
  <c r="K36" i="1"/>
  <c r="J36" i="1"/>
  <c r="I36" i="1"/>
  <c r="H36" i="1"/>
  <c r="M36" i="1" l="1"/>
  <c r="B13" i="10"/>
  <c r="F13" i="10" l="1"/>
  <c r="F15" i="10" s="1"/>
  <c r="B15" i="10"/>
  <c r="F38" i="1" l="1"/>
  <c r="E38" i="1"/>
  <c r="D38" i="1"/>
  <c r="C38" i="1"/>
  <c r="B38" i="1"/>
  <c r="G38" i="1" l="1"/>
  <c r="L23" i="1" l="1"/>
  <c r="K23" i="1"/>
  <c r="J23" i="1"/>
  <c r="I23" i="1"/>
  <c r="H23" i="1"/>
  <c r="M23" i="1" l="1"/>
  <c r="K38" i="1"/>
  <c r="J38" i="1"/>
  <c r="I38" i="1"/>
  <c r="H38" i="1"/>
  <c r="L38" i="1"/>
  <c r="B18" i="2"/>
  <c r="F18" i="2" s="1"/>
  <c r="F21" i="5"/>
  <c r="G21" i="5" s="1"/>
  <c r="G18" i="2" l="1"/>
  <c r="F19" i="2"/>
  <c r="I40" i="1"/>
  <c r="B6" i="2"/>
  <c r="F6" i="2" s="1"/>
  <c r="G6" i="2" s="1"/>
  <c r="B7" i="2"/>
  <c r="F7" i="2" s="1"/>
  <c r="G7" i="2" s="1"/>
  <c r="F40" i="5"/>
  <c r="G40" i="5" s="1"/>
  <c r="B19" i="2"/>
  <c r="M38" i="1"/>
  <c r="G19" i="2" l="1"/>
  <c r="B11" i="2"/>
  <c r="B25" i="2" s="1"/>
  <c r="B29" i="2" s="1"/>
  <c r="F11" i="2"/>
  <c r="F66" i="5"/>
  <c r="G66" i="5" s="1"/>
  <c r="F60" i="5"/>
  <c r="G60" i="5" s="1"/>
  <c r="G29" i="2" l="1"/>
  <c r="G11" i="2"/>
  <c r="F25" i="2"/>
  <c r="G25" i="2" s="1"/>
  <c r="F80" i="5"/>
  <c r="G80" i="5" s="1"/>
</calcChain>
</file>

<file path=xl/sharedStrings.xml><?xml version="1.0" encoding="utf-8"?>
<sst xmlns="http://schemas.openxmlformats.org/spreadsheetml/2006/main" count="240" uniqueCount="133">
  <si>
    <t>Total</t>
  </si>
  <si>
    <t>CRF</t>
  </si>
  <si>
    <t>Road</t>
  </si>
  <si>
    <t>Voted</t>
  </si>
  <si>
    <t>Expend.</t>
  </si>
  <si>
    <t>Deposits</t>
  </si>
  <si>
    <t>Infrastr.</t>
  </si>
  <si>
    <t xml:space="preserve"> Request</t>
  </si>
  <si>
    <t>GENERAL FUND EXP.</t>
  </si>
  <si>
    <t>General Government</t>
  </si>
  <si>
    <t>Assessing</t>
  </si>
  <si>
    <t>Fire</t>
  </si>
  <si>
    <t>Police</t>
  </si>
  <si>
    <t>Communications</t>
  </si>
  <si>
    <t>Code Enforcement</t>
  </si>
  <si>
    <t>DPW Admin.</t>
  </si>
  <si>
    <t>Highway</t>
  </si>
  <si>
    <t>Solid Waste Disposal</t>
  </si>
  <si>
    <t>Parks &amp; Recreation</t>
  </si>
  <si>
    <t>Library</t>
  </si>
  <si>
    <t>Equipment Maint.</t>
  </si>
  <si>
    <t>Buildings &amp; Grounds</t>
  </si>
  <si>
    <t>Community Development</t>
  </si>
  <si>
    <t>Town Clerk/ Tax Collector</t>
  </si>
  <si>
    <t>Welfare</t>
  </si>
  <si>
    <t>Debt Service</t>
  </si>
  <si>
    <t>GENERAL FUND</t>
  </si>
  <si>
    <t>SELF SUPPORTING FUNDS EXP.</t>
  </si>
  <si>
    <t>Fire Protection</t>
  </si>
  <si>
    <t>Outside Details</t>
  </si>
  <si>
    <t>Fire Outside Detail</t>
  </si>
  <si>
    <t>Media</t>
  </si>
  <si>
    <t>Wastewater</t>
  </si>
  <si>
    <t>Wastewater Debt</t>
  </si>
  <si>
    <t>Subtotal Self Sup. Funds</t>
  </si>
  <si>
    <t>GRAND TOTAL EXP.</t>
  </si>
  <si>
    <t>SUMMARY</t>
  </si>
  <si>
    <t>Appropriations</t>
  </si>
  <si>
    <t xml:space="preserve">General Fund Operating </t>
  </si>
  <si>
    <t>Capital Reserve Fund Deposits</t>
  </si>
  <si>
    <t>Self Supporting Funds Approp.</t>
  </si>
  <si>
    <t>Subtotal Appropriations</t>
  </si>
  <si>
    <t>Revenues</t>
  </si>
  <si>
    <t>General Fund Non - Tax Revenues</t>
  </si>
  <si>
    <t>Motor Vehicle Road Infrastr. Rev.</t>
  </si>
  <si>
    <t>Self Supporting Funds Revenue</t>
  </si>
  <si>
    <t>Subtotal Revenue</t>
  </si>
  <si>
    <t>Overlay (for abatements)</t>
  </si>
  <si>
    <t>Veterans' Credits</t>
  </si>
  <si>
    <t>To Be Raised By Taxes</t>
  </si>
  <si>
    <t>Divide by Town Value</t>
  </si>
  <si>
    <t>APPROPRIATIONS</t>
  </si>
  <si>
    <t>CRF Deposits</t>
  </si>
  <si>
    <t>Gen. Govt.-Computers</t>
  </si>
  <si>
    <t>Assessing - Reval.</t>
  </si>
  <si>
    <t>Fire- Ambulance</t>
  </si>
  <si>
    <t>Fire-Trucks</t>
  </si>
  <si>
    <t>Communications-Equipt.</t>
  </si>
  <si>
    <t>DPW Equipt.</t>
  </si>
  <si>
    <t>DPW Roads &amp; Bridges</t>
  </si>
  <si>
    <t>DPW- DW Highway</t>
  </si>
  <si>
    <t>Solid Waste- Equipt.</t>
  </si>
  <si>
    <t>Subtotal CRF Deposits</t>
  </si>
  <si>
    <t xml:space="preserve">Other Capital </t>
  </si>
  <si>
    <t>Subtotal Other Cap.</t>
  </si>
  <si>
    <t>General Fund Totals</t>
  </si>
  <si>
    <t>Increase</t>
  </si>
  <si>
    <t>(Decrease)</t>
  </si>
  <si>
    <t>Subtotal G/F Operating</t>
  </si>
  <si>
    <t>Police- Vehicles</t>
  </si>
  <si>
    <t>Self Supporting Funds</t>
  </si>
  <si>
    <t>Grand Totals All Funds</t>
  </si>
  <si>
    <t>GIS</t>
  </si>
  <si>
    <t>Gen. Govt. - Milfoil</t>
  </si>
  <si>
    <t>Traffic Signal Preemption</t>
  </si>
  <si>
    <t>Proposed</t>
  </si>
  <si>
    <t xml:space="preserve"> </t>
  </si>
  <si>
    <t xml:space="preserve"> Town Tax Rate</t>
  </si>
  <si>
    <t>REVENUE SUMMARY</t>
  </si>
  <si>
    <t>Revenue</t>
  </si>
  <si>
    <t>**</t>
  </si>
  <si>
    <t>Revenue Grand Totals All Funds</t>
  </si>
  <si>
    <t>** Detail of G/F Revenue Increases &amp; Decreases</t>
  </si>
  <si>
    <t>General Fund Revenue</t>
  </si>
  <si>
    <t>Miscellaneous</t>
  </si>
  <si>
    <t>TC Operating</t>
  </si>
  <si>
    <t>% Difference</t>
  </si>
  <si>
    <t xml:space="preserve">$ Difference </t>
  </si>
  <si>
    <t>Road Infrastructure</t>
  </si>
  <si>
    <t>Fund Balance</t>
  </si>
  <si>
    <t>General Fund Operating</t>
  </si>
  <si>
    <t xml:space="preserve">Other </t>
  </si>
  <si>
    <t>Capital</t>
  </si>
  <si>
    <t>Other Capital</t>
  </si>
  <si>
    <t>Gen. Govt. - Insurance trust</t>
  </si>
  <si>
    <t>Waste Water CRF</t>
  </si>
  <si>
    <t>Road Resurfacing/Sidewalks Expend</t>
  </si>
  <si>
    <t>Road/Sidewalk</t>
  </si>
  <si>
    <t>Fire - Mobile Radios</t>
  </si>
  <si>
    <t>Safer Grant</t>
  </si>
  <si>
    <t>GF Totals Before Safer Expend.</t>
  </si>
  <si>
    <t>TM Operating</t>
  </si>
  <si>
    <t>Grand Total</t>
  </si>
  <si>
    <t>Wate Water Phase V</t>
  </si>
  <si>
    <t>Building Permits</t>
  </si>
  <si>
    <t>2022-23 Voted Appropriations</t>
  </si>
  <si>
    <t xml:space="preserve">                                                            ** Includes $135,000 from the $5 motor vehilce permit fee RSA 261:153</t>
  </si>
  <si>
    <t>Other</t>
  </si>
  <si>
    <t>2023-24</t>
  </si>
  <si>
    <t>Highway - Updated Fuel Dist. Syst.</t>
  </si>
  <si>
    <t>Highway - Brine Storage Tank</t>
  </si>
  <si>
    <t>Solid Waste - Office Trailer</t>
  </si>
  <si>
    <t>Blgs &amp; Grounds - TH Sprinkler Syst.</t>
  </si>
  <si>
    <t>Blgs &amp; Grounds - Church Parking Lot</t>
  </si>
  <si>
    <t>Charges for Services</t>
  </si>
  <si>
    <t>P&amp;R - Athletic Fields</t>
  </si>
  <si>
    <t>Code Enforcement - Comp./Software</t>
  </si>
  <si>
    <t>2024-25</t>
  </si>
  <si>
    <t>2023-24 Voted Appropriations</t>
  </si>
  <si>
    <t>Gen Govt - Voting Machines</t>
  </si>
  <si>
    <t>Fire - Turn Out Gear</t>
  </si>
  <si>
    <t>Parks &amp; Recreation - Beach Phase IV</t>
  </si>
  <si>
    <t>Community Devel. - Master Plan</t>
  </si>
  <si>
    <t>Blgs &amp; Grounds - Ext. Building Repairs</t>
  </si>
  <si>
    <t>From 2023-24</t>
  </si>
  <si>
    <t>General Fund Non-Tax Revenue</t>
  </si>
  <si>
    <t>Insurance Rebates</t>
  </si>
  <si>
    <t>P&amp;R - Playgrounds</t>
  </si>
  <si>
    <t xml:space="preserve">Ambulance </t>
  </si>
  <si>
    <t>Electronic Recycling</t>
  </si>
  <si>
    <t>Other revenue building</t>
  </si>
  <si>
    <t>2024-25 TC Proposed Appropriations</t>
  </si>
  <si>
    <t xml:space="preserve">Total increase to General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</si>
</sst>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</numFmts>
  <fonts count="28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color rgb="FF002060"/>
      <name val="Arial"/>
      <family val="2"/>
    </font>
    <font>
      <b/>
      <u/>
      <sz val="12"/>
      <color rgb="FF002060"/>
      <name val="Arial"/>
      <family val="2"/>
    </font>
    <font>
      <u/>
      <sz val="12"/>
      <color rgb="FF00206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u/>
      <sz val="12"/>
      <color rgb="FF002060"/>
      <name val="Times New Roman"/>
      <family val="1"/>
    </font>
    <font>
      <u/>
      <sz val="12"/>
      <color rgb="FF002060"/>
      <name val="Times New Roman"/>
      <family val="1"/>
    </font>
    <font>
      <sz val="10"/>
      <name val="Times New Roman"/>
      <family val="1"/>
    </font>
    <font>
      <sz val="12"/>
      <color rgb="FF00196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Fill="1"/>
    <xf numFmtId="6" fontId="0" fillId="0" borderId="0" xfId="0" applyNumberFormat="1" applyFill="1"/>
    <xf numFmtId="0" fontId="0" fillId="0" borderId="1" xfId="0" applyFill="1" applyBorder="1"/>
    <xf numFmtId="6" fontId="2" fillId="2" borderId="2" xfId="0" applyNumberFormat="1" applyFont="1" applyFill="1" applyBorder="1" applyAlignment="1">
      <alignment horizontal="center"/>
    </xf>
    <xf numFmtId="6" fontId="2" fillId="3" borderId="2" xfId="0" applyNumberFormat="1" applyFont="1" applyFill="1" applyBorder="1" applyAlignment="1">
      <alignment horizontal="center"/>
    </xf>
    <xf numFmtId="6" fontId="2" fillId="4" borderId="2" xfId="0" applyNumberFormat="1" applyFont="1" applyFill="1" applyBorder="1" applyAlignment="1">
      <alignment horizontal="center"/>
    </xf>
    <xf numFmtId="6" fontId="2" fillId="5" borderId="2" xfId="0" applyNumberFormat="1" applyFont="1" applyFill="1" applyBorder="1" applyAlignment="1">
      <alignment horizontal="center"/>
    </xf>
    <xf numFmtId="6" fontId="2" fillId="0" borderId="3" xfId="0" applyNumberFormat="1" applyFont="1" applyFill="1" applyBorder="1" applyAlignment="1">
      <alignment horizontal="center"/>
    </xf>
    <xf numFmtId="6" fontId="2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6" fontId="4" fillId="2" borderId="5" xfId="0" applyNumberFormat="1" applyFont="1" applyFill="1" applyBorder="1" applyAlignment="1">
      <alignment horizontal="center"/>
    </xf>
    <xf numFmtId="6" fontId="4" fillId="3" borderId="5" xfId="0" applyNumberFormat="1" applyFont="1" applyFill="1" applyBorder="1" applyAlignment="1">
      <alignment horizontal="center"/>
    </xf>
    <xf numFmtId="6" fontId="4" fillId="4" borderId="5" xfId="0" applyNumberFormat="1" applyFont="1" applyFill="1" applyBorder="1" applyAlignment="1">
      <alignment horizontal="center"/>
    </xf>
    <xf numFmtId="6" fontId="4" fillId="5" borderId="5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6" fontId="4" fillId="0" borderId="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4" xfId="0" applyFill="1" applyBorder="1"/>
    <xf numFmtId="6" fontId="0" fillId="2" borderId="5" xfId="0" applyNumberFormat="1" applyFill="1" applyBorder="1"/>
    <xf numFmtId="6" fontId="0" fillId="3" borderId="5" xfId="0" applyNumberFormat="1" applyFill="1" applyBorder="1"/>
    <xf numFmtId="6" fontId="0" fillId="4" borderId="5" xfId="0" applyNumberFormat="1" applyFill="1" applyBorder="1"/>
    <xf numFmtId="6" fontId="0" fillId="5" borderId="5" xfId="0" applyNumberFormat="1" applyFill="1" applyBorder="1"/>
    <xf numFmtId="6" fontId="0" fillId="0" borderId="4" xfId="0" applyNumberFormat="1" applyFill="1" applyBorder="1"/>
    <xf numFmtId="6" fontId="3" fillId="5" borderId="5" xfId="0" applyNumberFormat="1" applyFont="1" applyFill="1" applyBorder="1"/>
    <xf numFmtId="42" fontId="5" fillId="2" borderId="5" xfId="0" applyNumberFormat="1" applyFont="1" applyFill="1" applyBorder="1"/>
    <xf numFmtId="42" fontId="5" fillId="3" borderId="5" xfId="0" applyNumberFormat="1" applyFont="1" applyFill="1" applyBorder="1"/>
    <xf numFmtId="42" fontId="5" fillId="4" borderId="5" xfId="0" applyNumberFormat="1" applyFont="1" applyFill="1" applyBorder="1"/>
    <xf numFmtId="42" fontId="5" fillId="5" borderId="5" xfId="0" applyNumberFormat="1" applyFont="1" applyFill="1" applyBorder="1"/>
    <xf numFmtId="6" fontId="5" fillId="0" borderId="6" xfId="0" applyNumberFormat="1" applyFont="1" applyFill="1" applyBorder="1"/>
    <xf numFmtId="6" fontId="5" fillId="0" borderId="4" xfId="0" applyNumberFormat="1" applyFont="1" applyFill="1" applyBorder="1"/>
    <xf numFmtId="0" fontId="2" fillId="0" borderId="7" xfId="0" applyFont="1" applyFill="1" applyBorder="1"/>
    <xf numFmtId="6" fontId="2" fillId="2" borderId="8" xfId="0" applyNumberFormat="1" applyFont="1" applyFill="1" applyBorder="1"/>
    <xf numFmtId="6" fontId="2" fillId="3" borderId="8" xfId="0" applyNumberFormat="1" applyFont="1" applyFill="1" applyBorder="1"/>
    <xf numFmtId="6" fontId="2" fillId="4" borderId="8" xfId="0" applyNumberFormat="1" applyFont="1" applyFill="1" applyBorder="1"/>
    <xf numFmtId="6" fontId="2" fillId="5" borderId="8" xfId="0" applyNumberFormat="1" applyFont="1" applyFill="1" applyBorder="1"/>
    <xf numFmtId="6" fontId="2" fillId="6" borderId="9" xfId="0" applyNumberFormat="1" applyFont="1" applyFill="1" applyBorder="1"/>
    <xf numFmtId="6" fontId="2" fillId="7" borderId="7" xfId="0" applyNumberFormat="1" applyFont="1" applyFill="1" applyBorder="1"/>
    <xf numFmtId="0" fontId="4" fillId="8" borderId="5" xfId="0" applyFont="1" applyFill="1" applyBorder="1"/>
    <xf numFmtId="6" fontId="2" fillId="8" borderId="5" xfId="0" applyNumberFormat="1" applyFont="1" applyFill="1" applyBorder="1"/>
    <xf numFmtId="6" fontId="0" fillId="8" borderId="5" xfId="0" applyNumberFormat="1" applyFill="1" applyBorder="1"/>
    <xf numFmtId="0" fontId="0" fillId="8" borderId="5" xfId="0" applyFill="1" applyBorder="1"/>
    <xf numFmtId="6" fontId="0" fillId="11" borderId="5" xfId="0" applyNumberFormat="1" applyFill="1" applyBorder="1"/>
    <xf numFmtId="0" fontId="3" fillId="8" borderId="5" xfId="0" applyFont="1" applyFill="1" applyBorder="1"/>
    <xf numFmtId="42" fontId="6" fillId="8" borderId="5" xfId="0" applyNumberFormat="1" applyFont="1" applyFill="1" applyBorder="1"/>
    <xf numFmtId="0" fontId="4" fillId="0" borderId="0" xfId="0" applyFont="1" applyFill="1"/>
    <xf numFmtId="0" fontId="8" fillId="0" borderId="0" xfId="0" applyFont="1"/>
    <xf numFmtId="6" fontId="8" fillId="0" borderId="0" xfId="0" applyNumberFormat="1" applyFont="1"/>
    <xf numFmtId="6" fontId="0" fillId="0" borderId="0" xfId="0" applyNumberFormat="1"/>
    <xf numFmtId="0" fontId="8" fillId="0" borderId="0" xfId="0" applyFont="1" applyBorder="1"/>
    <xf numFmtId="0" fontId="9" fillId="9" borderId="10" xfId="0" applyFont="1" applyFill="1" applyBorder="1"/>
    <xf numFmtId="0" fontId="0" fillId="0" borderId="0" xfId="0" applyBorder="1"/>
    <xf numFmtId="0" fontId="10" fillId="0" borderId="0" xfId="0" applyFont="1" applyBorder="1"/>
    <xf numFmtId="0" fontId="9" fillId="0" borderId="0" xfId="0" applyFont="1" applyBorder="1"/>
    <xf numFmtId="6" fontId="0" fillId="0" borderId="12" xfId="0" applyNumberFormat="1" applyFill="1" applyBorder="1"/>
    <xf numFmtId="6" fontId="0" fillId="0" borderId="0" xfId="0" applyNumberFormat="1" applyFill="1" applyBorder="1"/>
    <xf numFmtId="0" fontId="0" fillId="0" borderId="13" xfId="0" applyFill="1" applyBorder="1"/>
    <xf numFmtId="6" fontId="2" fillId="0" borderId="12" xfId="0" applyNumberFormat="1" applyFont="1" applyFill="1" applyBorder="1"/>
    <xf numFmtId="6" fontId="2" fillId="0" borderId="0" xfId="0" applyNumberFormat="1" applyFont="1" applyFill="1" applyBorder="1"/>
    <xf numFmtId="6" fontId="2" fillId="8" borderId="4" xfId="0" applyNumberFormat="1" applyFont="1" applyFill="1" applyBorder="1"/>
    <xf numFmtId="0" fontId="0" fillId="8" borderId="6" xfId="0" applyFill="1" applyBorder="1"/>
    <xf numFmtId="6" fontId="0" fillId="8" borderId="4" xfId="0" applyNumberFormat="1" applyFill="1" applyBorder="1"/>
    <xf numFmtId="6" fontId="0" fillId="11" borderId="6" xfId="0" applyNumberFormat="1" applyFill="1" applyBorder="1"/>
    <xf numFmtId="6" fontId="2" fillId="8" borderId="6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6" fontId="15" fillId="0" borderId="0" xfId="0" applyNumberFormat="1" applyFont="1" applyFill="1"/>
    <xf numFmtId="6" fontId="15" fillId="0" borderId="0" xfId="0" applyNumberFormat="1" applyFont="1"/>
    <xf numFmtId="0" fontId="15" fillId="0" borderId="0" xfId="0" applyFont="1"/>
    <xf numFmtId="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6" fontId="17" fillId="0" borderId="0" xfId="0" applyNumberFormat="1" applyFont="1"/>
    <xf numFmtId="6" fontId="18" fillId="0" borderId="0" xfId="0" applyNumberFormat="1" applyFont="1"/>
    <xf numFmtId="5" fontId="0" fillId="0" borderId="0" xfId="0" applyNumberFormat="1"/>
    <xf numFmtId="0" fontId="13" fillId="0" borderId="0" xfId="0" applyFont="1"/>
    <xf numFmtId="5" fontId="11" fillId="0" borderId="0" xfId="0" applyNumberFormat="1" applyFont="1" applyAlignment="1">
      <alignment horizontal="center"/>
    </xf>
    <xf numFmtId="5" fontId="12" fillId="0" borderId="0" xfId="0" applyNumberFormat="1" applyFont="1" applyAlignment="1">
      <alignment horizontal="center"/>
    </xf>
    <xf numFmtId="5" fontId="13" fillId="0" borderId="0" xfId="0" applyNumberFormat="1" applyFont="1" applyFill="1"/>
    <xf numFmtId="5" fontId="13" fillId="5" borderId="0" xfId="0" applyNumberFormat="1" applyFont="1" applyFill="1"/>
    <xf numFmtId="5" fontId="11" fillId="0" borderId="0" xfId="0" applyNumberFormat="1" applyFont="1" applyFill="1"/>
    <xf numFmtId="5" fontId="13" fillId="0" borderId="0" xfId="0" applyNumberFormat="1" applyFont="1"/>
    <xf numFmtId="5" fontId="11" fillId="0" borderId="0" xfId="0" applyNumberFormat="1" applyFont="1"/>
    <xf numFmtId="0" fontId="13" fillId="10" borderId="11" xfId="0" applyFont="1" applyFill="1" applyBorder="1"/>
    <xf numFmtId="5" fontId="13" fillId="0" borderId="0" xfId="0" applyNumberFormat="1" applyFont="1" applyBorder="1"/>
    <xf numFmtId="7" fontId="11" fillId="9" borderId="11" xfId="0" applyNumberFormat="1" applyFont="1" applyFill="1" applyBorder="1"/>
    <xf numFmtId="0" fontId="3" fillId="0" borderId="0" xfId="0" applyFont="1"/>
    <xf numFmtId="0" fontId="3" fillId="5" borderId="0" xfId="0" applyFont="1" applyFill="1"/>
    <xf numFmtId="0" fontId="2" fillId="0" borderId="0" xfId="0" applyFont="1"/>
    <xf numFmtId="0" fontId="3" fillId="10" borderId="10" xfId="0" applyFont="1" applyFill="1" applyBorder="1"/>
    <xf numFmtId="0" fontId="3" fillId="0" borderId="0" xfId="0" applyFont="1" applyBorder="1"/>
    <xf numFmtId="6" fontId="3" fillId="0" borderId="4" xfId="0" applyNumberFormat="1" applyFont="1" applyFill="1" applyBorder="1"/>
    <xf numFmtId="6" fontId="13" fillId="0" borderId="0" xfId="0" applyNumberFormat="1" applyFont="1"/>
    <xf numFmtId="6" fontId="13" fillId="0" borderId="0" xfId="0" applyNumberFormat="1" applyFont="1" applyBorder="1"/>
    <xf numFmtId="8" fontId="13" fillId="0" borderId="0" xfId="0" applyNumberFormat="1" applyFont="1" applyBorder="1"/>
    <xf numFmtId="6" fontId="19" fillId="0" borderId="0" xfId="0" applyNumberFormat="1" applyFont="1" applyFill="1"/>
    <xf numFmtId="0" fontId="19" fillId="0" borderId="0" xfId="0" applyFont="1"/>
    <xf numFmtId="6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6" fontId="21" fillId="0" borderId="0" xfId="0" applyNumberFormat="1" applyFont="1" applyAlignment="1">
      <alignment horizontal="center"/>
    </xf>
    <xf numFmtId="6" fontId="21" fillId="0" borderId="0" xfId="0" applyNumberFormat="1" applyFont="1" applyFill="1" applyAlignment="1">
      <alignment horizontal="center"/>
    </xf>
    <xf numFmtId="6" fontId="19" fillId="0" borderId="0" xfId="0" applyNumberFormat="1" applyFont="1"/>
    <xf numFmtId="6" fontId="20" fillId="0" borderId="0" xfId="0" applyNumberFormat="1" applyFont="1"/>
    <xf numFmtId="10" fontId="19" fillId="0" borderId="0" xfId="0" applyNumberFormat="1" applyFont="1" applyFill="1"/>
    <xf numFmtId="6" fontId="22" fillId="0" borderId="0" xfId="0" applyNumberFormat="1" applyFont="1" applyFill="1"/>
    <xf numFmtId="6" fontId="22" fillId="0" borderId="0" xfId="0" applyNumberFormat="1" applyFont="1"/>
    <xf numFmtId="0" fontId="20" fillId="6" borderId="0" xfId="0" applyFont="1" applyFill="1"/>
    <xf numFmtId="6" fontId="20" fillId="6" borderId="0" xfId="0" applyNumberFormat="1" applyFont="1" applyFill="1"/>
    <xf numFmtId="5" fontId="20" fillId="12" borderId="0" xfId="0" applyNumberFormat="1" applyFont="1" applyFill="1"/>
    <xf numFmtId="0" fontId="20" fillId="0" borderId="0" xfId="0" applyFont="1"/>
    <xf numFmtId="6" fontId="20" fillId="0" borderId="0" xfId="0" applyNumberFormat="1" applyFont="1" applyFill="1"/>
    <xf numFmtId="0" fontId="21" fillId="0" borderId="0" xfId="0" applyFont="1"/>
    <xf numFmtId="0" fontId="20" fillId="2" borderId="0" xfId="0" applyFont="1" applyFill="1"/>
    <xf numFmtId="6" fontId="20" fillId="2" borderId="0" xfId="0" applyNumberFormat="1" applyFont="1" applyFill="1"/>
    <xf numFmtId="0" fontId="20" fillId="3" borderId="0" xfId="0" applyFont="1" applyFill="1"/>
    <xf numFmtId="6" fontId="20" fillId="3" borderId="0" xfId="0" applyNumberFormat="1" applyFont="1" applyFill="1"/>
    <xf numFmtId="0" fontId="21" fillId="4" borderId="0" xfId="0" applyFont="1" applyFill="1"/>
    <xf numFmtId="6" fontId="20" fillId="4" borderId="0" xfId="0" applyNumberFormat="1" applyFont="1" applyFill="1"/>
    <xf numFmtId="6" fontId="21" fillId="5" borderId="0" xfId="0" applyNumberFormat="1" applyFont="1" applyFill="1"/>
    <xf numFmtId="6" fontId="21" fillId="0" borderId="0" xfId="0" applyNumberFormat="1" applyFont="1" applyFill="1"/>
    <xf numFmtId="0" fontId="20" fillId="7" borderId="10" xfId="0" applyFont="1" applyFill="1" applyBorder="1"/>
    <xf numFmtId="6" fontId="20" fillId="7" borderId="11" xfId="0" applyNumberFormat="1" applyFont="1" applyFill="1" applyBorder="1"/>
    <xf numFmtId="0" fontId="21" fillId="8" borderId="0" xfId="0" applyFont="1" applyFill="1"/>
    <xf numFmtId="0" fontId="19" fillId="8" borderId="0" xfId="0" applyFont="1" applyFill="1"/>
    <xf numFmtId="0" fontId="19" fillId="11" borderId="0" xfId="0" applyFont="1" applyFill="1"/>
    <xf numFmtId="6" fontId="19" fillId="11" borderId="0" xfId="0" applyNumberFormat="1" applyFont="1" applyFill="1"/>
    <xf numFmtId="0" fontId="13" fillId="8" borderId="0" xfId="0" applyFont="1" applyFill="1" applyBorder="1"/>
    <xf numFmtId="6" fontId="19" fillId="8" borderId="0" xfId="0" applyNumberFormat="1" applyFont="1" applyFill="1"/>
    <xf numFmtId="6" fontId="22" fillId="8" borderId="0" xfId="0" applyNumberFormat="1" applyFont="1" applyFill="1"/>
    <xf numFmtId="6" fontId="21" fillId="8" borderId="0" xfId="0" applyNumberFormat="1" applyFont="1" applyFill="1"/>
    <xf numFmtId="5" fontId="8" fillId="0" borderId="0" xfId="3" applyNumberFormat="1" applyFont="1"/>
    <xf numFmtId="5" fontId="10" fillId="0" borderId="0" xfId="3" applyNumberFormat="1" applyFont="1" applyAlignment="1">
      <alignment horizontal="center"/>
    </xf>
    <xf numFmtId="5" fontId="9" fillId="10" borderId="0" xfId="3" applyNumberFormat="1" applyFont="1" applyFill="1"/>
    <xf numFmtId="5" fontId="8" fillId="10" borderId="0" xfId="3" applyNumberFormat="1" applyFont="1" applyFill="1"/>
    <xf numFmtId="5" fontId="9" fillId="0" borderId="0" xfId="3" applyNumberFormat="1" applyFont="1" applyFill="1"/>
    <xf numFmtId="5" fontId="8" fillId="0" borderId="0" xfId="3" applyNumberFormat="1" applyFont="1" applyFill="1"/>
    <xf numFmtId="5" fontId="9" fillId="0" borderId="0" xfId="3" applyNumberFormat="1" applyFont="1"/>
    <xf numFmtId="5" fontId="9" fillId="5" borderId="0" xfId="3" applyNumberFormat="1" applyFont="1" applyFill="1"/>
    <xf numFmtId="5" fontId="8" fillId="5" borderId="0" xfId="3" applyNumberFormat="1" applyFont="1" applyFill="1"/>
    <xf numFmtId="5" fontId="9" fillId="8" borderId="0" xfId="3" applyNumberFormat="1" applyFont="1" applyFill="1"/>
    <xf numFmtId="5" fontId="8" fillId="8" borderId="0" xfId="3" applyNumberFormat="1" applyFont="1" applyFill="1"/>
    <xf numFmtId="5" fontId="9" fillId="0" borderId="10" xfId="3" applyNumberFormat="1" applyFont="1" applyBorder="1"/>
    <xf numFmtId="5" fontId="9" fillId="0" borderId="11" xfId="3" applyNumberFormat="1" applyFont="1" applyBorder="1"/>
    <xf numFmtId="5" fontId="10" fillId="10" borderId="14" xfId="3" applyNumberFormat="1" applyFont="1" applyFill="1" applyBorder="1"/>
    <xf numFmtId="5" fontId="8" fillId="10" borderId="15" xfId="3" applyNumberFormat="1" applyFont="1" applyFill="1" applyBorder="1"/>
    <xf numFmtId="5" fontId="8" fillId="10" borderId="12" xfId="3" applyNumberFormat="1" applyFont="1" applyFill="1" applyBorder="1"/>
    <xf numFmtId="5" fontId="10" fillId="10" borderId="12" xfId="3" applyNumberFormat="1" applyFont="1" applyFill="1" applyBorder="1"/>
    <xf numFmtId="5" fontId="9" fillId="10" borderId="12" xfId="3" applyNumberFormat="1" applyFont="1" applyFill="1" applyBorder="1"/>
    <xf numFmtId="5" fontId="9" fillId="10" borderId="7" xfId="3" applyNumberFormat="1" applyFont="1" applyFill="1" applyBorder="1"/>
    <xf numFmtId="5" fontId="11" fillId="14" borderId="11" xfId="0" applyNumberFormat="1" applyFont="1" applyFill="1" applyBorder="1"/>
    <xf numFmtId="0" fontId="4" fillId="15" borderId="0" xfId="0" applyFont="1" applyFill="1"/>
    <xf numFmtId="0" fontId="2" fillId="15" borderId="10" xfId="0" applyFont="1" applyFill="1" applyBorder="1"/>
    <xf numFmtId="7" fontId="11" fillId="15" borderId="11" xfId="0" applyNumberFormat="1" applyFont="1" applyFill="1" applyBorder="1"/>
    <xf numFmtId="0" fontId="11" fillId="15" borderId="11" xfId="0" applyFont="1" applyFill="1" applyBorder="1"/>
    <xf numFmtId="6" fontId="21" fillId="0" borderId="0" xfId="0" applyNumberFormat="1" applyFont="1"/>
    <xf numFmtId="6" fontId="3" fillId="0" borderId="6" xfId="0" applyNumberFormat="1" applyFont="1" applyFill="1" applyBorder="1"/>
    <xf numFmtId="6" fontId="20" fillId="5" borderId="0" xfId="0" applyNumberFormat="1" applyFont="1" applyFill="1"/>
    <xf numFmtId="0" fontId="3" fillId="11" borderId="0" xfId="0" applyFont="1" applyFill="1"/>
    <xf numFmtId="5" fontId="14" fillId="11" borderId="0" xfId="0" applyNumberFormat="1" applyFont="1" applyFill="1"/>
    <xf numFmtId="0" fontId="9" fillId="0" borderId="5" xfId="0" applyFont="1" applyFill="1" applyBorder="1"/>
    <xf numFmtId="6" fontId="9" fillId="0" borderId="4" xfId="0" applyNumberFormat="1" applyFont="1" applyFill="1" applyBorder="1"/>
    <xf numFmtId="5" fontId="9" fillId="0" borderId="0" xfId="3" applyNumberFormat="1" applyFont="1" applyAlignment="1">
      <alignment horizontal="center"/>
    </xf>
    <xf numFmtId="5" fontId="13" fillId="13" borderId="0" xfId="0" applyNumberFormat="1" applyFont="1" applyFill="1"/>
    <xf numFmtId="41" fontId="23" fillId="0" borderId="0" xfId="0" applyNumberFormat="1" applyFont="1" applyFill="1"/>
    <xf numFmtId="6" fontId="24" fillId="8" borderId="0" xfId="0" applyNumberFormat="1" applyFont="1" applyFill="1" applyBorder="1"/>
    <xf numFmtId="6" fontId="11" fillId="0" borderId="0" xfId="0" applyNumberFormat="1" applyFont="1" applyAlignment="1">
      <alignment horizontal="center"/>
    </xf>
    <xf numFmtId="6" fontId="3" fillId="8" borderId="4" xfId="0" applyNumberFormat="1" applyFont="1" applyFill="1" applyBorder="1"/>
    <xf numFmtId="42" fontId="3" fillId="8" borderId="5" xfId="0" applyNumberFormat="1" applyFont="1" applyFill="1" applyBorder="1"/>
    <xf numFmtId="6" fontId="3" fillId="11" borderId="6" xfId="0" applyNumberFormat="1" applyFont="1" applyFill="1" applyBorder="1"/>
    <xf numFmtId="0" fontId="2" fillId="0" borderId="0" xfId="0" applyFont="1" applyFill="1" applyBorder="1" applyAlignment="1"/>
    <xf numFmtId="164" fontId="13" fillId="0" borderId="0" xfId="0" applyNumberFormat="1" applyFont="1" applyBorder="1"/>
    <xf numFmtId="0" fontId="15" fillId="0" borderId="0" xfId="0" applyFont="1" applyFill="1"/>
    <xf numFmtId="0" fontId="9" fillId="0" borderId="0" xfId="0" applyFont="1" applyFill="1" applyBorder="1"/>
    <xf numFmtId="6" fontId="9" fillId="0" borderId="12" xfId="0" applyNumberFormat="1" applyFont="1" applyFill="1" applyBorder="1"/>
    <xf numFmtId="6" fontId="9" fillId="0" borderId="0" xfId="0" applyNumberFormat="1" applyFont="1" applyFill="1" applyBorder="1"/>
    <xf numFmtId="42" fontId="6" fillId="8" borderId="18" xfId="0" applyNumberFormat="1" applyFont="1" applyFill="1" applyBorder="1"/>
    <xf numFmtId="42" fontId="6" fillId="8" borderId="4" xfId="0" applyNumberFormat="1" applyFont="1" applyFill="1" applyBorder="1"/>
    <xf numFmtId="5" fontId="13" fillId="0" borderId="16" xfId="0" applyNumberFormat="1" applyFont="1" applyBorder="1"/>
    <xf numFmtId="6" fontId="12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5" applyNumberFormat="1" applyFont="1" applyFill="1" applyBorder="1" applyAlignment="1"/>
    <xf numFmtId="0" fontId="9" fillId="0" borderId="0" xfId="0" applyFont="1" applyFill="1" applyAlignment="1">
      <alignment horizontal="center" vertical="center" wrapText="1"/>
    </xf>
    <xf numFmtId="6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6" fontId="2" fillId="0" borderId="0" xfId="0" applyNumberFormat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6" fontId="3" fillId="0" borderId="0" xfId="0" applyNumberFormat="1" applyFont="1" applyFill="1" applyBorder="1"/>
    <xf numFmtId="6" fontId="5" fillId="0" borderId="0" xfId="0" applyNumberFormat="1" applyFont="1" applyFill="1" applyBorder="1"/>
    <xf numFmtId="6" fontId="2" fillId="6" borderId="0" xfId="0" applyNumberFormat="1" applyFont="1" applyFill="1" applyBorder="1"/>
    <xf numFmtId="0" fontId="0" fillId="8" borderId="0" xfId="0" applyFill="1" applyBorder="1"/>
    <xf numFmtId="6" fontId="0" fillId="11" borderId="0" xfId="0" applyNumberFormat="1" applyFill="1" applyBorder="1"/>
    <xf numFmtId="6" fontId="3" fillId="11" borderId="0" xfId="0" applyNumberFormat="1" applyFont="1" applyFill="1" applyBorder="1"/>
    <xf numFmtId="42" fontId="6" fillId="8" borderId="0" xfId="0" applyNumberFormat="1" applyFont="1" applyFill="1" applyBorder="1"/>
    <xf numFmtId="6" fontId="2" fillId="8" borderId="0" xfId="0" applyNumberFormat="1" applyFont="1" applyFill="1" applyBorder="1"/>
    <xf numFmtId="6" fontId="1" fillId="0" borderId="0" xfId="0" applyNumberFormat="1" applyFont="1" applyFill="1" applyAlignment="1"/>
    <xf numFmtId="0" fontId="9" fillId="0" borderId="0" xfId="0" applyFont="1" applyFill="1" applyAlignment="1">
      <alignment vertical="center" wrapText="1"/>
    </xf>
    <xf numFmtId="10" fontId="20" fillId="2" borderId="0" xfId="7" applyNumberFormat="1" applyFont="1" applyFill="1"/>
    <xf numFmtId="166" fontId="20" fillId="12" borderId="0" xfId="7" applyNumberFormat="1" applyFont="1" applyFill="1"/>
    <xf numFmtId="10" fontId="20" fillId="3" borderId="0" xfId="7" applyNumberFormat="1" applyFont="1" applyFill="1"/>
    <xf numFmtId="10" fontId="19" fillId="0" borderId="0" xfId="7" applyNumberFormat="1" applyFont="1"/>
    <xf numFmtId="10" fontId="20" fillId="4" borderId="0" xfId="7" applyNumberFormat="1" applyFont="1" applyFill="1"/>
    <xf numFmtId="10" fontId="20" fillId="0" borderId="0" xfId="7" applyNumberFormat="1" applyFont="1"/>
    <xf numFmtId="10" fontId="20" fillId="7" borderId="11" xfId="7" applyNumberFormat="1" applyFont="1" applyFill="1" applyBorder="1"/>
    <xf numFmtId="10" fontId="20" fillId="5" borderId="0" xfId="7" applyNumberFormat="1" applyFont="1" applyFill="1"/>
    <xf numFmtId="10" fontId="20" fillId="0" borderId="0" xfId="7" applyNumberFormat="1" applyFont="1" applyAlignment="1">
      <alignment horizontal="center"/>
    </xf>
    <xf numFmtId="10" fontId="21" fillId="0" borderId="0" xfId="7" applyNumberFormat="1" applyFont="1" applyFill="1" applyAlignment="1">
      <alignment horizontal="center"/>
    </xf>
    <xf numFmtId="167" fontId="2" fillId="0" borderId="0" xfId="6" applyNumberFormat="1" applyFont="1" applyFill="1" applyBorder="1" applyAlignment="1"/>
    <xf numFmtId="10" fontId="24" fillId="8" borderId="0" xfId="7" applyNumberFormat="1" applyFont="1" applyFill="1" applyBorder="1"/>
    <xf numFmtId="10" fontId="21" fillId="8" borderId="0" xfId="7" applyNumberFormat="1" applyFont="1" applyFill="1"/>
    <xf numFmtId="10" fontId="13" fillId="0" borderId="0" xfId="7" applyNumberFormat="1" applyFont="1" applyFill="1"/>
    <xf numFmtId="10" fontId="13" fillId="13" borderId="0" xfId="7" applyNumberFormat="1" applyFont="1" applyFill="1"/>
    <xf numFmtId="10" fontId="14" fillId="11" borderId="0" xfId="7" applyNumberFormat="1" applyFont="1" applyFill="1"/>
    <xf numFmtId="10" fontId="11" fillId="0" borderId="0" xfId="7" applyNumberFormat="1" applyFont="1"/>
    <xf numFmtId="10" fontId="11" fillId="0" borderId="0" xfId="7" applyNumberFormat="1" applyFont="1" applyFill="1"/>
    <xf numFmtId="10" fontId="13" fillId="0" borderId="0" xfId="7" applyNumberFormat="1" applyFont="1"/>
    <xf numFmtId="10" fontId="13" fillId="5" borderId="0" xfId="7" applyNumberFormat="1" applyFont="1" applyFill="1"/>
    <xf numFmtId="10" fontId="13" fillId="0" borderId="0" xfId="7" applyNumberFormat="1" applyFont="1" applyBorder="1"/>
    <xf numFmtId="10" fontId="11" fillId="14" borderId="11" xfId="7" applyNumberFormat="1" applyFont="1" applyFill="1" applyBorder="1"/>
    <xf numFmtId="10" fontId="11" fillId="15" borderId="11" xfId="7" applyNumberFormat="1" applyFont="1" applyFill="1" applyBorder="1"/>
    <xf numFmtId="0" fontId="9" fillId="10" borderId="13" xfId="3" applyNumberFormat="1" applyFont="1" applyFill="1" applyBorder="1" applyAlignment="1">
      <alignment horizontal="center"/>
    </xf>
    <xf numFmtId="5" fontId="9" fillId="10" borderId="13" xfId="3" applyNumberFormat="1" applyFont="1" applyFill="1" applyBorder="1"/>
    <xf numFmtId="5" fontId="9" fillId="10" borderId="9" xfId="3" applyNumberFormat="1" applyFont="1" applyFill="1" applyBorder="1"/>
    <xf numFmtId="6" fontId="2" fillId="0" borderId="0" xfId="0" applyNumberFormat="1" applyFont="1" applyFill="1" applyBorder="1" applyAlignment="1"/>
    <xf numFmtId="0" fontId="19" fillId="0" borderId="0" xfId="0" applyFont="1" applyAlignment="1">
      <alignment wrapText="1"/>
    </xf>
    <xf numFmtId="6" fontId="21" fillId="4" borderId="0" xfId="0" applyNumberFormat="1" applyFont="1" applyFill="1"/>
    <xf numFmtId="0" fontId="20" fillId="0" borderId="0" xfId="0" applyFont="1" applyAlignment="1">
      <alignment wrapText="1"/>
    </xf>
    <xf numFmtId="42" fontId="20" fillId="0" borderId="0" xfId="0" applyNumberFormat="1" applyFont="1" applyAlignment="1">
      <alignment wrapText="1"/>
    </xf>
    <xf numFmtId="0" fontId="21" fillId="0" borderId="0" xfId="0" applyFont="1" applyAlignment="1">
      <alignment horizontal="center"/>
    </xf>
    <xf numFmtId="6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6" fontId="1" fillId="0" borderId="14" xfId="0" applyNumberFormat="1" applyFont="1" applyFill="1" applyBorder="1" applyAlignment="1">
      <alignment horizontal="center"/>
    </xf>
    <xf numFmtId="6" fontId="1" fillId="0" borderId="17" xfId="0" applyNumberFormat="1" applyFont="1" applyFill="1" applyBorder="1" applyAlignment="1">
      <alignment horizontal="center"/>
    </xf>
    <xf numFmtId="6" fontId="1" fillId="0" borderId="15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6" fontId="1" fillId="0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5" fontId="9" fillId="0" borderId="0" xfId="3" applyNumberFormat="1" applyFont="1" applyAlignment="1">
      <alignment horizontal="center"/>
    </xf>
    <xf numFmtId="5" fontId="8" fillId="0" borderId="0" xfId="3" applyNumberFormat="1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Comma" xfId="6" builtinId="3"/>
    <cellStyle name="Comma 2" xfId="1"/>
    <cellStyle name="Currency" xfId="5" builtinId="4"/>
    <cellStyle name="Currency 2" xfId="2"/>
    <cellStyle name="Normal" xfId="0" builtinId="0"/>
    <cellStyle name="Normal 2" xfId="3"/>
    <cellStyle name="Percent" xfId="7" builtinId="5"/>
    <cellStyle name="Percent 2" xfId="4"/>
  </cellStyles>
  <dxfs count="0"/>
  <tableStyles count="0" defaultTableStyle="TableStyleMedium2" defaultPivotStyle="PivotStyleLight16"/>
  <colors>
    <mruColors>
      <color rgb="FFD9D9D9"/>
      <color rgb="FFCCFFFF"/>
      <color rgb="FF002060"/>
      <color rgb="FF1212E0"/>
      <color rgb="FF00196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icali\AppData\Local\Microsoft\Windows\INetCache\Content.Outlook\V9AHG71E\Department%20Draft%206.%202024-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RATE (all)"/>
      <sheetName val="TAX RATE (op budget)"/>
      <sheetName val="TAX RATE (crf)"/>
      <sheetName val="SUMMARY BY FUND"/>
      <sheetName val="CRF"/>
      <sheetName val="crf funding"/>
      <sheetName val="revenue  (2)"/>
      <sheetName val="revenue "/>
      <sheetName val="535 Expenditures"/>
      <sheetName val="535 Revenues"/>
      <sheetName val="2022-23 Actuals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  <sheetName val="Sheet1"/>
      <sheetName val="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view="pageBreakPreview" zoomScaleNormal="100" zoomScaleSheetLayoutView="100" workbookViewId="0">
      <selection activeCell="A3" sqref="A3:D22"/>
    </sheetView>
  </sheetViews>
  <sheetFormatPr defaultColWidth="8.83203125" defaultRowHeight="15.3" x14ac:dyDescent="0.55000000000000004"/>
  <cols>
    <col min="1" max="1" width="34.609375" style="97" bestFit="1" customWidth="1"/>
    <col min="2" max="2" width="2.71875" style="102" customWidth="1"/>
    <col min="3" max="3" width="18" style="102" customWidth="1"/>
    <col min="4" max="4" width="15.71875" style="96" customWidth="1"/>
    <col min="5" max="9" width="15.71875" style="69" customWidth="1"/>
    <col min="10" max="16384" width="8.83203125" style="70"/>
  </cols>
  <sheetData>
    <row r="1" spans="1:8" ht="15" x14ac:dyDescent="0.5">
      <c r="A1" s="230" t="s">
        <v>51</v>
      </c>
      <c r="B1" s="230"/>
      <c r="C1" s="230"/>
      <c r="D1" s="230"/>
    </row>
    <row r="2" spans="1:8" x14ac:dyDescent="0.55000000000000004">
      <c r="B2" s="98"/>
      <c r="C2" s="98" t="s">
        <v>66</v>
      </c>
      <c r="E2" s="231"/>
      <c r="F2" s="231"/>
      <c r="G2" s="231"/>
      <c r="H2" s="231"/>
    </row>
    <row r="3" spans="1:8" s="69" customFormat="1" x14ac:dyDescent="0.55000000000000004">
      <c r="A3" s="97"/>
      <c r="B3" s="102"/>
      <c r="C3" s="98" t="s">
        <v>66</v>
      </c>
      <c r="D3" s="96"/>
      <c r="E3" s="74"/>
      <c r="F3" s="74"/>
      <c r="G3" s="74"/>
      <c r="H3" s="74"/>
    </row>
    <row r="4" spans="1:8" s="69" customFormat="1" x14ac:dyDescent="0.55000000000000004">
      <c r="A4" s="112" t="s">
        <v>63</v>
      </c>
      <c r="B4" s="102"/>
      <c r="C4" s="100" t="s">
        <v>67</v>
      </c>
      <c r="D4" s="96"/>
    </row>
    <row r="5" spans="1:8" s="69" customFormat="1" x14ac:dyDescent="0.55000000000000004">
      <c r="A5" s="97" t="s">
        <v>112</v>
      </c>
      <c r="B5" s="102"/>
      <c r="C5" s="103">
        <v>-150000</v>
      </c>
      <c r="D5" s="104">
        <f>IFERROR(+C5/#REF!,0)</f>
        <v>0</v>
      </c>
    </row>
    <row r="6" spans="1:8" s="69" customFormat="1" x14ac:dyDescent="0.55000000000000004">
      <c r="A6" s="97" t="s">
        <v>113</v>
      </c>
      <c r="B6" s="102"/>
      <c r="C6" s="103">
        <v>-92424</v>
      </c>
      <c r="D6" s="104">
        <f>IFERROR(+C6/#REF!,0)</f>
        <v>0</v>
      </c>
    </row>
    <row r="7" spans="1:8" s="69" customFormat="1" x14ac:dyDescent="0.55000000000000004">
      <c r="A7" s="97" t="s">
        <v>123</v>
      </c>
      <c r="B7" s="102"/>
      <c r="C7" s="103">
        <v>100000</v>
      </c>
      <c r="D7" s="104">
        <f>IFERROR(+C7/#REF!,0)</f>
        <v>0</v>
      </c>
    </row>
    <row r="8" spans="1:8" s="69" customFormat="1" x14ac:dyDescent="0.55000000000000004">
      <c r="A8" s="97" t="s">
        <v>122</v>
      </c>
      <c r="B8" s="102"/>
      <c r="C8" s="103">
        <v>75000</v>
      </c>
      <c r="D8" s="104">
        <f>IFERROR(+C8/#REF!,0)</f>
        <v>0</v>
      </c>
    </row>
    <row r="9" spans="1:8" s="69" customFormat="1" x14ac:dyDescent="0.55000000000000004">
      <c r="A9" s="97" t="s">
        <v>98</v>
      </c>
      <c r="B9" s="102"/>
      <c r="C9" s="103">
        <v>2000</v>
      </c>
      <c r="D9" s="104">
        <f>IFERROR(+C9/#REF!,0)</f>
        <v>0</v>
      </c>
    </row>
    <row r="10" spans="1:8" s="69" customFormat="1" x14ac:dyDescent="0.55000000000000004">
      <c r="A10" s="97" t="s">
        <v>120</v>
      </c>
      <c r="B10" s="102"/>
      <c r="C10" s="103">
        <v>15000</v>
      </c>
      <c r="D10" s="104">
        <f>IFERROR(+C10/#REF!,0)</f>
        <v>0</v>
      </c>
    </row>
    <row r="11" spans="1:8" x14ac:dyDescent="0.55000000000000004">
      <c r="A11" s="97" t="s">
        <v>116</v>
      </c>
      <c r="C11" s="103">
        <v>5000</v>
      </c>
      <c r="D11" s="104">
        <f>IFERROR(+C11/#REF!,0)</f>
        <v>0</v>
      </c>
    </row>
    <row r="12" spans="1:8" x14ac:dyDescent="0.55000000000000004">
      <c r="A12" s="97" t="s">
        <v>109</v>
      </c>
      <c r="C12" s="103">
        <v>-1400000</v>
      </c>
      <c r="D12" s="104">
        <f>IFERROR(+C12/#REF!,0)</f>
        <v>0</v>
      </c>
    </row>
    <row r="13" spans="1:8" x14ac:dyDescent="0.55000000000000004">
      <c r="A13" s="97" t="s">
        <v>110</v>
      </c>
      <c r="C13" s="103">
        <v>-25000</v>
      </c>
      <c r="D13" s="104">
        <f>IFERROR(+C13/#REF!,0)</f>
        <v>0</v>
      </c>
    </row>
    <row r="14" spans="1:8" x14ac:dyDescent="0.55000000000000004">
      <c r="A14" s="97" t="s">
        <v>111</v>
      </c>
      <c r="C14" s="103">
        <v>-70000</v>
      </c>
      <c r="D14" s="104">
        <f>IFERROR(+C14/#REF!,0)</f>
        <v>0</v>
      </c>
    </row>
    <row r="15" spans="1:8" x14ac:dyDescent="0.55000000000000004">
      <c r="A15" s="97" t="s">
        <v>121</v>
      </c>
      <c r="C15" s="103">
        <v>0</v>
      </c>
      <c r="D15" s="104">
        <f>IFERROR(+C15/#REF!,0)</f>
        <v>0</v>
      </c>
    </row>
    <row r="16" spans="1:8" x14ac:dyDescent="0.55000000000000004">
      <c r="A16" s="97" t="s">
        <v>69</v>
      </c>
      <c r="C16" s="103">
        <v>-15000</v>
      </c>
      <c r="D16" s="104">
        <f>IFERROR(+C16/#REF!,0)</f>
        <v>0</v>
      </c>
    </row>
    <row r="17" spans="1:9" x14ac:dyDescent="0.55000000000000004">
      <c r="A17" s="97" t="s">
        <v>119</v>
      </c>
      <c r="B17" s="106"/>
      <c r="C17" s="155">
        <v>0</v>
      </c>
      <c r="D17" s="104">
        <f>IFERROR(+C17/#REF!,0)</f>
        <v>0</v>
      </c>
      <c r="E17" s="70"/>
    </row>
    <row r="18" spans="1:9" ht="15" x14ac:dyDescent="0.5">
      <c r="A18" s="115" t="s">
        <v>64</v>
      </c>
      <c r="B18" s="116"/>
      <c r="C18" s="116">
        <v>-1555424</v>
      </c>
      <c r="D18" s="201">
        <f>IFERROR(+C18/#REF!,0)</f>
        <v>0</v>
      </c>
    </row>
    <row r="19" spans="1:9" ht="10.15" customHeight="1" x14ac:dyDescent="0.55000000000000004">
      <c r="D19" s="202"/>
    </row>
    <row r="20" spans="1:9" ht="15" x14ac:dyDescent="0.5">
      <c r="A20" s="117" t="s">
        <v>88</v>
      </c>
      <c r="B20" s="118"/>
      <c r="C20" s="227">
        <v>-325000</v>
      </c>
      <c r="D20" s="203">
        <f>IFERROR(+C20/#REF!,0)</f>
        <v>0</v>
      </c>
    </row>
    <row r="21" spans="1:9" ht="15" x14ac:dyDescent="0.5">
      <c r="A21" s="112"/>
      <c r="B21" s="103"/>
      <c r="C21" s="103"/>
      <c r="D21" s="204"/>
    </row>
    <row r="22" spans="1:9" x14ac:dyDescent="0.55000000000000004">
      <c r="A22" s="228" t="s">
        <v>132</v>
      </c>
      <c r="B22" s="228"/>
      <c r="C22" s="229">
        <v>237076</v>
      </c>
      <c r="D22" s="226"/>
      <c r="E22" s="70"/>
      <c r="G22" s="70"/>
      <c r="H22" s="70"/>
      <c r="I22" s="70"/>
    </row>
    <row r="23" spans="1:9" x14ac:dyDescent="0.55000000000000004">
      <c r="B23" s="106"/>
      <c r="G23" s="70"/>
      <c r="H23" s="70"/>
      <c r="I23" s="70"/>
    </row>
    <row r="24" spans="1:9" x14ac:dyDescent="0.55000000000000004">
      <c r="D24" s="105"/>
      <c r="F24" s="73"/>
      <c r="G24" s="70"/>
      <c r="H24" s="70"/>
      <c r="I24" s="70"/>
    </row>
    <row r="25" spans="1:9" x14ac:dyDescent="0.55000000000000004">
      <c r="A25" s="70"/>
      <c r="D25" s="111"/>
      <c r="F25" s="74"/>
      <c r="G25" s="70"/>
      <c r="H25" s="70"/>
      <c r="I25" s="70"/>
    </row>
    <row r="27" spans="1:9" x14ac:dyDescent="0.55000000000000004">
      <c r="A27" s="70"/>
      <c r="F27" s="74"/>
      <c r="G27" s="70"/>
      <c r="H27" s="70"/>
      <c r="I27" s="70"/>
    </row>
    <row r="33" spans="1:9" x14ac:dyDescent="0.55000000000000004">
      <c r="A33" s="70"/>
      <c r="B33" s="103"/>
      <c r="C33" s="103"/>
      <c r="G33" s="70"/>
      <c r="H33" s="70"/>
      <c r="I33" s="70"/>
    </row>
  </sheetData>
  <mergeCells count="2">
    <mergeCell ref="A1:D1"/>
    <mergeCell ref="E2:H2"/>
  </mergeCells>
  <printOptions gridLines="1"/>
  <pageMargins left="0.75" right="0.25" top="0.5" bottom="0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61"/>
  <sheetViews>
    <sheetView tabSelected="1" view="pageBreakPreview" zoomScaleNormal="100" zoomScaleSheetLayoutView="100" workbookViewId="0">
      <pane xSplit="1" ySplit="3" topLeftCell="H13" activePane="bottomRight" state="frozen"/>
      <selection pane="topRight" activeCell="B1" sqref="B1"/>
      <selection pane="bottomLeft" activeCell="A4" sqref="A4"/>
      <selection pane="bottomRight" activeCell="H43" sqref="H43:P48"/>
    </sheetView>
  </sheetViews>
  <sheetFormatPr defaultColWidth="8.83203125" defaultRowHeight="12.3" x14ac:dyDescent="0.4"/>
  <cols>
    <col min="1" max="1" width="32.5546875" style="1" bestFit="1" customWidth="1"/>
    <col min="2" max="2" width="14.83203125" style="2" hidden="1" customWidth="1"/>
    <col min="3" max="3" width="15.27734375" style="2" hidden="1" customWidth="1"/>
    <col min="4" max="4" width="13.5546875" style="2" hidden="1" customWidth="1"/>
    <col min="5" max="5" width="13.44140625" style="2" hidden="1" customWidth="1"/>
    <col min="6" max="6" width="15.5546875" style="2" hidden="1" customWidth="1"/>
    <col min="7" max="7" width="17.44140625" style="1" hidden="1" customWidth="1"/>
    <col min="8" max="8" width="16.44140625" style="1" bestFit="1" customWidth="1"/>
    <col min="9" max="9" width="14.83203125" style="1" bestFit="1" customWidth="1"/>
    <col min="10" max="10" width="13.5546875" style="1" bestFit="1" customWidth="1"/>
    <col min="11" max="11" width="14.83203125" style="1" bestFit="1" customWidth="1"/>
    <col min="12" max="12" width="12.83203125" style="1" bestFit="1" customWidth="1"/>
    <col min="13" max="13" width="14.83203125" style="1" bestFit="1" customWidth="1"/>
    <col min="14" max="23" width="14.83203125" style="1" customWidth="1"/>
    <col min="24" max="24" width="10.27734375" style="1" bestFit="1" customWidth="1"/>
    <col min="25" max="25" width="12.44140625" style="1" bestFit="1" customWidth="1"/>
    <col min="26" max="26" width="10.71875" style="1" bestFit="1" customWidth="1"/>
    <col min="27" max="16384" width="8.83203125" style="1"/>
  </cols>
  <sheetData>
    <row r="1" spans="1:26" ht="21" customHeight="1" x14ac:dyDescent="0.7">
      <c r="A1" s="197"/>
      <c r="B1" s="236" t="s">
        <v>105</v>
      </c>
      <c r="C1" s="236"/>
      <c r="D1" s="236"/>
      <c r="E1" s="236"/>
      <c r="F1" s="236"/>
      <c r="G1" s="237"/>
      <c r="H1" s="233" t="s">
        <v>118</v>
      </c>
      <c r="I1" s="234"/>
      <c r="J1" s="234"/>
      <c r="K1" s="234"/>
      <c r="L1" s="234"/>
      <c r="M1" s="235"/>
      <c r="N1" s="233" t="s">
        <v>131</v>
      </c>
      <c r="O1" s="234"/>
      <c r="P1" s="234"/>
      <c r="Q1" s="234"/>
      <c r="R1" s="234"/>
      <c r="S1" s="235"/>
      <c r="T1" s="184"/>
      <c r="U1" s="184"/>
      <c r="V1" s="184"/>
      <c r="W1" s="184"/>
    </row>
    <row r="2" spans="1:26" ht="12.6" thickBot="1" x14ac:dyDescent="0.45">
      <c r="H2" s="55"/>
      <c r="I2" s="56"/>
      <c r="J2" s="56"/>
      <c r="K2" s="56"/>
      <c r="L2" s="56"/>
      <c r="M2" s="57"/>
      <c r="N2" s="55"/>
      <c r="O2" s="56"/>
      <c r="P2" s="56"/>
      <c r="Q2" s="56"/>
      <c r="R2" s="56"/>
      <c r="S2" s="57"/>
      <c r="T2" s="185"/>
      <c r="U2" s="185"/>
      <c r="V2" s="185"/>
      <c r="W2" s="185"/>
    </row>
    <row r="3" spans="1:26" x14ac:dyDescent="0.4">
      <c r="A3" s="3"/>
      <c r="B3" s="9" t="s">
        <v>0</v>
      </c>
      <c r="C3" s="4" t="s">
        <v>1</v>
      </c>
      <c r="D3" s="5" t="s">
        <v>91</v>
      </c>
      <c r="E3" s="6" t="s">
        <v>2</v>
      </c>
      <c r="F3" s="7" t="s">
        <v>99</v>
      </c>
      <c r="G3" s="8" t="s">
        <v>85</v>
      </c>
      <c r="H3" s="9" t="s">
        <v>0</v>
      </c>
      <c r="I3" s="4" t="s">
        <v>1</v>
      </c>
      <c r="J3" s="5" t="s">
        <v>91</v>
      </c>
      <c r="K3" s="6" t="s">
        <v>97</v>
      </c>
      <c r="L3" s="7" t="s">
        <v>99</v>
      </c>
      <c r="M3" s="8" t="s">
        <v>85</v>
      </c>
      <c r="N3" s="9" t="s">
        <v>0</v>
      </c>
      <c r="O3" s="4" t="s">
        <v>1</v>
      </c>
      <c r="P3" s="5" t="s">
        <v>91</v>
      </c>
      <c r="Q3" s="6" t="s">
        <v>97</v>
      </c>
      <c r="R3" s="7" t="s">
        <v>99</v>
      </c>
      <c r="S3" s="8" t="s">
        <v>101</v>
      </c>
      <c r="T3" s="186"/>
      <c r="U3" s="186"/>
      <c r="V3" s="186"/>
      <c r="W3" s="186"/>
    </row>
    <row r="4" spans="1:26" s="16" customFormat="1" x14ac:dyDescent="0.4">
      <c r="A4" s="10"/>
      <c r="B4" s="10" t="s">
        <v>4</v>
      </c>
      <c r="C4" s="11" t="s">
        <v>5</v>
      </c>
      <c r="D4" s="12" t="s">
        <v>92</v>
      </c>
      <c r="E4" s="13" t="s">
        <v>6</v>
      </c>
      <c r="F4" s="14" t="s">
        <v>4</v>
      </c>
      <c r="G4" s="15" t="s">
        <v>7</v>
      </c>
      <c r="H4" s="10" t="s">
        <v>4</v>
      </c>
      <c r="I4" s="11" t="s">
        <v>5</v>
      </c>
      <c r="J4" s="12" t="s">
        <v>92</v>
      </c>
      <c r="K4" s="13" t="s">
        <v>6</v>
      </c>
      <c r="L4" s="14" t="s">
        <v>4</v>
      </c>
      <c r="M4" s="15" t="s">
        <v>7</v>
      </c>
      <c r="N4" s="10" t="s">
        <v>4</v>
      </c>
      <c r="O4" s="11" t="s">
        <v>5</v>
      </c>
      <c r="P4" s="12" t="s">
        <v>92</v>
      </c>
      <c r="Q4" s="13" t="s">
        <v>6</v>
      </c>
      <c r="R4" s="14" t="s">
        <v>4</v>
      </c>
      <c r="S4" s="15" t="s">
        <v>7</v>
      </c>
      <c r="T4" s="187"/>
      <c r="U4" s="187"/>
      <c r="V4" s="187"/>
      <c r="W4" s="187"/>
    </row>
    <row r="5" spans="1:26" s="16" customFormat="1" x14ac:dyDescent="0.4">
      <c r="A5" s="10" t="s">
        <v>8</v>
      </c>
      <c r="B5" s="17"/>
      <c r="C5" s="11"/>
      <c r="D5" s="12"/>
      <c r="E5" s="13"/>
      <c r="F5" s="14"/>
      <c r="G5" s="18"/>
      <c r="H5" s="17"/>
      <c r="I5" s="11"/>
      <c r="J5" s="12"/>
      <c r="K5" s="13"/>
      <c r="L5" s="14"/>
      <c r="M5" s="18"/>
      <c r="N5" s="17"/>
      <c r="O5" s="11"/>
      <c r="P5" s="12"/>
      <c r="Q5" s="13"/>
      <c r="R5" s="14"/>
      <c r="S5" s="18"/>
      <c r="T5" s="188"/>
      <c r="U5" s="188"/>
      <c r="V5" s="188"/>
      <c r="W5" s="188"/>
    </row>
    <row r="6" spans="1:26" x14ac:dyDescent="0.4">
      <c r="A6" s="19" t="s">
        <v>9</v>
      </c>
      <c r="B6" s="24">
        <f>2169461</f>
        <v>2169461</v>
      </c>
      <c r="C6" s="20">
        <v>55000</v>
      </c>
      <c r="D6" s="21"/>
      <c r="E6" s="22"/>
      <c r="F6" s="23"/>
      <c r="G6" s="156">
        <f>+B6-D6-E6-F6</f>
        <v>2169461</v>
      </c>
      <c r="H6" s="24">
        <f>2203294+10314</f>
        <v>2213608</v>
      </c>
      <c r="I6" s="20">
        <v>55000</v>
      </c>
      <c r="J6" s="21"/>
      <c r="K6" s="22"/>
      <c r="L6" s="23"/>
      <c r="M6" s="156">
        <f>+H6-J6-K6-L6</f>
        <v>2213608</v>
      </c>
      <c r="N6" s="24">
        <v>2585870</v>
      </c>
      <c r="O6" s="20">
        <v>115000</v>
      </c>
      <c r="P6" s="21"/>
      <c r="Q6" s="22"/>
      <c r="R6" s="23"/>
      <c r="S6" s="156">
        <f>+N6-P6-Q6-R6</f>
        <v>2585870</v>
      </c>
      <c r="T6" s="189"/>
      <c r="U6" s="189"/>
      <c r="V6" s="189"/>
      <c r="W6" s="189"/>
      <c r="Y6" s="2"/>
      <c r="Z6" s="2"/>
    </row>
    <row r="7" spans="1:26" x14ac:dyDescent="0.4">
      <c r="A7" s="19" t="s">
        <v>10</v>
      </c>
      <c r="B7" s="24">
        <f>343919</f>
        <v>343919</v>
      </c>
      <c r="C7" s="20">
        <v>17250</v>
      </c>
      <c r="D7" s="21"/>
      <c r="E7" s="22"/>
      <c r="F7" s="23"/>
      <c r="G7" s="156">
        <f t="shared" ref="G7:G23" si="0">+B7-D7-E7-F7</f>
        <v>343919</v>
      </c>
      <c r="H7" s="24">
        <v>370658</v>
      </c>
      <c r="I7" s="20">
        <v>17250</v>
      </c>
      <c r="J7" s="21"/>
      <c r="K7" s="22"/>
      <c r="L7" s="23"/>
      <c r="M7" s="156">
        <f t="shared" ref="M7:M23" si="1">+H7-J7-K7-L7</f>
        <v>370658</v>
      </c>
      <c r="N7" s="24">
        <v>398321</v>
      </c>
      <c r="O7" s="20">
        <v>20000</v>
      </c>
      <c r="P7" s="21"/>
      <c r="Q7" s="22"/>
      <c r="R7" s="23"/>
      <c r="S7" s="156">
        <f t="shared" ref="S7:S23" si="2">+N7-P7-Q7-R7</f>
        <v>398321</v>
      </c>
      <c r="T7" s="189"/>
      <c r="U7" s="189"/>
      <c r="V7" s="189"/>
      <c r="W7" s="189"/>
      <c r="Y7" s="2"/>
      <c r="Z7" s="2"/>
    </row>
    <row r="8" spans="1:26" x14ac:dyDescent="0.4">
      <c r="A8" s="19" t="s">
        <v>11</v>
      </c>
      <c r="B8" s="24">
        <f>7761553</f>
        <v>7761553</v>
      </c>
      <c r="C8" s="20">
        <v>515000</v>
      </c>
      <c r="D8" s="21">
        <v>54000</v>
      </c>
      <c r="E8" s="22"/>
      <c r="F8" s="23">
        <v>853082</v>
      </c>
      <c r="G8" s="156">
        <f t="shared" si="0"/>
        <v>6854471</v>
      </c>
      <c r="H8" s="24">
        <v>8007816</v>
      </c>
      <c r="I8" s="20">
        <v>515000</v>
      </c>
      <c r="J8" s="21">
        <v>54000</v>
      </c>
      <c r="K8" s="22"/>
      <c r="L8" s="23">
        <v>860000</v>
      </c>
      <c r="M8" s="156">
        <f t="shared" si="1"/>
        <v>7093816</v>
      </c>
      <c r="N8" s="24">
        <v>8612181</v>
      </c>
      <c r="O8" s="20">
        <v>650000</v>
      </c>
      <c r="P8" s="21">
        <f>56000+15000</f>
        <v>71000</v>
      </c>
      <c r="Q8" s="22"/>
      <c r="R8" s="23">
        <v>573333</v>
      </c>
      <c r="S8" s="156">
        <f t="shared" si="2"/>
        <v>7967848</v>
      </c>
      <c r="T8" s="189"/>
      <c r="U8" s="189"/>
      <c r="V8" s="189"/>
      <c r="W8" s="189"/>
      <c r="Y8" s="2"/>
      <c r="Z8" s="2"/>
    </row>
    <row r="9" spans="1:26" x14ac:dyDescent="0.4">
      <c r="A9" s="19" t="s">
        <v>12</v>
      </c>
      <c r="B9" s="2">
        <f>7261645</f>
        <v>7261645</v>
      </c>
      <c r="C9" s="20"/>
      <c r="D9" s="21">
        <v>121500</v>
      </c>
      <c r="E9" s="22"/>
      <c r="F9" s="23"/>
      <c r="G9" s="156">
        <f t="shared" si="0"/>
        <v>7140145</v>
      </c>
      <c r="H9" s="2">
        <v>7533723</v>
      </c>
      <c r="I9" s="20"/>
      <c r="J9" s="21">
        <v>150000</v>
      </c>
      <c r="K9" s="22"/>
      <c r="L9" s="23"/>
      <c r="M9" s="156">
        <f t="shared" si="1"/>
        <v>7383723</v>
      </c>
      <c r="N9" s="2">
        <v>7932297</v>
      </c>
      <c r="O9" s="20"/>
      <c r="P9" s="21">
        <v>135000</v>
      </c>
      <c r="Q9" s="22"/>
      <c r="R9" s="23"/>
      <c r="S9" s="156">
        <f t="shared" si="2"/>
        <v>7797297</v>
      </c>
      <c r="T9" s="189"/>
      <c r="U9" s="189"/>
      <c r="V9" s="189"/>
      <c r="W9" s="189"/>
      <c r="Y9" s="2"/>
      <c r="Z9" s="2"/>
    </row>
    <row r="10" spans="1:26" x14ac:dyDescent="0.4">
      <c r="A10" s="19" t="s">
        <v>13</v>
      </c>
      <c r="B10" s="24">
        <f>1747778</f>
        <v>1747778</v>
      </c>
      <c r="C10" s="20">
        <v>100000</v>
      </c>
      <c r="D10" s="21">
        <v>762764</v>
      </c>
      <c r="E10" s="22"/>
      <c r="F10" s="23"/>
      <c r="G10" s="156">
        <f t="shared" si="0"/>
        <v>985014</v>
      </c>
      <c r="H10" s="24">
        <v>1095274</v>
      </c>
      <c r="I10" s="20">
        <v>100000</v>
      </c>
      <c r="J10" s="21"/>
      <c r="K10" s="22"/>
      <c r="L10" s="23"/>
      <c r="M10" s="156">
        <f t="shared" si="1"/>
        <v>1095274</v>
      </c>
      <c r="N10" s="24">
        <v>1127883</v>
      </c>
      <c r="O10" s="20">
        <v>55000</v>
      </c>
      <c r="P10" s="21"/>
      <c r="Q10" s="22"/>
      <c r="R10" s="23"/>
      <c r="S10" s="156">
        <f>+N10-P10-Q10-R10</f>
        <v>1127883</v>
      </c>
      <c r="T10" s="189"/>
      <c r="U10" s="189"/>
      <c r="V10" s="189"/>
      <c r="W10" s="189"/>
      <c r="Y10" s="2"/>
      <c r="Z10" s="2"/>
    </row>
    <row r="11" spans="1:26" x14ac:dyDescent="0.4">
      <c r="A11" s="19" t="s">
        <v>14</v>
      </c>
      <c r="B11" s="92">
        <v>494300</v>
      </c>
      <c r="C11" s="20"/>
      <c r="D11" s="21"/>
      <c r="E11" s="22"/>
      <c r="F11" s="23"/>
      <c r="G11" s="156">
        <f t="shared" si="0"/>
        <v>494300</v>
      </c>
      <c r="H11" s="92">
        <v>509792</v>
      </c>
      <c r="I11" s="20"/>
      <c r="J11" s="21"/>
      <c r="K11" s="22"/>
      <c r="L11" s="23"/>
      <c r="M11" s="156">
        <f t="shared" si="1"/>
        <v>509792</v>
      </c>
      <c r="N11" s="92">
        <v>542056</v>
      </c>
      <c r="O11" s="20"/>
      <c r="P11" s="21">
        <v>5000</v>
      </c>
      <c r="Q11" s="22"/>
      <c r="R11" s="23"/>
      <c r="S11" s="156">
        <f>+N11-P11-Q11-R11</f>
        <v>537056</v>
      </c>
      <c r="T11" s="189"/>
      <c r="U11" s="189"/>
      <c r="V11" s="189"/>
      <c r="W11" s="189"/>
      <c r="Y11" s="2"/>
      <c r="Z11" s="2"/>
    </row>
    <row r="12" spans="1:26" x14ac:dyDescent="0.4">
      <c r="A12" s="19" t="s">
        <v>15</v>
      </c>
      <c r="B12" s="24">
        <v>555913</v>
      </c>
      <c r="C12" s="20"/>
      <c r="D12" s="21"/>
      <c r="E12" s="22"/>
      <c r="F12" s="23"/>
      <c r="G12" s="156">
        <f t="shared" si="0"/>
        <v>555913</v>
      </c>
      <c r="H12" s="24">
        <v>640310</v>
      </c>
      <c r="I12" s="20"/>
      <c r="J12" s="21"/>
      <c r="K12" s="22"/>
      <c r="L12" s="23"/>
      <c r="M12" s="156">
        <f t="shared" si="1"/>
        <v>640310</v>
      </c>
      <c r="N12" s="24">
        <v>633317</v>
      </c>
      <c r="O12" s="20"/>
      <c r="P12" s="21"/>
      <c r="Q12" s="22"/>
      <c r="R12" s="23"/>
      <c r="S12" s="156">
        <f t="shared" si="2"/>
        <v>633317</v>
      </c>
      <c r="T12" s="189"/>
      <c r="U12" s="189"/>
      <c r="V12" s="189"/>
      <c r="W12" s="189"/>
      <c r="Y12" s="2"/>
      <c r="Z12" s="2"/>
    </row>
    <row r="13" spans="1:26" x14ac:dyDescent="0.4">
      <c r="A13" s="19" t="s">
        <v>16</v>
      </c>
      <c r="B13" s="24">
        <f>4241030</f>
        <v>4241030</v>
      </c>
      <c r="C13" s="20">
        <f>-25000+1155000-55000</f>
        <v>1075000</v>
      </c>
      <c r="D13" s="21">
        <f>28000</f>
        <v>28000</v>
      </c>
      <c r="E13" s="22">
        <v>1160000</v>
      </c>
      <c r="F13" s="25"/>
      <c r="G13" s="156">
        <f t="shared" si="0"/>
        <v>3053030</v>
      </c>
      <c r="H13" s="24">
        <v>6641768</v>
      </c>
      <c r="I13" s="20">
        <f>-25000+1155000-55000</f>
        <v>1075000</v>
      </c>
      <c r="J13" s="21">
        <v>1425000</v>
      </c>
      <c r="K13" s="22">
        <v>1960000</v>
      </c>
      <c r="L13" s="25"/>
      <c r="M13" s="156">
        <f t="shared" si="1"/>
        <v>3256768</v>
      </c>
      <c r="N13" s="24">
        <v>5027305</v>
      </c>
      <c r="O13" s="20">
        <v>1205000</v>
      </c>
      <c r="P13" s="21"/>
      <c r="Q13" s="22">
        <v>1635000</v>
      </c>
      <c r="R13" s="25"/>
      <c r="S13" s="156">
        <f t="shared" si="2"/>
        <v>3392305</v>
      </c>
      <c r="T13" s="189"/>
      <c r="U13" s="189"/>
      <c r="V13" s="189"/>
      <c r="W13" s="189"/>
      <c r="Y13" s="2"/>
      <c r="Z13" s="2"/>
    </row>
    <row r="14" spans="1:26" x14ac:dyDescent="0.4">
      <c r="A14" s="19" t="s">
        <v>17</v>
      </c>
      <c r="B14" s="24">
        <f>1749661</f>
        <v>1749661</v>
      </c>
      <c r="C14" s="20">
        <v>100000</v>
      </c>
      <c r="D14" s="21"/>
      <c r="E14" s="22"/>
      <c r="F14" s="25"/>
      <c r="G14" s="156">
        <f t="shared" si="0"/>
        <v>1749661</v>
      </c>
      <c r="H14" s="24">
        <v>1972198</v>
      </c>
      <c r="I14" s="20">
        <v>100000</v>
      </c>
      <c r="J14" s="21">
        <v>95000</v>
      </c>
      <c r="K14" s="22"/>
      <c r="L14" s="25"/>
      <c r="M14" s="156">
        <f t="shared" si="1"/>
        <v>1877198</v>
      </c>
      <c r="N14" s="24">
        <v>1971200</v>
      </c>
      <c r="O14" s="20">
        <v>100000</v>
      </c>
      <c r="P14" s="21">
        <v>25000</v>
      </c>
      <c r="Q14" s="22"/>
      <c r="R14" s="25"/>
      <c r="S14" s="156">
        <f t="shared" si="2"/>
        <v>1946200</v>
      </c>
      <c r="T14" s="189"/>
      <c r="U14" s="189"/>
      <c r="V14" s="189"/>
      <c r="W14" s="189"/>
      <c r="Y14" s="2"/>
      <c r="Z14" s="2"/>
    </row>
    <row r="15" spans="1:26" x14ac:dyDescent="0.4">
      <c r="A15" s="19" t="s">
        <v>18</v>
      </c>
      <c r="B15" s="24">
        <f>557788</f>
        <v>557788</v>
      </c>
      <c r="C15" s="20">
        <v>5000</v>
      </c>
      <c r="D15" s="21">
        <v>32500</v>
      </c>
      <c r="E15" s="22"/>
      <c r="F15" s="23"/>
      <c r="G15" s="156">
        <f t="shared" si="0"/>
        <v>525288</v>
      </c>
      <c r="H15" s="24">
        <v>529484</v>
      </c>
      <c r="I15" s="20">
        <v>5000</v>
      </c>
      <c r="J15" s="21"/>
      <c r="K15" s="22"/>
      <c r="L15" s="23"/>
      <c r="M15" s="156">
        <f t="shared" si="1"/>
        <v>529484</v>
      </c>
      <c r="N15" s="24">
        <v>562778</v>
      </c>
      <c r="O15" s="20">
        <v>20000</v>
      </c>
      <c r="P15" s="21"/>
      <c r="Q15" s="22"/>
      <c r="R15" s="23"/>
      <c r="S15" s="156">
        <f t="shared" si="2"/>
        <v>562778</v>
      </c>
      <c r="T15" s="189"/>
      <c r="U15" s="189"/>
      <c r="V15" s="189"/>
      <c r="W15" s="189"/>
      <c r="Y15" s="2"/>
      <c r="Z15" s="2"/>
    </row>
    <row r="16" spans="1:26" x14ac:dyDescent="0.4">
      <c r="A16" s="19" t="s">
        <v>19</v>
      </c>
      <c r="B16" s="24">
        <f>1135728</f>
        <v>1135728</v>
      </c>
      <c r="C16" s="20">
        <v>75000</v>
      </c>
      <c r="D16" s="21"/>
      <c r="E16" s="22"/>
      <c r="F16" s="23"/>
      <c r="G16" s="156">
        <f t="shared" si="0"/>
        <v>1135728</v>
      </c>
      <c r="H16" s="24">
        <v>1172212</v>
      </c>
      <c r="I16" s="20">
        <v>75000</v>
      </c>
      <c r="J16" s="21"/>
      <c r="K16" s="22"/>
      <c r="L16" s="23"/>
      <c r="M16" s="156">
        <f t="shared" si="1"/>
        <v>1172212</v>
      </c>
      <c r="N16" s="24">
        <v>1243654</v>
      </c>
      <c r="O16" s="20">
        <v>75000</v>
      </c>
      <c r="P16" s="21"/>
      <c r="Q16" s="22"/>
      <c r="R16" s="23"/>
      <c r="S16" s="156">
        <f t="shared" si="2"/>
        <v>1243654</v>
      </c>
      <c r="T16" s="189"/>
      <c r="U16" s="189"/>
      <c r="V16" s="189"/>
      <c r="W16" s="189"/>
      <c r="Y16" s="2"/>
      <c r="Z16" s="2"/>
    </row>
    <row r="17" spans="1:26" x14ac:dyDescent="0.4">
      <c r="A17" s="19" t="s">
        <v>20</v>
      </c>
      <c r="B17" s="24">
        <v>499132</v>
      </c>
      <c r="C17" s="20"/>
      <c r="D17" s="21"/>
      <c r="E17" s="22"/>
      <c r="F17" s="23"/>
      <c r="G17" s="156">
        <f t="shared" si="0"/>
        <v>499132</v>
      </c>
      <c r="H17" s="24">
        <v>518157</v>
      </c>
      <c r="I17" s="20"/>
      <c r="J17" s="21"/>
      <c r="K17" s="22"/>
      <c r="L17" s="23"/>
      <c r="M17" s="156">
        <f t="shared" si="1"/>
        <v>518157</v>
      </c>
      <c r="N17" s="24">
        <v>553329</v>
      </c>
      <c r="O17" s="20"/>
      <c r="P17" s="21"/>
      <c r="Q17" s="22"/>
      <c r="R17" s="23"/>
      <c r="S17" s="156">
        <f t="shared" si="2"/>
        <v>553329</v>
      </c>
      <c r="T17" s="189"/>
      <c r="U17" s="189"/>
      <c r="V17" s="189"/>
      <c r="W17" s="189"/>
      <c r="Y17" s="2"/>
      <c r="Z17" s="2"/>
    </row>
    <row r="18" spans="1:26" x14ac:dyDescent="0.4">
      <c r="A18" s="19" t="s">
        <v>21</v>
      </c>
      <c r="B18" s="24">
        <v>345141</v>
      </c>
      <c r="C18" s="20"/>
      <c r="D18" s="21"/>
      <c r="E18" s="22"/>
      <c r="F18" s="23"/>
      <c r="G18" s="156">
        <f t="shared" si="0"/>
        <v>345141</v>
      </c>
      <c r="H18" s="24">
        <v>601477</v>
      </c>
      <c r="I18" s="20"/>
      <c r="J18" s="21">
        <v>242424</v>
      </c>
      <c r="K18" s="22"/>
      <c r="L18" s="23"/>
      <c r="M18" s="156">
        <f t="shared" si="1"/>
        <v>359053</v>
      </c>
      <c r="N18" s="24">
        <v>555931</v>
      </c>
      <c r="O18" s="20"/>
      <c r="P18" s="21">
        <v>100000</v>
      </c>
      <c r="Q18" s="22"/>
      <c r="R18" s="23"/>
      <c r="S18" s="156">
        <f t="shared" si="2"/>
        <v>455931</v>
      </c>
      <c r="T18" s="189"/>
      <c r="U18" s="189"/>
      <c r="V18" s="189"/>
      <c r="W18" s="189"/>
      <c r="Y18" s="2"/>
      <c r="Z18" s="2"/>
    </row>
    <row r="19" spans="1:26" x14ac:dyDescent="0.4">
      <c r="A19" s="19" t="s">
        <v>22</v>
      </c>
      <c r="B19" s="24">
        <f>531593</f>
        <v>531593</v>
      </c>
      <c r="C19" s="20">
        <v>5000</v>
      </c>
      <c r="D19" s="21">
        <v>7500</v>
      </c>
      <c r="E19" s="22"/>
      <c r="F19" s="23"/>
      <c r="G19" s="156">
        <f t="shared" si="0"/>
        <v>524093</v>
      </c>
      <c r="H19" s="24">
        <v>541053</v>
      </c>
      <c r="I19" s="20">
        <v>5000</v>
      </c>
      <c r="J19" s="21"/>
      <c r="K19" s="22"/>
      <c r="L19" s="23"/>
      <c r="M19" s="156">
        <f t="shared" si="1"/>
        <v>541053</v>
      </c>
      <c r="N19" s="24">
        <v>639528</v>
      </c>
      <c r="O19" s="20">
        <v>10000</v>
      </c>
      <c r="P19" s="21">
        <v>75000</v>
      </c>
      <c r="Q19" s="22"/>
      <c r="R19" s="23"/>
      <c r="S19" s="156">
        <f t="shared" si="2"/>
        <v>564528</v>
      </c>
      <c r="T19" s="189"/>
      <c r="U19" s="189"/>
      <c r="V19" s="189"/>
      <c r="W19" s="189"/>
      <c r="Y19" s="2"/>
      <c r="Z19" s="2"/>
    </row>
    <row r="20" spans="1:26" x14ac:dyDescent="0.4">
      <c r="A20" s="19" t="s">
        <v>23</v>
      </c>
      <c r="B20" s="24">
        <v>648816</v>
      </c>
      <c r="C20" s="20"/>
      <c r="D20" s="21"/>
      <c r="E20" s="22"/>
      <c r="F20" s="23"/>
      <c r="G20" s="156">
        <f t="shared" si="0"/>
        <v>648816</v>
      </c>
      <c r="H20" s="24">
        <v>611033</v>
      </c>
      <c r="I20" s="20"/>
      <c r="J20" s="21"/>
      <c r="K20" s="22"/>
      <c r="L20" s="23"/>
      <c r="M20" s="156">
        <f t="shared" si="1"/>
        <v>611033</v>
      </c>
      <c r="N20" s="24">
        <v>669812</v>
      </c>
      <c r="O20" s="20"/>
      <c r="P20" s="21"/>
      <c r="Q20" s="22"/>
      <c r="R20" s="23"/>
      <c r="S20" s="156">
        <f t="shared" si="2"/>
        <v>669812</v>
      </c>
      <c r="T20" s="189"/>
      <c r="U20" s="189"/>
      <c r="V20" s="189"/>
      <c r="W20" s="189"/>
      <c r="Y20" s="2"/>
      <c r="Z20" s="2"/>
    </row>
    <row r="21" spans="1:26" x14ac:dyDescent="0.4">
      <c r="A21" s="19" t="s">
        <v>24</v>
      </c>
      <c r="B21" s="24">
        <v>169340</v>
      </c>
      <c r="C21" s="20"/>
      <c r="D21" s="21"/>
      <c r="E21" s="22"/>
      <c r="F21" s="23"/>
      <c r="G21" s="156">
        <f t="shared" si="0"/>
        <v>169340</v>
      </c>
      <c r="H21" s="24">
        <v>177156</v>
      </c>
      <c r="I21" s="20"/>
      <c r="J21" s="21"/>
      <c r="K21" s="22"/>
      <c r="L21" s="23"/>
      <c r="M21" s="156">
        <f t="shared" si="1"/>
        <v>177156</v>
      </c>
      <c r="N21" s="24">
        <v>203094</v>
      </c>
      <c r="O21" s="20"/>
      <c r="P21" s="21"/>
      <c r="Q21" s="22"/>
      <c r="R21" s="23"/>
      <c r="S21" s="156">
        <f t="shared" si="2"/>
        <v>203094</v>
      </c>
      <c r="T21" s="189"/>
      <c r="U21" s="189"/>
      <c r="V21" s="189"/>
      <c r="W21" s="189"/>
      <c r="Y21" s="2"/>
      <c r="Z21" s="2"/>
    </row>
    <row r="22" spans="1:26" x14ac:dyDescent="0.4">
      <c r="A22" s="19" t="s">
        <v>25</v>
      </c>
      <c r="B22" s="31">
        <v>410732</v>
      </c>
      <c r="C22" s="26">
        <v>0</v>
      </c>
      <c r="D22" s="27">
        <v>0</v>
      </c>
      <c r="E22" s="28">
        <v>0</v>
      </c>
      <c r="F22" s="29">
        <v>0</v>
      </c>
      <c r="G22" s="30">
        <f t="shared" si="0"/>
        <v>410732</v>
      </c>
      <c r="H22" s="31">
        <v>244146</v>
      </c>
      <c r="I22" s="26">
        <v>0</v>
      </c>
      <c r="J22" s="27">
        <v>0</v>
      </c>
      <c r="K22" s="28">
        <v>0</v>
      </c>
      <c r="L22" s="29">
        <v>0</v>
      </c>
      <c r="M22" s="30">
        <f t="shared" si="1"/>
        <v>244146</v>
      </c>
      <c r="N22" s="31">
        <v>236241</v>
      </c>
      <c r="O22" s="26">
        <v>0</v>
      </c>
      <c r="P22" s="27">
        <v>0</v>
      </c>
      <c r="Q22" s="28">
        <v>0</v>
      </c>
      <c r="R22" s="29">
        <v>0</v>
      </c>
      <c r="S22" s="30">
        <f t="shared" si="2"/>
        <v>236241</v>
      </c>
      <c r="T22" s="190"/>
      <c r="U22" s="190"/>
      <c r="V22" s="190"/>
      <c r="W22" s="190"/>
      <c r="Y22" s="2"/>
      <c r="Z22" s="2"/>
    </row>
    <row r="23" spans="1:26" ht="12.6" thickBot="1" x14ac:dyDescent="0.45">
      <c r="A23" s="32" t="s">
        <v>26</v>
      </c>
      <c r="B23" s="38">
        <f>SUM(B6:B22)</f>
        <v>30623530</v>
      </c>
      <c r="C23" s="33">
        <f>SUM(C6:C22)</f>
        <v>1947250</v>
      </c>
      <c r="D23" s="34">
        <f>SUM(D6:D22)</f>
        <v>1006264</v>
      </c>
      <c r="E23" s="35">
        <f>SUM(E6:E22)</f>
        <v>1160000</v>
      </c>
      <c r="F23" s="36">
        <f>SUM(F6:F22)</f>
        <v>853082</v>
      </c>
      <c r="G23" s="37">
        <f t="shared" si="0"/>
        <v>27604184</v>
      </c>
      <c r="H23" s="38">
        <f>SUM(H6:H22)</f>
        <v>33379865</v>
      </c>
      <c r="I23" s="33">
        <f>SUM(I6:I22)</f>
        <v>1947250</v>
      </c>
      <c r="J23" s="34">
        <f>SUM(J6:J22)</f>
        <v>1966424</v>
      </c>
      <c r="K23" s="35">
        <f>SUM(K6:K22)</f>
        <v>1960000</v>
      </c>
      <c r="L23" s="36">
        <f>SUM(L6:L22)</f>
        <v>860000</v>
      </c>
      <c r="M23" s="37">
        <f t="shared" si="1"/>
        <v>28593441</v>
      </c>
      <c r="N23" s="38">
        <f>SUM(N6:N22)</f>
        <v>33494797</v>
      </c>
      <c r="O23" s="33">
        <f>SUM(O6:O22)</f>
        <v>2250000</v>
      </c>
      <c r="P23" s="34">
        <f>SUM(P6:P22)</f>
        <v>411000</v>
      </c>
      <c r="Q23" s="35">
        <f>SUM(Q6:Q22)</f>
        <v>1635000</v>
      </c>
      <c r="R23" s="36">
        <f>SUM(R6:R22)</f>
        <v>573333</v>
      </c>
      <c r="S23" s="37">
        <f t="shared" si="2"/>
        <v>30875464</v>
      </c>
      <c r="T23" s="191"/>
      <c r="U23" s="191"/>
      <c r="V23" s="191"/>
      <c r="W23" s="191"/>
      <c r="Y23" s="2"/>
    </row>
    <row r="24" spans="1:26" x14ac:dyDescent="0.4">
      <c r="B24" s="58"/>
      <c r="C24" s="59"/>
      <c r="D24" s="59"/>
      <c r="E24" s="59" t="s">
        <v>80</v>
      </c>
      <c r="F24" s="56"/>
      <c r="G24" s="57"/>
      <c r="H24" s="58"/>
      <c r="I24" s="59"/>
      <c r="J24" s="59"/>
      <c r="K24" s="59" t="s">
        <v>80</v>
      </c>
      <c r="L24" s="56"/>
      <c r="M24" s="57"/>
      <c r="N24" s="58"/>
      <c r="O24" s="59"/>
      <c r="P24" s="59"/>
      <c r="Q24" s="59" t="s">
        <v>80</v>
      </c>
      <c r="R24" s="56"/>
      <c r="S24" s="57"/>
      <c r="T24" s="185"/>
      <c r="U24" s="185"/>
      <c r="V24" s="185"/>
      <c r="W24" s="185"/>
    </row>
    <row r="25" spans="1:26" x14ac:dyDescent="0.4">
      <c r="A25" s="39" t="s">
        <v>27</v>
      </c>
      <c r="B25" s="60"/>
      <c r="C25" s="40"/>
      <c r="D25" s="40"/>
      <c r="E25" s="40"/>
      <c r="F25" s="41"/>
      <c r="G25" s="61"/>
      <c r="H25" s="60"/>
      <c r="I25" s="40"/>
      <c r="J25" s="40"/>
      <c r="K25" s="40"/>
      <c r="L25" s="41"/>
      <c r="M25" s="61"/>
      <c r="N25" s="60"/>
      <c r="O25" s="40"/>
      <c r="P25" s="40"/>
      <c r="Q25" s="40"/>
      <c r="R25" s="41"/>
      <c r="S25" s="61"/>
      <c r="T25" s="192"/>
      <c r="U25" s="192"/>
      <c r="V25" s="192"/>
      <c r="W25" s="192"/>
    </row>
    <row r="26" spans="1:26" x14ac:dyDescent="0.4">
      <c r="A26" s="42" t="s">
        <v>28</v>
      </c>
      <c r="B26" s="62">
        <v>107718</v>
      </c>
      <c r="C26" s="41"/>
      <c r="D26" s="41"/>
      <c r="E26" s="41"/>
      <c r="F26" s="41"/>
      <c r="G26" s="63">
        <f>+B26-D26-E26-F26</f>
        <v>107718</v>
      </c>
      <c r="H26" s="62">
        <v>112000</v>
      </c>
      <c r="I26" s="41"/>
      <c r="J26" s="41"/>
      <c r="K26" s="41"/>
      <c r="L26" s="41"/>
      <c r="M26" s="63">
        <f t="shared" ref="M26:M36" si="3">+H26-J26-K26-L26</f>
        <v>112000</v>
      </c>
      <c r="N26" s="62">
        <v>122306</v>
      </c>
      <c r="O26" s="41"/>
      <c r="P26" s="41"/>
      <c r="Q26" s="41"/>
      <c r="R26" s="41"/>
      <c r="S26" s="63">
        <f t="shared" ref="S26:S36" si="4">+N26-P26-Q26-R26</f>
        <v>122306</v>
      </c>
      <c r="T26" s="193"/>
      <c r="U26" s="193"/>
      <c r="V26" s="193"/>
      <c r="W26" s="193"/>
      <c r="Y26" s="2"/>
    </row>
    <row r="27" spans="1:26" x14ac:dyDescent="0.4">
      <c r="A27" s="42" t="s">
        <v>29</v>
      </c>
      <c r="B27" s="62">
        <v>487004</v>
      </c>
      <c r="C27" s="41"/>
      <c r="D27" s="41"/>
      <c r="E27" s="41"/>
      <c r="F27" s="41"/>
      <c r="G27" s="63">
        <f t="shared" ref="G27:G36" si="5">+B27-D27-E27-F27</f>
        <v>487004</v>
      </c>
      <c r="H27" s="62">
        <v>486279</v>
      </c>
      <c r="I27" s="41"/>
      <c r="J27" s="41"/>
      <c r="K27" s="41"/>
      <c r="L27" s="41"/>
      <c r="M27" s="63">
        <f t="shared" si="3"/>
        <v>486279</v>
      </c>
      <c r="N27" s="62">
        <v>485510</v>
      </c>
      <c r="O27" s="41"/>
      <c r="P27" s="41"/>
      <c r="Q27" s="41"/>
      <c r="R27" s="41"/>
      <c r="S27" s="63">
        <f t="shared" si="4"/>
        <v>485510</v>
      </c>
      <c r="T27" s="193"/>
      <c r="U27" s="193"/>
      <c r="V27" s="193"/>
      <c r="W27" s="193"/>
      <c r="Y27" s="2"/>
    </row>
    <row r="28" spans="1:26" ht="12.6" x14ac:dyDescent="0.45">
      <c r="A28" s="42" t="s">
        <v>19</v>
      </c>
      <c r="B28" s="62">
        <v>12000</v>
      </c>
      <c r="C28" s="41"/>
      <c r="D28" s="41"/>
      <c r="E28" s="41"/>
      <c r="F28" s="41"/>
      <c r="G28" s="63">
        <f t="shared" si="5"/>
        <v>12000</v>
      </c>
      <c r="H28" s="62">
        <v>12000</v>
      </c>
      <c r="I28" s="41"/>
      <c r="J28" s="41"/>
      <c r="K28" s="41"/>
      <c r="L28" s="41"/>
      <c r="M28" s="63">
        <f t="shared" si="3"/>
        <v>12000</v>
      </c>
      <c r="N28" s="62">
        <v>17200</v>
      </c>
      <c r="O28" s="41"/>
      <c r="P28" s="41"/>
      <c r="Q28" s="41"/>
      <c r="R28" s="41"/>
      <c r="S28" s="63">
        <f t="shared" si="4"/>
        <v>17200</v>
      </c>
      <c r="T28" s="193"/>
      <c r="U28" s="193"/>
      <c r="V28" s="193"/>
      <c r="W28" s="193"/>
      <c r="X28" s="164"/>
      <c r="Y28" s="2"/>
    </row>
    <row r="29" spans="1:26" x14ac:dyDescent="0.4">
      <c r="A29" s="44" t="s">
        <v>30</v>
      </c>
      <c r="B29" s="62">
        <v>12795</v>
      </c>
      <c r="C29" s="41"/>
      <c r="D29" s="41"/>
      <c r="E29" s="41"/>
      <c r="F29" s="43"/>
      <c r="G29" s="63">
        <f t="shared" si="5"/>
        <v>12795</v>
      </c>
      <c r="H29" s="62">
        <v>12795</v>
      </c>
      <c r="I29" s="41"/>
      <c r="J29" s="41"/>
      <c r="K29" s="41"/>
      <c r="L29" s="43"/>
      <c r="M29" s="63">
        <f t="shared" si="3"/>
        <v>12795</v>
      </c>
      <c r="N29" s="62">
        <v>12795</v>
      </c>
      <c r="O29" s="41"/>
      <c r="P29" s="41"/>
      <c r="Q29" s="41"/>
      <c r="R29" s="43"/>
      <c r="S29" s="63">
        <f t="shared" si="4"/>
        <v>12795</v>
      </c>
      <c r="T29" s="193"/>
      <c r="U29" s="193"/>
      <c r="V29" s="193"/>
      <c r="W29" s="193"/>
      <c r="Y29" s="2"/>
    </row>
    <row r="30" spans="1:26" x14ac:dyDescent="0.4">
      <c r="A30" s="42" t="s">
        <v>31</v>
      </c>
      <c r="B30" s="62">
        <v>382268</v>
      </c>
      <c r="C30" s="41"/>
      <c r="D30" s="41">
        <v>55000</v>
      </c>
      <c r="E30" s="41"/>
      <c r="F30" s="41"/>
      <c r="G30" s="63">
        <f t="shared" si="5"/>
        <v>327268</v>
      </c>
      <c r="H30" s="62">
        <v>386675</v>
      </c>
      <c r="I30" s="41"/>
      <c r="J30" s="41">
        <v>55000</v>
      </c>
      <c r="K30" s="41"/>
      <c r="L30" s="41"/>
      <c r="M30" s="63">
        <f t="shared" si="3"/>
        <v>331675</v>
      </c>
      <c r="N30" s="62">
        <v>398483</v>
      </c>
      <c r="O30" s="41"/>
      <c r="P30" s="41">
        <v>45000</v>
      </c>
      <c r="Q30" s="41"/>
      <c r="R30" s="41"/>
      <c r="S30" s="63">
        <f t="shared" si="4"/>
        <v>353483</v>
      </c>
      <c r="T30" s="193"/>
      <c r="U30" s="193"/>
      <c r="V30" s="193"/>
      <c r="W30" s="193"/>
      <c r="Y30" s="2"/>
    </row>
    <row r="31" spans="1:26" x14ac:dyDescent="0.4">
      <c r="A31" s="42" t="s">
        <v>32</v>
      </c>
      <c r="B31" s="62">
        <v>4198229</v>
      </c>
      <c r="C31" s="41"/>
      <c r="D31" s="41"/>
      <c r="E31" s="41"/>
      <c r="F31" s="41"/>
      <c r="G31" s="63">
        <f t="shared" si="5"/>
        <v>4198229</v>
      </c>
      <c r="H31" s="62">
        <v>4445218.6500000004</v>
      </c>
      <c r="I31" s="41"/>
      <c r="J31" s="41">
        <v>62000</v>
      </c>
      <c r="K31" s="41"/>
      <c r="L31" s="41"/>
      <c r="M31" s="63">
        <f t="shared" si="3"/>
        <v>4383218.6500000004</v>
      </c>
      <c r="N31" s="62">
        <v>4816318</v>
      </c>
      <c r="O31" s="41"/>
      <c r="P31" s="41">
        <v>122500</v>
      </c>
      <c r="Q31" s="41"/>
      <c r="R31" s="41"/>
      <c r="S31" s="63">
        <f t="shared" si="4"/>
        <v>4693818</v>
      </c>
      <c r="T31" s="193"/>
      <c r="U31" s="193"/>
      <c r="V31" s="193"/>
      <c r="W31" s="193"/>
      <c r="Y31" s="2"/>
    </row>
    <row r="32" spans="1:26" x14ac:dyDescent="0.4">
      <c r="A32" s="44" t="s">
        <v>103</v>
      </c>
      <c r="B32" s="62">
        <v>10102750</v>
      </c>
      <c r="C32" s="41"/>
      <c r="D32" s="41"/>
      <c r="E32" s="41"/>
      <c r="F32" s="41"/>
      <c r="G32" s="63">
        <f t="shared" si="5"/>
        <v>10102750</v>
      </c>
      <c r="H32" s="62">
        <v>0</v>
      </c>
      <c r="I32" s="41"/>
      <c r="J32" s="41"/>
      <c r="K32" s="41"/>
      <c r="L32" s="41"/>
      <c r="M32" s="63">
        <f t="shared" si="3"/>
        <v>0</v>
      </c>
      <c r="N32" s="62">
        <v>0</v>
      </c>
      <c r="O32" s="41"/>
      <c r="P32" s="41"/>
      <c r="Q32" s="41"/>
      <c r="R32" s="41"/>
      <c r="S32" s="63">
        <f t="shared" si="4"/>
        <v>0</v>
      </c>
      <c r="T32" s="193"/>
      <c r="U32" s="193"/>
      <c r="V32" s="193"/>
      <c r="W32" s="193"/>
      <c r="Y32" s="2"/>
    </row>
    <row r="33" spans="1:25" x14ac:dyDescent="0.4">
      <c r="A33" s="44" t="s">
        <v>95</v>
      </c>
      <c r="B33" s="62">
        <v>0</v>
      </c>
      <c r="C33" s="41">
        <v>500000</v>
      </c>
      <c r="D33" s="41"/>
      <c r="E33" s="41"/>
      <c r="F33" s="41"/>
      <c r="G33" s="63">
        <f t="shared" si="5"/>
        <v>0</v>
      </c>
      <c r="H33" s="62">
        <v>0</v>
      </c>
      <c r="I33" s="41">
        <v>550000</v>
      </c>
      <c r="J33" s="41"/>
      <c r="K33" s="41"/>
      <c r="L33" s="41"/>
      <c r="M33" s="63">
        <f t="shared" si="3"/>
        <v>0</v>
      </c>
      <c r="N33" s="62">
        <v>0</v>
      </c>
      <c r="O33" s="41">
        <v>550000</v>
      </c>
      <c r="P33" s="41"/>
      <c r="Q33" s="41"/>
      <c r="R33" s="41"/>
      <c r="S33" s="63">
        <f t="shared" si="4"/>
        <v>0</v>
      </c>
      <c r="T33" s="193"/>
      <c r="U33" s="193"/>
      <c r="V33" s="193"/>
      <c r="W33" s="193"/>
      <c r="Y33" s="2"/>
    </row>
    <row r="34" spans="1:25" x14ac:dyDescent="0.4">
      <c r="A34" s="42" t="s">
        <v>33</v>
      </c>
      <c r="B34" s="167">
        <v>445055</v>
      </c>
      <c r="C34" s="168"/>
      <c r="D34" s="168"/>
      <c r="E34" s="168"/>
      <c r="F34" s="168"/>
      <c r="G34" s="169">
        <f t="shared" si="5"/>
        <v>445055</v>
      </c>
      <c r="H34" s="167">
        <v>438101</v>
      </c>
      <c r="I34" s="168"/>
      <c r="J34" s="168"/>
      <c r="K34" s="168"/>
      <c r="L34" s="168"/>
      <c r="M34" s="169">
        <f t="shared" si="3"/>
        <v>438101</v>
      </c>
      <c r="N34" s="167">
        <v>431147</v>
      </c>
      <c r="O34" s="168"/>
      <c r="P34" s="168"/>
      <c r="Q34" s="168"/>
      <c r="R34" s="168"/>
      <c r="S34" s="169">
        <f t="shared" si="4"/>
        <v>431147</v>
      </c>
      <c r="T34" s="194"/>
      <c r="U34" s="194"/>
      <c r="V34" s="194"/>
      <c r="W34" s="194"/>
      <c r="Y34" s="2"/>
    </row>
    <row r="35" spans="1:25" ht="14.1" x14ac:dyDescent="0.7">
      <c r="A35" s="44" t="s">
        <v>107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176">
        <f t="shared" si="5"/>
        <v>0</v>
      </c>
      <c r="H35" s="177">
        <v>0</v>
      </c>
      <c r="I35" s="45">
        <v>0</v>
      </c>
      <c r="J35" s="45">
        <v>0</v>
      </c>
      <c r="K35" s="45">
        <v>0</v>
      </c>
      <c r="L35" s="45">
        <v>0</v>
      </c>
      <c r="M35" s="45">
        <f t="shared" si="3"/>
        <v>0</v>
      </c>
      <c r="N35" s="177">
        <v>0</v>
      </c>
      <c r="O35" s="45">
        <v>0</v>
      </c>
      <c r="P35" s="45">
        <v>0</v>
      </c>
      <c r="Q35" s="45">
        <v>0</v>
      </c>
      <c r="R35" s="45">
        <v>0</v>
      </c>
      <c r="S35" s="45">
        <f t="shared" si="4"/>
        <v>0</v>
      </c>
      <c r="T35" s="195"/>
      <c r="U35" s="195"/>
      <c r="V35" s="195"/>
      <c r="W35" s="195"/>
      <c r="Y35" s="2"/>
    </row>
    <row r="36" spans="1:25" x14ac:dyDescent="0.4">
      <c r="A36" s="42" t="s">
        <v>34</v>
      </c>
      <c r="B36" s="64">
        <f>SUM(B26:B35)</f>
        <v>15747819</v>
      </c>
      <c r="C36" s="64">
        <f>SUM(C26:C35)</f>
        <v>500000</v>
      </c>
      <c r="D36" s="64">
        <f>SUM(D26:D35)</f>
        <v>55000</v>
      </c>
      <c r="E36" s="64">
        <f>SUM(E26:E35)</f>
        <v>0</v>
      </c>
      <c r="F36" s="64">
        <f>SUM(F26:F35)</f>
        <v>0</v>
      </c>
      <c r="G36" s="64">
        <f t="shared" si="5"/>
        <v>15692819</v>
      </c>
      <c r="H36" s="64">
        <f>SUM(H26:H35)</f>
        <v>5893068.6500000004</v>
      </c>
      <c r="I36" s="64">
        <f>SUM(I26:I35)</f>
        <v>550000</v>
      </c>
      <c r="J36" s="64">
        <f>SUM(J26:J35)</f>
        <v>117000</v>
      </c>
      <c r="K36" s="64">
        <f>SUM(K26:K35)</f>
        <v>0</v>
      </c>
      <c r="L36" s="64">
        <f>SUM(L26:L35)</f>
        <v>0</v>
      </c>
      <c r="M36" s="64">
        <f t="shared" si="3"/>
        <v>5776068.6500000004</v>
      </c>
      <c r="N36" s="64">
        <f>SUM(N26:N35)</f>
        <v>6283759</v>
      </c>
      <c r="O36" s="64">
        <f>SUM(O26:O35)</f>
        <v>550000</v>
      </c>
      <c r="P36" s="64">
        <f>SUM(P26:P35)</f>
        <v>167500</v>
      </c>
      <c r="Q36" s="64">
        <f>SUM(Q26:Q35)</f>
        <v>0</v>
      </c>
      <c r="R36" s="64">
        <f>SUM(R26:R35)</f>
        <v>0</v>
      </c>
      <c r="S36" s="64">
        <f t="shared" si="4"/>
        <v>6116259</v>
      </c>
      <c r="T36" s="196"/>
      <c r="U36" s="196"/>
      <c r="V36" s="196"/>
      <c r="W36" s="196"/>
      <c r="Y36" s="2"/>
    </row>
    <row r="37" spans="1:25" x14ac:dyDescent="0.4">
      <c r="B37" s="58"/>
      <c r="C37" s="56"/>
      <c r="D37" s="56"/>
      <c r="E37" s="56"/>
      <c r="F37" s="56"/>
      <c r="G37" s="57"/>
      <c r="H37" s="58"/>
      <c r="I37" s="56"/>
      <c r="J37" s="56"/>
      <c r="K37" s="56"/>
      <c r="L37" s="56"/>
      <c r="M37" s="57"/>
      <c r="N37" s="58"/>
      <c r="O37" s="56"/>
      <c r="P37" s="56"/>
      <c r="Q37" s="56"/>
      <c r="R37" s="56"/>
      <c r="S37" s="57"/>
      <c r="T37" s="185"/>
      <c r="U37" s="185"/>
      <c r="V37" s="185"/>
      <c r="W37" s="185"/>
    </row>
    <row r="38" spans="1:25" ht="15" x14ac:dyDescent="0.5">
      <c r="A38" s="160" t="s">
        <v>35</v>
      </c>
      <c r="B38" s="161">
        <f t="shared" ref="B38:M38" si="6">+B23+B36</f>
        <v>46371349</v>
      </c>
      <c r="C38" s="161">
        <f t="shared" si="6"/>
        <v>2447250</v>
      </c>
      <c r="D38" s="161">
        <f t="shared" si="6"/>
        <v>1061264</v>
      </c>
      <c r="E38" s="161">
        <f t="shared" si="6"/>
        <v>1160000</v>
      </c>
      <c r="F38" s="161">
        <f t="shared" si="6"/>
        <v>853082</v>
      </c>
      <c r="G38" s="161">
        <f t="shared" si="6"/>
        <v>43297003</v>
      </c>
      <c r="H38" s="161">
        <f t="shared" si="6"/>
        <v>39272933.649999999</v>
      </c>
      <c r="I38" s="161">
        <f t="shared" si="6"/>
        <v>2497250</v>
      </c>
      <c r="J38" s="161">
        <f t="shared" si="6"/>
        <v>2083424</v>
      </c>
      <c r="K38" s="161">
        <f t="shared" si="6"/>
        <v>1960000</v>
      </c>
      <c r="L38" s="161">
        <f t="shared" si="6"/>
        <v>860000</v>
      </c>
      <c r="M38" s="161">
        <f t="shared" si="6"/>
        <v>34369509.649999999</v>
      </c>
      <c r="N38" s="161">
        <f t="shared" ref="N38:S38" si="7">+N23+N36</f>
        <v>39778556</v>
      </c>
      <c r="O38" s="161">
        <f t="shared" si="7"/>
        <v>2800000</v>
      </c>
      <c r="P38" s="161">
        <f t="shared" si="7"/>
        <v>578500</v>
      </c>
      <c r="Q38" s="161">
        <f t="shared" si="7"/>
        <v>1635000</v>
      </c>
      <c r="R38" s="161">
        <f t="shared" si="7"/>
        <v>573333</v>
      </c>
      <c r="S38" s="161">
        <f t="shared" si="7"/>
        <v>36991723</v>
      </c>
      <c r="T38" s="175"/>
      <c r="U38" s="175"/>
      <c r="V38" s="175"/>
      <c r="W38" s="175"/>
      <c r="Y38" s="2"/>
    </row>
    <row r="39" spans="1:25" ht="15" x14ac:dyDescent="0.5">
      <c r="A39" s="173"/>
      <c r="B39" s="174"/>
      <c r="C39" s="175"/>
      <c r="D39" s="175"/>
      <c r="E39" s="175"/>
      <c r="F39" s="175"/>
      <c r="G39" s="175"/>
      <c r="H39" s="174"/>
      <c r="I39" s="175"/>
      <c r="J39" s="175"/>
      <c r="K39" s="175"/>
      <c r="L39" s="175"/>
      <c r="M39" s="175"/>
      <c r="N39" s="174"/>
      <c r="O39" s="175"/>
      <c r="P39" s="175"/>
      <c r="Q39" s="175"/>
      <c r="R39" s="175"/>
      <c r="S39" s="175"/>
      <c r="T39" s="175"/>
      <c r="U39" s="175"/>
      <c r="V39" s="175"/>
      <c r="W39" s="175"/>
      <c r="Y39" s="2"/>
    </row>
    <row r="40" spans="1:25" ht="15" x14ac:dyDescent="0.5">
      <c r="A40" s="173"/>
      <c r="B40" s="174"/>
      <c r="C40" s="175"/>
      <c r="D40" s="175"/>
      <c r="E40" s="175"/>
      <c r="F40" s="175"/>
      <c r="H40" s="174" t="s">
        <v>102</v>
      </c>
      <c r="I40" s="175">
        <f>+H38+I38</f>
        <v>41770183.649999999</v>
      </c>
      <c r="J40" s="175"/>
      <c r="K40" s="175"/>
      <c r="L40" s="175"/>
      <c r="M40" s="175"/>
      <c r="N40" s="174" t="s">
        <v>102</v>
      </c>
      <c r="O40" s="175">
        <f>+N38+O38</f>
        <v>42578556</v>
      </c>
      <c r="P40" s="175"/>
      <c r="Q40" s="175"/>
      <c r="R40" s="175"/>
      <c r="S40" s="175"/>
      <c r="T40" s="175"/>
      <c r="U40" s="175"/>
      <c r="V40" s="175"/>
      <c r="W40" s="175"/>
      <c r="Y40" s="2"/>
    </row>
    <row r="41" spans="1:25" ht="12.6" thickBot="1" x14ac:dyDescent="0.45">
      <c r="A41" s="46"/>
      <c r="B41" s="65"/>
      <c r="C41" s="66"/>
      <c r="D41" s="66"/>
      <c r="E41" s="66"/>
      <c r="F41" s="66"/>
      <c r="G41" s="67"/>
      <c r="H41" s="65"/>
      <c r="I41" s="66"/>
      <c r="J41" s="66"/>
      <c r="K41" s="66"/>
      <c r="L41" s="66"/>
      <c r="M41" s="67"/>
      <c r="N41" s="65"/>
      <c r="O41" s="66"/>
      <c r="P41" s="66"/>
      <c r="Q41" s="66"/>
      <c r="R41" s="66"/>
      <c r="S41" s="67"/>
      <c r="T41" s="185"/>
      <c r="U41" s="185"/>
      <c r="V41" s="185"/>
      <c r="W41" s="185"/>
    </row>
    <row r="42" spans="1:25" x14ac:dyDescent="0.4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</row>
    <row r="43" spans="1:25" x14ac:dyDescent="0.4">
      <c r="A43" s="170"/>
      <c r="B43" s="170"/>
      <c r="C43" s="170"/>
      <c r="D43" s="170"/>
      <c r="E43" s="170"/>
      <c r="F43" s="170"/>
      <c r="G43" s="170"/>
      <c r="H43" s="182"/>
      <c r="I43" s="182"/>
      <c r="J43" s="170"/>
      <c r="K43" s="170"/>
      <c r="L43" s="170"/>
      <c r="M43" s="170"/>
      <c r="N43" s="182"/>
      <c r="O43" s="182"/>
      <c r="P43" s="170"/>
      <c r="Q43" s="170"/>
      <c r="R43" s="170"/>
      <c r="S43" s="170"/>
      <c r="T43" s="170"/>
      <c r="U43" s="170"/>
      <c r="V43" s="170"/>
      <c r="W43" s="170"/>
    </row>
    <row r="44" spans="1:25" x14ac:dyDescent="0.4">
      <c r="A44" s="170"/>
      <c r="B44" s="170"/>
      <c r="C44" s="170"/>
      <c r="D44" s="170"/>
      <c r="E44" s="170"/>
      <c r="F44" s="170"/>
      <c r="G44" s="170"/>
      <c r="H44" s="182"/>
      <c r="I44" s="182"/>
      <c r="J44" s="170"/>
      <c r="K44" s="170"/>
      <c r="L44" s="170"/>
      <c r="M44" s="170"/>
      <c r="N44" s="182"/>
      <c r="O44" s="182"/>
      <c r="P44" s="170"/>
      <c r="Q44" s="170"/>
      <c r="R44" s="170"/>
      <c r="S44" s="170"/>
      <c r="T44" s="170"/>
      <c r="U44" s="170"/>
      <c r="V44" s="170"/>
      <c r="W44" s="170"/>
    </row>
    <row r="45" spans="1:25" x14ac:dyDescent="0.4">
      <c r="A45" s="170"/>
      <c r="B45" s="170"/>
      <c r="C45" s="170"/>
      <c r="D45" s="170"/>
      <c r="E45" s="170"/>
      <c r="F45" s="170"/>
      <c r="G45" s="170"/>
      <c r="H45" s="182"/>
      <c r="I45" s="182"/>
      <c r="J45" s="170"/>
      <c r="K45" s="170"/>
      <c r="L45" s="170"/>
      <c r="M45" s="170"/>
      <c r="N45" s="182"/>
      <c r="O45" s="182"/>
      <c r="P45" s="170"/>
      <c r="Q45" s="170"/>
      <c r="R45" s="170"/>
      <c r="S45" s="170"/>
      <c r="T45" s="170"/>
      <c r="U45" s="170"/>
      <c r="V45" s="170"/>
      <c r="W45" s="170"/>
    </row>
    <row r="46" spans="1:25" x14ac:dyDescent="0.4">
      <c r="A46" s="170"/>
      <c r="B46" s="170"/>
      <c r="C46" s="170"/>
      <c r="D46" s="170"/>
      <c r="E46" s="170"/>
      <c r="F46" s="170"/>
      <c r="G46" s="170"/>
      <c r="H46" s="182"/>
      <c r="I46" s="182"/>
      <c r="J46" s="170"/>
      <c r="K46" s="170"/>
      <c r="L46" s="170"/>
      <c r="M46" s="170"/>
      <c r="N46" s="182"/>
      <c r="O46" s="182"/>
      <c r="P46" s="170"/>
      <c r="Q46" s="170"/>
      <c r="R46" s="170"/>
      <c r="S46" s="170"/>
      <c r="T46" s="170"/>
      <c r="U46" s="170"/>
      <c r="V46" s="170"/>
      <c r="W46" s="170"/>
    </row>
    <row r="47" spans="1:25" x14ac:dyDescent="0.4">
      <c r="A47" s="170"/>
      <c r="B47" s="170"/>
      <c r="C47" s="170"/>
      <c r="D47" s="170"/>
      <c r="E47" s="170"/>
      <c r="F47" s="170"/>
      <c r="G47" s="170"/>
      <c r="H47" s="182"/>
      <c r="I47" s="182"/>
      <c r="J47" s="170"/>
      <c r="K47" s="170"/>
      <c r="L47" s="170"/>
      <c r="M47" s="170"/>
      <c r="N47" s="182"/>
      <c r="O47" s="182"/>
      <c r="P47" s="170"/>
      <c r="Q47" s="170"/>
      <c r="R47" s="170"/>
      <c r="S47" s="170"/>
      <c r="T47" s="170"/>
      <c r="U47" s="170"/>
      <c r="V47" s="170"/>
      <c r="W47" s="170"/>
    </row>
    <row r="48" spans="1:25" x14ac:dyDescent="0.4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</row>
    <row r="49" spans="1:23" ht="12.4" customHeight="1" x14ac:dyDescent="0.4">
      <c r="A49" s="238" t="s">
        <v>106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183"/>
      <c r="O49" s="183"/>
      <c r="P49" s="183"/>
      <c r="Q49" s="183"/>
      <c r="R49" s="183"/>
      <c r="S49" s="183"/>
      <c r="T49" s="183"/>
      <c r="U49" s="183"/>
      <c r="V49" s="183"/>
      <c r="W49" s="183"/>
    </row>
    <row r="50" spans="1:23" ht="15" x14ac:dyDescent="0.4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183"/>
      <c r="O50" s="183"/>
      <c r="P50" s="183"/>
      <c r="Q50" s="183"/>
      <c r="R50" s="183"/>
      <c r="S50" s="183"/>
      <c r="T50" s="183"/>
      <c r="U50" s="183"/>
      <c r="V50" s="183"/>
      <c r="W50" s="183"/>
    </row>
    <row r="51" spans="1:23" ht="15" x14ac:dyDescent="0.4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183"/>
      <c r="O51" s="183"/>
      <c r="P51" s="183"/>
      <c r="Q51" s="183"/>
      <c r="R51" s="183"/>
      <c r="S51" s="183"/>
      <c r="T51" s="183"/>
      <c r="U51" s="183"/>
      <c r="V51" s="183"/>
      <c r="W51" s="183"/>
    </row>
    <row r="52" spans="1:23" ht="15" x14ac:dyDescent="0.4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1:23" ht="15" x14ac:dyDescent="0.4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83"/>
      <c r="O53" s="183"/>
      <c r="P53" s="183"/>
      <c r="Q53" s="183"/>
      <c r="R53" s="183"/>
      <c r="S53" s="183"/>
      <c r="T53" s="183"/>
      <c r="U53" s="183"/>
      <c r="V53" s="183"/>
      <c r="W53" s="183"/>
    </row>
    <row r="54" spans="1:23" ht="15" x14ac:dyDescent="0.4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  <row r="55" spans="1:23" ht="15" x14ac:dyDescent="0.4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83"/>
      <c r="O55" s="183"/>
      <c r="P55" s="183"/>
      <c r="Q55" s="183"/>
      <c r="R55" s="183"/>
      <c r="S55" s="183"/>
      <c r="T55" s="183"/>
      <c r="U55" s="183"/>
      <c r="V55" s="183"/>
      <c r="W55" s="183"/>
    </row>
    <row r="57" spans="1:23" x14ac:dyDescent="0.4">
      <c r="H57" s="2"/>
    </row>
    <row r="59" spans="1:23" x14ac:dyDescent="0.4">
      <c r="H59" s="2"/>
    </row>
    <row r="61" spans="1:23" x14ac:dyDescent="0.4">
      <c r="H61" s="2"/>
    </row>
  </sheetData>
  <mergeCells count="4">
    <mergeCell ref="H1:M1"/>
    <mergeCell ref="N1:S1"/>
    <mergeCell ref="B1:G1"/>
    <mergeCell ref="A49:M52"/>
  </mergeCells>
  <printOptions gridLines="1"/>
  <pageMargins left="0.25" right="0.25" top="0.25" bottom="0.25" header="0.5" footer="0.5"/>
  <pageSetup paperSize="5" scale="84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3"/>
  <sheetViews>
    <sheetView view="pageBreakPreview" topLeftCell="A49" zoomScaleNormal="100" zoomScaleSheetLayoutView="100" workbookViewId="0">
      <selection activeCell="D75" sqref="D75"/>
    </sheetView>
  </sheetViews>
  <sheetFormatPr defaultColWidth="8.83203125" defaultRowHeight="15.3" x14ac:dyDescent="0.55000000000000004"/>
  <cols>
    <col min="1" max="1" width="34.609375" style="97" bestFit="1" customWidth="1"/>
    <col min="2" max="2" width="20.1640625" style="102" bestFit="1" customWidth="1"/>
    <col min="3" max="3" width="2.27734375" style="102" customWidth="1"/>
    <col min="4" max="4" width="20.1640625" style="102" customWidth="1"/>
    <col min="5" max="5" width="2.71875" style="102" customWidth="1"/>
    <col min="6" max="6" width="18" style="102" customWidth="1"/>
    <col min="7" max="7" width="15.71875" style="96" customWidth="1"/>
    <col min="8" max="12" width="15.71875" style="69" customWidth="1"/>
    <col min="13" max="16384" width="8.83203125" style="70"/>
  </cols>
  <sheetData>
    <row r="1" spans="1:12" ht="15" x14ac:dyDescent="0.5">
      <c r="A1" s="230" t="s">
        <v>51</v>
      </c>
      <c r="B1" s="230"/>
      <c r="C1" s="230"/>
      <c r="D1" s="230"/>
      <c r="E1" s="230"/>
      <c r="F1" s="230"/>
      <c r="G1" s="230"/>
    </row>
    <row r="2" spans="1:12" x14ac:dyDescent="0.55000000000000004">
      <c r="E2" s="98"/>
      <c r="F2" s="98" t="s">
        <v>66</v>
      </c>
      <c r="H2" s="231"/>
      <c r="I2" s="231"/>
      <c r="J2" s="231"/>
      <c r="K2" s="231"/>
    </row>
    <row r="3" spans="1:12" s="72" customFormat="1" ht="15" x14ac:dyDescent="0.5">
      <c r="A3" s="99" t="s">
        <v>90</v>
      </c>
      <c r="B3" s="100" t="s">
        <v>108</v>
      </c>
      <c r="C3" s="100"/>
      <c r="D3" s="100" t="s">
        <v>117</v>
      </c>
      <c r="E3" s="100"/>
      <c r="F3" s="100" t="s">
        <v>67</v>
      </c>
      <c r="G3" s="101"/>
      <c r="H3" s="71"/>
      <c r="I3" s="71"/>
      <c r="J3" s="71"/>
      <c r="K3" s="71"/>
      <c r="L3" s="71"/>
    </row>
    <row r="4" spans="1:12" x14ac:dyDescent="0.55000000000000004">
      <c r="A4" s="97" t="s">
        <v>9</v>
      </c>
      <c r="B4" s="96">
        <v>2213608</v>
      </c>
      <c r="C4" s="96"/>
      <c r="D4" s="96">
        <v>2585870</v>
      </c>
      <c r="E4" s="96"/>
      <c r="F4" s="103">
        <f t="shared" ref="F4:F20" si="0">+D4-B4</f>
        <v>372262</v>
      </c>
      <c r="G4" s="104">
        <f t="shared" ref="G4:G21" si="1">IFERROR(+F4/B4,0)</f>
        <v>0.16816979338708571</v>
      </c>
    </row>
    <row r="5" spans="1:12" x14ac:dyDescent="0.55000000000000004">
      <c r="A5" s="97" t="s">
        <v>10</v>
      </c>
      <c r="B5" s="96">
        <v>370658</v>
      </c>
      <c r="C5" s="96"/>
      <c r="D5" s="96">
        <v>398321</v>
      </c>
      <c r="E5" s="96"/>
      <c r="F5" s="103">
        <f t="shared" si="0"/>
        <v>27663</v>
      </c>
      <c r="G5" s="104">
        <f t="shared" si="1"/>
        <v>7.4632140679548264E-2</v>
      </c>
    </row>
    <row r="6" spans="1:12" x14ac:dyDescent="0.55000000000000004">
      <c r="A6" s="97" t="s">
        <v>11</v>
      </c>
      <c r="B6" s="96">
        <v>7093816</v>
      </c>
      <c r="C6" s="96"/>
      <c r="D6" s="96">
        <v>7967848</v>
      </c>
      <c r="E6" s="96"/>
      <c r="F6" s="103">
        <f>+D6-B6</f>
        <v>874032</v>
      </c>
      <c r="G6" s="104">
        <f t="shared" si="1"/>
        <v>0.12321041312602413</v>
      </c>
    </row>
    <row r="7" spans="1:12" x14ac:dyDescent="0.55000000000000004">
      <c r="A7" s="97" t="s">
        <v>12</v>
      </c>
      <c r="B7" s="96">
        <v>7383723</v>
      </c>
      <c r="C7" s="96"/>
      <c r="D7" s="96">
        <v>7797297</v>
      </c>
      <c r="E7" s="96"/>
      <c r="F7" s="103">
        <f t="shared" si="0"/>
        <v>413574</v>
      </c>
      <c r="G7" s="104">
        <f t="shared" si="1"/>
        <v>5.6011581149509534E-2</v>
      </c>
    </row>
    <row r="8" spans="1:12" x14ac:dyDescent="0.55000000000000004">
      <c r="A8" s="97" t="s">
        <v>13</v>
      </c>
      <c r="B8" s="96">
        <v>1095274</v>
      </c>
      <c r="C8" s="96"/>
      <c r="D8" s="96">
        <v>1127883</v>
      </c>
      <c r="E8" s="96"/>
      <c r="F8" s="103">
        <f t="shared" si="0"/>
        <v>32609</v>
      </c>
      <c r="G8" s="104">
        <f t="shared" si="1"/>
        <v>2.9772458763743136E-2</v>
      </c>
    </row>
    <row r="9" spans="1:12" x14ac:dyDescent="0.55000000000000004">
      <c r="A9" s="97" t="s">
        <v>14</v>
      </c>
      <c r="B9" s="96">
        <v>509792</v>
      </c>
      <c r="C9" s="96"/>
      <c r="D9" s="96">
        <v>537056</v>
      </c>
      <c r="E9" s="96"/>
      <c r="F9" s="103">
        <f t="shared" si="0"/>
        <v>27264</v>
      </c>
      <c r="G9" s="104">
        <f t="shared" si="1"/>
        <v>5.3480635239470213E-2</v>
      </c>
    </row>
    <row r="10" spans="1:12" x14ac:dyDescent="0.55000000000000004">
      <c r="A10" s="97" t="s">
        <v>15</v>
      </c>
      <c r="B10" s="96">
        <v>640310</v>
      </c>
      <c r="C10" s="96"/>
      <c r="D10" s="96">
        <v>633317</v>
      </c>
      <c r="E10" s="96"/>
      <c r="F10" s="103">
        <f t="shared" si="0"/>
        <v>-6993</v>
      </c>
      <c r="G10" s="104">
        <f t="shared" si="1"/>
        <v>-1.0921272508628633E-2</v>
      </c>
    </row>
    <row r="11" spans="1:12" x14ac:dyDescent="0.55000000000000004">
      <c r="A11" s="97" t="s">
        <v>16</v>
      </c>
      <c r="B11" s="96">
        <v>3256768</v>
      </c>
      <c r="C11" s="96"/>
      <c r="D11" s="96">
        <v>3392305</v>
      </c>
      <c r="E11" s="96"/>
      <c r="F11" s="103">
        <f t="shared" si="0"/>
        <v>135537</v>
      </c>
      <c r="G11" s="104">
        <f t="shared" si="1"/>
        <v>4.1617026450763456E-2</v>
      </c>
    </row>
    <row r="12" spans="1:12" x14ac:dyDescent="0.55000000000000004">
      <c r="A12" s="97" t="s">
        <v>17</v>
      </c>
      <c r="B12" s="96">
        <v>1877198</v>
      </c>
      <c r="C12" s="96"/>
      <c r="D12" s="96">
        <v>1946200</v>
      </c>
      <c r="E12" s="96"/>
      <c r="F12" s="103">
        <f t="shared" si="0"/>
        <v>69002</v>
      </c>
      <c r="G12" s="104">
        <f t="shared" si="1"/>
        <v>3.6757976516062774E-2</v>
      </c>
    </row>
    <row r="13" spans="1:12" x14ac:dyDescent="0.55000000000000004">
      <c r="A13" s="97" t="s">
        <v>18</v>
      </c>
      <c r="B13" s="96">
        <v>529484</v>
      </c>
      <c r="C13" s="96"/>
      <c r="D13" s="96">
        <v>562778</v>
      </c>
      <c r="E13" s="96"/>
      <c r="F13" s="103">
        <f t="shared" si="0"/>
        <v>33294</v>
      </c>
      <c r="G13" s="104">
        <f t="shared" si="1"/>
        <v>6.2880087028125489E-2</v>
      </c>
    </row>
    <row r="14" spans="1:12" x14ac:dyDescent="0.55000000000000004">
      <c r="A14" s="97" t="s">
        <v>19</v>
      </c>
      <c r="B14" s="96">
        <v>1172212</v>
      </c>
      <c r="C14" s="96"/>
      <c r="D14" s="96">
        <v>1243654</v>
      </c>
      <c r="E14" s="96"/>
      <c r="F14" s="103">
        <f t="shared" si="0"/>
        <v>71442</v>
      </c>
      <c r="G14" s="104">
        <f t="shared" si="1"/>
        <v>6.0946313465482356E-2</v>
      </c>
    </row>
    <row r="15" spans="1:12" x14ac:dyDescent="0.55000000000000004">
      <c r="A15" s="97" t="s">
        <v>20</v>
      </c>
      <c r="B15" s="96">
        <v>518157</v>
      </c>
      <c r="C15" s="96"/>
      <c r="D15" s="96">
        <v>553329</v>
      </c>
      <c r="E15" s="96"/>
      <c r="F15" s="103">
        <f t="shared" si="0"/>
        <v>35172</v>
      </c>
      <c r="G15" s="104">
        <f t="shared" si="1"/>
        <v>6.7879040522467127E-2</v>
      </c>
    </row>
    <row r="16" spans="1:12" x14ac:dyDescent="0.55000000000000004">
      <c r="A16" s="97" t="s">
        <v>21</v>
      </c>
      <c r="B16" s="96">
        <v>359053</v>
      </c>
      <c r="C16" s="96"/>
      <c r="D16" s="96">
        <v>455931</v>
      </c>
      <c r="E16" s="96"/>
      <c r="F16" s="103">
        <f t="shared" si="0"/>
        <v>96878</v>
      </c>
      <c r="G16" s="104">
        <f t="shared" si="1"/>
        <v>0.26981531974388184</v>
      </c>
    </row>
    <row r="17" spans="1:11" x14ac:dyDescent="0.55000000000000004">
      <c r="A17" s="97" t="s">
        <v>22</v>
      </c>
      <c r="B17" s="96">
        <v>541053</v>
      </c>
      <c r="C17" s="96"/>
      <c r="D17" s="96">
        <v>564528</v>
      </c>
      <c r="E17" s="96"/>
      <c r="F17" s="103">
        <f t="shared" si="0"/>
        <v>23475</v>
      </c>
      <c r="G17" s="104">
        <f t="shared" si="1"/>
        <v>4.3387616370300135E-2</v>
      </c>
    </row>
    <row r="18" spans="1:11" x14ac:dyDescent="0.55000000000000004">
      <c r="A18" s="97" t="s">
        <v>23</v>
      </c>
      <c r="B18" s="96">
        <v>611033</v>
      </c>
      <c r="C18" s="96"/>
      <c r="D18" s="96">
        <v>669812</v>
      </c>
      <c r="E18" s="96"/>
      <c r="F18" s="103">
        <f t="shared" si="0"/>
        <v>58779</v>
      </c>
      <c r="G18" s="104">
        <f t="shared" si="1"/>
        <v>9.6196113794181332E-2</v>
      </c>
    </row>
    <row r="19" spans="1:11" x14ac:dyDescent="0.55000000000000004">
      <c r="A19" s="97" t="s">
        <v>24</v>
      </c>
      <c r="B19" s="96">
        <v>177156</v>
      </c>
      <c r="C19" s="96"/>
      <c r="D19" s="96">
        <v>203094</v>
      </c>
      <c r="E19" s="96"/>
      <c r="F19" s="103">
        <f t="shared" si="0"/>
        <v>25938</v>
      </c>
      <c r="G19" s="104">
        <f t="shared" si="1"/>
        <v>0.14641333062385695</v>
      </c>
    </row>
    <row r="20" spans="1:11" x14ac:dyDescent="0.55000000000000004">
      <c r="A20" s="97" t="s">
        <v>25</v>
      </c>
      <c r="B20" s="105">
        <v>244146</v>
      </c>
      <c r="C20" s="105"/>
      <c r="D20" s="105">
        <v>236241</v>
      </c>
      <c r="E20" s="105"/>
      <c r="F20" s="155">
        <f t="shared" si="0"/>
        <v>-7905</v>
      </c>
      <c r="G20" s="104">
        <f t="shared" si="1"/>
        <v>-3.2378167162271758E-2</v>
      </c>
      <c r="H20" s="73"/>
    </row>
    <row r="21" spans="1:11" ht="17.25" customHeight="1" x14ac:dyDescent="0.5">
      <c r="A21" s="107" t="s">
        <v>68</v>
      </c>
      <c r="B21" s="108">
        <f>SUM(B4:B20)</f>
        <v>28593441</v>
      </c>
      <c r="C21" s="108"/>
      <c r="D21" s="108">
        <v>30875464</v>
      </c>
      <c r="E21" s="108"/>
      <c r="F21" s="109">
        <f>SUM(F4:F20)</f>
        <v>2282023</v>
      </c>
      <c r="G21" s="200">
        <f t="shared" si="1"/>
        <v>7.9809317108773301E-2</v>
      </c>
      <c r="H21" s="74"/>
      <c r="I21" s="74"/>
      <c r="J21" s="74"/>
      <c r="K21" s="74"/>
    </row>
    <row r="22" spans="1:11" ht="15" x14ac:dyDescent="0.5">
      <c r="A22" s="110"/>
      <c r="B22" s="103"/>
      <c r="C22" s="103"/>
      <c r="D22" s="103"/>
      <c r="E22" s="103"/>
      <c r="F22" s="98" t="s">
        <v>66</v>
      </c>
      <c r="G22" s="111"/>
      <c r="H22" s="74"/>
      <c r="I22" s="74"/>
      <c r="J22" s="74"/>
      <c r="K22" s="74"/>
    </row>
    <row r="23" spans="1:11" x14ac:dyDescent="0.55000000000000004">
      <c r="A23" s="112" t="s">
        <v>52</v>
      </c>
      <c r="B23" s="100" t="s">
        <v>108</v>
      </c>
      <c r="C23" s="100"/>
      <c r="D23" s="100" t="s">
        <v>117</v>
      </c>
      <c r="F23" s="100" t="s">
        <v>67</v>
      </c>
    </row>
    <row r="24" spans="1:11" x14ac:dyDescent="0.55000000000000004">
      <c r="A24" s="97" t="s">
        <v>53</v>
      </c>
      <c r="B24" s="102">
        <v>35000</v>
      </c>
      <c r="D24" s="102">
        <v>95000</v>
      </c>
      <c r="F24" s="103">
        <f t="shared" ref="F24:F39" si="2">+D24-B24</f>
        <v>60000</v>
      </c>
      <c r="G24" s="104">
        <f t="shared" ref="G24:G40" si="3">IFERROR(+F24/B24,0)</f>
        <v>1.7142857142857142</v>
      </c>
    </row>
    <row r="25" spans="1:11" x14ac:dyDescent="0.55000000000000004">
      <c r="A25" s="97" t="s">
        <v>73</v>
      </c>
      <c r="B25" s="102">
        <v>10000</v>
      </c>
      <c r="D25" s="102">
        <v>10000</v>
      </c>
      <c r="F25" s="103">
        <f t="shared" si="2"/>
        <v>0</v>
      </c>
      <c r="G25" s="104">
        <f t="shared" si="3"/>
        <v>0</v>
      </c>
    </row>
    <row r="26" spans="1:11" x14ac:dyDescent="0.55000000000000004">
      <c r="A26" s="97" t="s">
        <v>94</v>
      </c>
      <c r="B26" s="102">
        <v>10000</v>
      </c>
      <c r="D26" s="102">
        <v>10000</v>
      </c>
      <c r="F26" s="103">
        <f t="shared" si="2"/>
        <v>0</v>
      </c>
      <c r="G26" s="104">
        <f t="shared" si="3"/>
        <v>0</v>
      </c>
    </row>
    <row r="27" spans="1:11" x14ac:dyDescent="0.55000000000000004">
      <c r="A27" s="97" t="s">
        <v>54</v>
      </c>
      <c r="B27" s="102">
        <v>17250</v>
      </c>
      <c r="D27" s="102">
        <v>20000</v>
      </c>
      <c r="F27" s="103">
        <f t="shared" si="2"/>
        <v>2750</v>
      </c>
      <c r="G27" s="104">
        <f t="shared" si="3"/>
        <v>0.15942028985507245</v>
      </c>
    </row>
    <row r="28" spans="1:11" x14ac:dyDescent="0.55000000000000004">
      <c r="A28" s="97" t="s">
        <v>55</v>
      </c>
      <c r="B28" s="102">
        <v>115000</v>
      </c>
      <c r="D28" s="102">
        <v>250000</v>
      </c>
      <c r="F28" s="103">
        <f t="shared" si="2"/>
        <v>135000</v>
      </c>
      <c r="G28" s="104">
        <f t="shared" si="3"/>
        <v>1.173913043478261</v>
      </c>
    </row>
    <row r="29" spans="1:11" x14ac:dyDescent="0.55000000000000004">
      <c r="A29" s="97" t="s">
        <v>56</v>
      </c>
      <c r="B29" s="102">
        <v>400000</v>
      </c>
      <c r="D29" s="102">
        <v>400000</v>
      </c>
      <c r="F29" s="103">
        <f t="shared" si="2"/>
        <v>0</v>
      </c>
      <c r="G29" s="104">
        <f t="shared" si="3"/>
        <v>0</v>
      </c>
    </row>
    <row r="30" spans="1:11" x14ac:dyDescent="0.55000000000000004">
      <c r="A30" s="97" t="s">
        <v>115</v>
      </c>
      <c r="B30" s="102">
        <v>5000</v>
      </c>
      <c r="D30" s="102">
        <v>10000</v>
      </c>
      <c r="F30" s="103">
        <f t="shared" si="2"/>
        <v>5000</v>
      </c>
      <c r="G30" s="104">
        <f t="shared" si="3"/>
        <v>1</v>
      </c>
    </row>
    <row r="31" spans="1:11" x14ac:dyDescent="0.55000000000000004">
      <c r="A31" s="97" t="s">
        <v>127</v>
      </c>
      <c r="B31" s="102">
        <v>0</v>
      </c>
      <c r="D31" s="102">
        <v>10000</v>
      </c>
      <c r="F31" s="103">
        <f t="shared" si="2"/>
        <v>10000</v>
      </c>
      <c r="G31" s="104">
        <f t="shared" si="3"/>
        <v>0</v>
      </c>
    </row>
    <row r="32" spans="1:11" x14ac:dyDescent="0.55000000000000004">
      <c r="A32" s="97" t="s">
        <v>57</v>
      </c>
      <c r="B32" s="102">
        <v>100000</v>
      </c>
      <c r="D32" s="102">
        <v>55000</v>
      </c>
      <c r="F32" s="103">
        <f t="shared" si="2"/>
        <v>-45000</v>
      </c>
      <c r="G32" s="104">
        <f t="shared" si="3"/>
        <v>-0.45</v>
      </c>
    </row>
    <row r="33" spans="1:11" x14ac:dyDescent="0.55000000000000004">
      <c r="A33" s="97" t="s">
        <v>58</v>
      </c>
      <c r="B33" s="102">
        <v>425000</v>
      </c>
      <c r="D33" s="102">
        <v>425000</v>
      </c>
      <c r="F33" s="103">
        <f t="shared" si="2"/>
        <v>0</v>
      </c>
      <c r="G33" s="104">
        <f t="shared" si="3"/>
        <v>0</v>
      </c>
    </row>
    <row r="34" spans="1:11" x14ac:dyDescent="0.55000000000000004">
      <c r="A34" s="97" t="s">
        <v>59</v>
      </c>
      <c r="B34" s="102">
        <v>595000</v>
      </c>
      <c r="D34" s="102">
        <v>700000</v>
      </c>
      <c r="F34" s="103">
        <f t="shared" si="2"/>
        <v>105000</v>
      </c>
      <c r="G34" s="104">
        <f t="shared" si="3"/>
        <v>0.17647058823529413</v>
      </c>
    </row>
    <row r="35" spans="1:11" x14ac:dyDescent="0.55000000000000004">
      <c r="A35" s="97" t="s">
        <v>60</v>
      </c>
      <c r="B35" s="102">
        <v>50000</v>
      </c>
      <c r="D35" s="102">
        <v>75000</v>
      </c>
      <c r="F35" s="103">
        <f t="shared" si="2"/>
        <v>25000</v>
      </c>
      <c r="G35" s="104">
        <f t="shared" si="3"/>
        <v>0.5</v>
      </c>
    </row>
    <row r="36" spans="1:11" x14ac:dyDescent="0.55000000000000004">
      <c r="A36" s="97" t="s">
        <v>61</v>
      </c>
      <c r="B36" s="102">
        <v>100000</v>
      </c>
      <c r="D36" s="102">
        <v>100000</v>
      </c>
      <c r="F36" s="103">
        <f t="shared" si="2"/>
        <v>0</v>
      </c>
      <c r="G36" s="104">
        <f t="shared" si="3"/>
        <v>0</v>
      </c>
    </row>
    <row r="37" spans="1:11" x14ac:dyDescent="0.55000000000000004">
      <c r="A37" s="97" t="s">
        <v>74</v>
      </c>
      <c r="B37" s="102">
        <v>5000</v>
      </c>
      <c r="D37" s="102">
        <v>5000</v>
      </c>
      <c r="F37" s="103">
        <f t="shared" si="2"/>
        <v>0</v>
      </c>
      <c r="G37" s="104">
        <f t="shared" si="3"/>
        <v>0</v>
      </c>
    </row>
    <row r="38" spans="1:11" x14ac:dyDescent="0.55000000000000004">
      <c r="A38" s="97" t="s">
        <v>72</v>
      </c>
      <c r="B38" s="102">
        <v>5000</v>
      </c>
      <c r="D38" s="102">
        <v>10000</v>
      </c>
      <c r="F38" s="103">
        <f t="shared" si="2"/>
        <v>5000</v>
      </c>
      <c r="G38" s="104">
        <f t="shared" si="3"/>
        <v>1</v>
      </c>
    </row>
    <row r="39" spans="1:11" x14ac:dyDescent="0.55000000000000004">
      <c r="A39" s="97" t="s">
        <v>19</v>
      </c>
      <c r="B39" s="106">
        <v>75000</v>
      </c>
      <c r="C39" s="106"/>
      <c r="D39" s="106">
        <v>75000</v>
      </c>
      <c r="E39" s="106"/>
      <c r="F39" s="155">
        <f t="shared" si="2"/>
        <v>0</v>
      </c>
      <c r="G39" s="104">
        <f t="shared" si="3"/>
        <v>0</v>
      </c>
    </row>
    <row r="40" spans="1:11" ht="15" x14ac:dyDescent="0.5">
      <c r="A40" s="113" t="s">
        <v>62</v>
      </c>
      <c r="B40" s="114">
        <f>SUM(B24:B39)</f>
        <v>1947250</v>
      </c>
      <c r="C40" s="114"/>
      <c r="D40" s="114">
        <f>SUM(D24:D39)</f>
        <v>2250000</v>
      </c>
      <c r="E40" s="114"/>
      <c r="F40" s="114">
        <f>SUM(F24:F39)</f>
        <v>302750</v>
      </c>
      <c r="G40" s="199">
        <f t="shared" si="3"/>
        <v>0.15547567081782002</v>
      </c>
      <c r="K40" s="73"/>
    </row>
    <row r="41" spans="1:11" x14ac:dyDescent="0.55000000000000004">
      <c r="F41" s="98" t="s">
        <v>66</v>
      </c>
      <c r="H41" s="74"/>
      <c r="I41" s="74"/>
      <c r="J41" s="74"/>
      <c r="K41" s="74"/>
    </row>
    <row r="42" spans="1:11" x14ac:dyDescent="0.55000000000000004">
      <c r="A42" s="112" t="s">
        <v>63</v>
      </c>
      <c r="B42" s="100" t="s">
        <v>108</v>
      </c>
      <c r="C42" s="100"/>
      <c r="D42" s="100" t="s">
        <v>117</v>
      </c>
      <c r="F42" s="100" t="s">
        <v>67</v>
      </c>
    </row>
    <row r="43" spans="1:11" x14ac:dyDescent="0.55000000000000004">
      <c r="A43" s="97" t="s">
        <v>112</v>
      </c>
      <c r="B43" s="96">
        <v>150000</v>
      </c>
      <c r="C43" s="96"/>
      <c r="D43" s="96">
        <v>0</v>
      </c>
      <c r="F43" s="103">
        <f t="shared" ref="F43:F55" si="4">+D43-B43</f>
        <v>-150000</v>
      </c>
      <c r="G43" s="104">
        <f t="shared" ref="G43:G56" si="5">IFERROR(+F43/B43,0)</f>
        <v>-1</v>
      </c>
    </row>
    <row r="44" spans="1:11" x14ac:dyDescent="0.55000000000000004">
      <c r="A44" s="97" t="s">
        <v>113</v>
      </c>
      <c r="B44" s="96">
        <v>92424</v>
      </c>
      <c r="C44" s="96"/>
      <c r="D44" s="96">
        <v>0</v>
      </c>
      <c r="F44" s="103">
        <f t="shared" si="4"/>
        <v>-92424</v>
      </c>
      <c r="G44" s="104">
        <f t="shared" si="5"/>
        <v>-1</v>
      </c>
    </row>
    <row r="45" spans="1:11" x14ac:dyDescent="0.55000000000000004">
      <c r="A45" s="97" t="s">
        <v>123</v>
      </c>
      <c r="B45" s="96">
        <v>0</v>
      </c>
      <c r="C45" s="96"/>
      <c r="D45" s="96">
        <v>100000</v>
      </c>
      <c r="F45" s="103">
        <f t="shared" si="4"/>
        <v>100000</v>
      </c>
      <c r="G45" s="104">
        <f t="shared" si="5"/>
        <v>0</v>
      </c>
    </row>
    <row r="46" spans="1:11" x14ac:dyDescent="0.55000000000000004">
      <c r="A46" s="97" t="s">
        <v>122</v>
      </c>
      <c r="B46" s="96">
        <v>0</v>
      </c>
      <c r="C46" s="96"/>
      <c r="D46" s="96">
        <v>75000</v>
      </c>
      <c r="F46" s="103">
        <f t="shared" si="4"/>
        <v>75000</v>
      </c>
      <c r="G46" s="104">
        <f t="shared" si="5"/>
        <v>0</v>
      </c>
    </row>
    <row r="47" spans="1:11" x14ac:dyDescent="0.55000000000000004">
      <c r="A47" s="97" t="s">
        <v>98</v>
      </c>
      <c r="B47" s="96">
        <v>54000</v>
      </c>
      <c r="C47" s="96"/>
      <c r="D47" s="96">
        <v>56000</v>
      </c>
      <c r="F47" s="103">
        <f t="shared" si="4"/>
        <v>2000</v>
      </c>
      <c r="G47" s="104">
        <f t="shared" si="5"/>
        <v>3.7037037037037035E-2</v>
      </c>
    </row>
    <row r="48" spans="1:11" x14ac:dyDescent="0.55000000000000004">
      <c r="A48" s="97" t="s">
        <v>120</v>
      </c>
      <c r="B48" s="96">
        <v>0</v>
      </c>
      <c r="C48" s="96"/>
      <c r="D48" s="96">
        <v>15000</v>
      </c>
      <c r="F48" s="103">
        <f t="shared" si="4"/>
        <v>15000</v>
      </c>
      <c r="G48" s="104">
        <f t="shared" si="5"/>
        <v>0</v>
      </c>
    </row>
    <row r="49" spans="1:12" x14ac:dyDescent="0.55000000000000004">
      <c r="A49" s="97" t="s">
        <v>116</v>
      </c>
      <c r="B49" s="96">
        <v>0</v>
      </c>
      <c r="C49" s="96"/>
      <c r="D49" s="96">
        <v>5000</v>
      </c>
      <c r="F49" s="103">
        <f t="shared" si="4"/>
        <v>5000</v>
      </c>
      <c r="G49" s="104">
        <f t="shared" si="5"/>
        <v>0</v>
      </c>
    </row>
    <row r="50" spans="1:12" x14ac:dyDescent="0.55000000000000004">
      <c r="A50" s="97" t="s">
        <v>109</v>
      </c>
      <c r="B50" s="96">
        <v>1400000</v>
      </c>
      <c r="C50" s="96"/>
      <c r="D50" s="96">
        <v>0</v>
      </c>
      <c r="F50" s="103">
        <f t="shared" si="4"/>
        <v>-1400000</v>
      </c>
      <c r="G50" s="104">
        <f t="shared" si="5"/>
        <v>-1</v>
      </c>
    </row>
    <row r="51" spans="1:12" x14ac:dyDescent="0.55000000000000004">
      <c r="A51" s="97" t="s">
        <v>110</v>
      </c>
      <c r="B51" s="96">
        <v>25000</v>
      </c>
      <c r="C51" s="96"/>
      <c r="D51" s="96">
        <v>0</v>
      </c>
      <c r="F51" s="103">
        <f t="shared" si="4"/>
        <v>-25000</v>
      </c>
      <c r="G51" s="104">
        <f t="shared" si="5"/>
        <v>-1</v>
      </c>
    </row>
    <row r="52" spans="1:12" x14ac:dyDescent="0.55000000000000004">
      <c r="A52" s="97" t="s">
        <v>111</v>
      </c>
      <c r="B52" s="96">
        <v>95000</v>
      </c>
      <c r="C52" s="96"/>
      <c r="D52" s="96">
        <v>25000</v>
      </c>
      <c r="F52" s="103">
        <f t="shared" si="4"/>
        <v>-70000</v>
      </c>
      <c r="G52" s="104">
        <f t="shared" si="5"/>
        <v>-0.73684210526315785</v>
      </c>
    </row>
    <row r="53" spans="1:12" x14ac:dyDescent="0.55000000000000004">
      <c r="A53" s="97" t="s">
        <v>121</v>
      </c>
      <c r="B53" s="96">
        <v>0</v>
      </c>
      <c r="C53" s="96"/>
      <c r="D53" s="96">
        <v>0</v>
      </c>
      <c r="F53" s="103">
        <f t="shared" si="4"/>
        <v>0</v>
      </c>
      <c r="G53" s="104">
        <f t="shared" si="5"/>
        <v>0</v>
      </c>
    </row>
    <row r="54" spans="1:12" x14ac:dyDescent="0.55000000000000004">
      <c r="A54" s="97" t="s">
        <v>69</v>
      </c>
      <c r="B54" s="102">
        <v>150000</v>
      </c>
      <c r="D54" s="102">
        <v>135000</v>
      </c>
      <c r="F54" s="103">
        <f t="shared" si="4"/>
        <v>-15000</v>
      </c>
      <c r="G54" s="104">
        <f t="shared" si="5"/>
        <v>-0.1</v>
      </c>
    </row>
    <row r="55" spans="1:12" x14ac:dyDescent="0.55000000000000004">
      <c r="A55" s="97" t="s">
        <v>119</v>
      </c>
      <c r="B55" s="106">
        <v>0</v>
      </c>
      <c r="C55" s="106"/>
      <c r="D55" s="106">
        <v>0</v>
      </c>
      <c r="E55" s="106"/>
      <c r="F55" s="103">
        <f t="shared" si="4"/>
        <v>0</v>
      </c>
      <c r="G55" s="104">
        <f t="shared" si="5"/>
        <v>0</v>
      </c>
      <c r="H55" s="70"/>
    </row>
    <row r="56" spans="1:12" ht="15" x14ac:dyDescent="0.5">
      <c r="A56" s="115" t="s">
        <v>64</v>
      </c>
      <c r="B56" s="116">
        <f>SUM(B43:B55)</f>
        <v>1966424</v>
      </c>
      <c r="C56" s="116"/>
      <c r="D56" s="116">
        <f>SUM(D43:D55)</f>
        <v>411000</v>
      </c>
      <c r="E56" s="116"/>
      <c r="F56" s="116">
        <f>SUM(F43:F55)</f>
        <v>-1555424</v>
      </c>
      <c r="G56" s="201">
        <f t="shared" si="5"/>
        <v>-0.79099115958714905</v>
      </c>
    </row>
    <row r="57" spans="1:12" ht="10.15" customHeight="1" x14ac:dyDescent="0.55000000000000004">
      <c r="G57" s="202"/>
    </row>
    <row r="58" spans="1:12" ht="15" x14ac:dyDescent="0.5">
      <c r="A58" s="117" t="s">
        <v>88</v>
      </c>
      <c r="B58" s="118">
        <v>1960000</v>
      </c>
      <c r="C58" s="118"/>
      <c r="D58" s="118">
        <v>1635000</v>
      </c>
      <c r="E58" s="118"/>
      <c r="F58" s="118">
        <f>+D58-B58</f>
        <v>-325000</v>
      </c>
      <c r="G58" s="203">
        <f>IFERROR(+F58/B58,0)</f>
        <v>-0.16581632653061223</v>
      </c>
    </row>
    <row r="59" spans="1:12" thickBot="1" x14ac:dyDescent="0.55000000000000004">
      <c r="A59" s="112"/>
      <c r="B59" s="103"/>
      <c r="C59" s="103"/>
      <c r="D59" s="103"/>
      <c r="E59" s="103"/>
      <c r="F59" s="103"/>
      <c r="G59" s="204"/>
    </row>
    <row r="60" spans="1:12" thickBot="1" x14ac:dyDescent="0.55000000000000004">
      <c r="A60" s="121" t="s">
        <v>100</v>
      </c>
      <c r="B60" s="122">
        <f>+B58+B56+B40+B21</f>
        <v>34467115</v>
      </c>
      <c r="C60" s="122"/>
      <c r="D60" s="122">
        <f>+D58+D56+D40+D21</f>
        <v>35171464</v>
      </c>
      <c r="E60" s="122"/>
      <c r="F60" s="122">
        <f>+F58+F56+F40+F21</f>
        <v>704349</v>
      </c>
      <c r="G60" s="205">
        <f>IFERROR(+F60/B60,0)</f>
        <v>2.0435391822030941E-2</v>
      </c>
    </row>
    <row r="61" spans="1:12" ht="15" x14ac:dyDescent="0.5">
      <c r="A61" s="112"/>
      <c r="B61" s="103"/>
      <c r="C61" s="103"/>
      <c r="D61" s="103"/>
      <c r="E61" s="103"/>
      <c r="F61" s="103"/>
      <c r="G61" s="204"/>
    </row>
    <row r="62" spans="1:12" ht="15" x14ac:dyDescent="0.5">
      <c r="A62" s="138" t="s">
        <v>99</v>
      </c>
      <c r="B62" s="157">
        <v>860000</v>
      </c>
      <c r="C62" s="157"/>
      <c r="D62" s="157">
        <v>573333</v>
      </c>
      <c r="E62" s="119"/>
      <c r="F62" s="157">
        <f>+D62-B62</f>
        <v>-286667</v>
      </c>
      <c r="G62" s="206">
        <f>IFERROR(+F62/B62,0)</f>
        <v>-0.33333372093023256</v>
      </c>
    </row>
    <row r="63" spans="1:12" s="172" customFormat="1" ht="15" hidden="1" x14ac:dyDescent="0.5">
      <c r="A63" s="135"/>
      <c r="B63" s="111"/>
      <c r="C63" s="111"/>
      <c r="D63" s="111"/>
      <c r="E63" s="120"/>
      <c r="F63" s="98" t="s">
        <v>66</v>
      </c>
      <c r="G63" s="207"/>
      <c r="H63" s="68"/>
      <c r="I63" s="68"/>
      <c r="J63" s="68"/>
      <c r="K63" s="68"/>
      <c r="L63" s="68"/>
    </row>
    <row r="64" spans="1:12" hidden="1" x14ac:dyDescent="0.55000000000000004">
      <c r="B64" s="100" t="s">
        <v>108</v>
      </c>
      <c r="C64" s="100"/>
      <c r="D64" s="100"/>
      <c r="E64" s="96"/>
      <c r="F64" s="101" t="s">
        <v>67</v>
      </c>
      <c r="G64" s="208"/>
    </row>
    <row r="65" spans="1:12" ht="15.6" thickBot="1" x14ac:dyDescent="0.6">
      <c r="B65" s="100"/>
      <c r="C65" s="100"/>
      <c r="D65" s="100"/>
      <c r="E65" s="96"/>
      <c r="F65" s="101"/>
      <c r="G65" s="208"/>
    </row>
    <row r="66" spans="1:12" thickBot="1" x14ac:dyDescent="0.55000000000000004">
      <c r="A66" s="121" t="s">
        <v>65</v>
      </c>
      <c r="B66" s="122">
        <f>SUM(B21+B40+B56+B58+B62)</f>
        <v>35327115</v>
      </c>
      <c r="C66" s="122"/>
      <c r="D66" s="122">
        <f>SUM(D21+D40+D56+D58+D62)</f>
        <v>35744797</v>
      </c>
      <c r="E66" s="122"/>
      <c r="F66" s="122">
        <f>SUM(F21+F40+F56+F58+F62)</f>
        <v>417682</v>
      </c>
      <c r="G66" s="205">
        <f>IFERROR(+F66/B66,0)</f>
        <v>1.1823269463130516E-2</v>
      </c>
    </row>
    <row r="67" spans="1:12" x14ac:dyDescent="0.55000000000000004">
      <c r="E67" s="98"/>
      <c r="F67" s="98" t="s">
        <v>66</v>
      </c>
    </row>
    <row r="68" spans="1:12" x14ac:dyDescent="0.55000000000000004">
      <c r="A68" s="112"/>
      <c r="B68" s="100" t="s">
        <v>108</v>
      </c>
      <c r="C68" s="100"/>
      <c r="D68" s="100" t="s">
        <v>117</v>
      </c>
      <c r="E68" s="100"/>
      <c r="F68" s="100" t="s">
        <v>67</v>
      </c>
    </row>
    <row r="69" spans="1:12" x14ac:dyDescent="0.55000000000000004">
      <c r="A69" s="123" t="s">
        <v>70</v>
      </c>
      <c r="B69" s="124"/>
      <c r="C69" s="124"/>
      <c r="D69" s="124"/>
      <c r="E69" s="124"/>
      <c r="F69" s="125"/>
      <c r="G69" s="126"/>
    </row>
    <row r="70" spans="1:12" x14ac:dyDescent="0.55000000000000004">
      <c r="A70" s="127" t="s">
        <v>28</v>
      </c>
      <c r="B70" s="165">
        <v>112000</v>
      </c>
      <c r="C70" s="165"/>
      <c r="D70" s="165">
        <v>122306</v>
      </c>
      <c r="E70" s="128"/>
      <c r="F70" s="165">
        <f t="shared" ref="F70:F77" si="6">+D70-B70</f>
        <v>10306</v>
      </c>
      <c r="G70" s="210">
        <f t="shared" ref="G70:G78" si="7">IFERROR(+F70/B70,0)</f>
        <v>9.2017857142857137E-2</v>
      </c>
      <c r="I70" s="68"/>
    </row>
    <row r="71" spans="1:12" x14ac:dyDescent="0.55000000000000004">
      <c r="A71" s="127" t="s">
        <v>29</v>
      </c>
      <c r="B71" s="165">
        <v>486279</v>
      </c>
      <c r="C71" s="165"/>
      <c r="D71" s="165">
        <v>485510</v>
      </c>
      <c r="E71" s="128"/>
      <c r="F71" s="165">
        <f t="shared" si="6"/>
        <v>-769</v>
      </c>
      <c r="G71" s="210">
        <f t="shared" si="7"/>
        <v>-1.5813966879096157E-3</v>
      </c>
      <c r="I71" s="68"/>
      <c r="J71" s="70"/>
      <c r="K71" s="70"/>
      <c r="L71" s="70"/>
    </row>
    <row r="72" spans="1:12" x14ac:dyDescent="0.55000000000000004">
      <c r="A72" s="127" t="s">
        <v>19</v>
      </c>
      <c r="B72" s="165">
        <v>12000</v>
      </c>
      <c r="C72" s="165"/>
      <c r="D72" s="165">
        <v>17200</v>
      </c>
      <c r="E72" s="128"/>
      <c r="F72" s="165">
        <f t="shared" si="6"/>
        <v>5200</v>
      </c>
      <c r="G72" s="210">
        <f t="shared" si="7"/>
        <v>0.43333333333333335</v>
      </c>
      <c r="J72" s="70"/>
      <c r="K72" s="70"/>
      <c r="L72" s="70"/>
    </row>
    <row r="73" spans="1:12" x14ac:dyDescent="0.55000000000000004">
      <c r="A73" s="127" t="s">
        <v>30</v>
      </c>
      <c r="B73" s="165">
        <v>12795</v>
      </c>
      <c r="C73" s="165"/>
      <c r="D73" s="165">
        <v>12795</v>
      </c>
      <c r="E73" s="128"/>
      <c r="F73" s="165">
        <f t="shared" si="6"/>
        <v>0</v>
      </c>
      <c r="G73" s="210">
        <f t="shared" si="7"/>
        <v>0</v>
      </c>
      <c r="I73" s="73"/>
      <c r="J73" s="70"/>
      <c r="K73" s="70"/>
      <c r="L73" s="70"/>
    </row>
    <row r="74" spans="1:12" x14ac:dyDescent="0.55000000000000004">
      <c r="A74" s="127" t="s">
        <v>31</v>
      </c>
      <c r="B74" s="165">
        <v>386675</v>
      </c>
      <c r="C74" s="165"/>
      <c r="D74" s="165">
        <v>398483</v>
      </c>
      <c r="E74" s="128"/>
      <c r="F74" s="165">
        <f t="shared" si="6"/>
        <v>11808</v>
      </c>
      <c r="G74" s="210">
        <f t="shared" si="7"/>
        <v>3.0537272903601215E-2</v>
      </c>
      <c r="J74" s="70"/>
      <c r="K74" s="70"/>
      <c r="L74" s="70"/>
    </row>
    <row r="75" spans="1:12" x14ac:dyDescent="0.55000000000000004">
      <c r="A75" s="127" t="s">
        <v>32</v>
      </c>
      <c r="B75" s="165">
        <v>4445218.6500000004</v>
      </c>
      <c r="C75" s="165"/>
      <c r="D75" s="165">
        <v>4816318</v>
      </c>
      <c r="E75" s="128"/>
      <c r="F75" s="165">
        <f t="shared" si="6"/>
        <v>371099.34999999963</v>
      </c>
      <c r="G75" s="210">
        <f t="shared" si="7"/>
        <v>8.3482811357322009E-2</v>
      </c>
      <c r="J75" s="70"/>
      <c r="K75" s="70"/>
      <c r="L75" s="70"/>
    </row>
    <row r="76" spans="1:12" x14ac:dyDescent="0.55000000000000004">
      <c r="A76" s="127" t="s">
        <v>95</v>
      </c>
      <c r="B76" s="165">
        <v>550000</v>
      </c>
      <c r="C76" s="165"/>
      <c r="D76" s="165">
        <v>550000</v>
      </c>
      <c r="E76" s="128"/>
      <c r="F76" s="165">
        <f t="shared" si="6"/>
        <v>0</v>
      </c>
      <c r="G76" s="210">
        <f t="shared" si="7"/>
        <v>0</v>
      </c>
      <c r="J76" s="70"/>
      <c r="K76" s="70"/>
      <c r="L76" s="70"/>
    </row>
    <row r="77" spans="1:12" x14ac:dyDescent="0.55000000000000004">
      <c r="A77" s="127" t="s">
        <v>33</v>
      </c>
      <c r="B77" s="165">
        <v>438101</v>
      </c>
      <c r="C77" s="165"/>
      <c r="D77" s="165">
        <v>431147</v>
      </c>
      <c r="E77" s="129"/>
      <c r="F77" s="165">
        <f t="shared" si="6"/>
        <v>-6954</v>
      </c>
      <c r="G77" s="210">
        <f t="shared" si="7"/>
        <v>-1.5873052104423409E-2</v>
      </c>
      <c r="J77" s="70"/>
      <c r="K77" s="70"/>
      <c r="L77" s="70"/>
    </row>
    <row r="78" spans="1:12" x14ac:dyDescent="0.55000000000000004">
      <c r="A78" s="127" t="s">
        <v>34</v>
      </c>
      <c r="B78" s="130">
        <f>SUM(B70:B77)</f>
        <v>6443068.6500000004</v>
      </c>
      <c r="C78" s="130"/>
      <c r="D78" s="130">
        <f>SUM(D70:D77)</f>
        <v>6833759</v>
      </c>
      <c r="E78" s="130"/>
      <c r="F78" s="130">
        <f>SUM(F70:F77)</f>
        <v>390690.34999999963</v>
      </c>
      <c r="G78" s="211">
        <f t="shared" si="7"/>
        <v>6.0637309832171291E-2</v>
      </c>
      <c r="J78" s="70"/>
      <c r="K78" s="70"/>
      <c r="L78" s="70"/>
    </row>
    <row r="79" spans="1:12" x14ac:dyDescent="0.55000000000000004">
      <c r="B79" s="105"/>
      <c r="C79" s="105"/>
      <c r="D79" s="105"/>
      <c r="E79" s="105"/>
      <c r="F79" s="106"/>
      <c r="J79" s="70"/>
      <c r="K79" s="70"/>
      <c r="L79" s="70"/>
    </row>
    <row r="80" spans="1:12" ht="15" x14ac:dyDescent="0.5">
      <c r="A80" s="110" t="s">
        <v>71</v>
      </c>
      <c r="B80" s="103">
        <f>SUM(B66:B77)</f>
        <v>41770183.649999999</v>
      </c>
      <c r="C80" s="103"/>
      <c r="D80" s="103">
        <f>SUM(D66:D77)</f>
        <v>42578556</v>
      </c>
      <c r="E80" s="103"/>
      <c r="F80" s="103">
        <f>SUM(F66:F77)</f>
        <v>808372.34999999963</v>
      </c>
      <c r="G80" s="204">
        <f>IFERROR(+F80/B80,0)</f>
        <v>1.9352856017428588E-2</v>
      </c>
      <c r="J80" s="70"/>
      <c r="K80" s="70"/>
      <c r="L80" s="70"/>
    </row>
    <row r="82" spans="1:12" ht="60" customHeight="1" x14ac:dyDescent="0.55000000000000004">
      <c r="A82" s="232"/>
      <c r="B82" s="232"/>
      <c r="C82" s="232"/>
      <c r="D82" s="232"/>
      <c r="E82" s="232"/>
      <c r="F82" s="232"/>
      <c r="G82" s="232"/>
      <c r="H82" s="70"/>
      <c r="J82" s="70"/>
      <c r="K82" s="70"/>
      <c r="L82" s="70"/>
    </row>
    <row r="83" spans="1:12" x14ac:dyDescent="0.55000000000000004">
      <c r="B83" s="106"/>
      <c r="C83" s="106"/>
      <c r="D83" s="106"/>
      <c r="E83" s="106"/>
      <c r="J83" s="70"/>
      <c r="K83" s="70"/>
      <c r="L83" s="70"/>
    </row>
    <row r="84" spans="1:12" x14ac:dyDescent="0.55000000000000004">
      <c r="G84" s="105"/>
      <c r="I84" s="73"/>
      <c r="J84" s="70"/>
      <c r="K84" s="70"/>
      <c r="L84" s="70"/>
    </row>
    <row r="85" spans="1:12" x14ac:dyDescent="0.55000000000000004">
      <c r="A85" s="70"/>
      <c r="B85" s="209"/>
      <c r="C85" s="170"/>
      <c r="D85" s="225">
        <f>+D80-'operating one'!O44</f>
        <v>42578556</v>
      </c>
      <c r="G85" s="111"/>
      <c r="I85" s="74"/>
      <c r="J85" s="70"/>
      <c r="K85" s="70"/>
      <c r="L85" s="70"/>
    </row>
    <row r="87" spans="1:12" x14ac:dyDescent="0.55000000000000004">
      <c r="A87" s="70"/>
      <c r="I87" s="74"/>
      <c r="J87" s="70"/>
      <c r="K87" s="70"/>
      <c r="L87" s="70"/>
    </row>
    <row r="93" spans="1:12" x14ac:dyDescent="0.55000000000000004">
      <c r="A93" s="70"/>
      <c r="B93" s="103"/>
      <c r="C93" s="103"/>
      <c r="D93" s="103"/>
      <c r="E93" s="103"/>
      <c r="F93" s="103"/>
      <c r="J93" s="70"/>
      <c r="K93" s="70"/>
      <c r="L93" s="70"/>
    </row>
  </sheetData>
  <mergeCells count="3">
    <mergeCell ref="H2:K2"/>
    <mergeCell ref="A1:G1"/>
    <mergeCell ref="A82:G82"/>
  </mergeCells>
  <printOptions gridLines="1"/>
  <pageMargins left="0.75" right="0.25" top="0.5" bottom="0" header="0.5" footer="0.5"/>
  <pageSetup scale="78" orientation="portrait" r:id="rId1"/>
  <headerFooter alignWithMargins="0"/>
  <rowBreaks count="2" manualBreakCount="2">
    <brk id="64" max="6" man="1"/>
    <brk id="8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workbookViewId="0">
      <selection activeCell="E29" sqref="E29"/>
    </sheetView>
  </sheetViews>
  <sheetFormatPr defaultRowHeight="12.3" x14ac:dyDescent="0.4"/>
  <cols>
    <col min="1" max="1" width="54" bestFit="1" customWidth="1"/>
    <col min="2" max="2" width="15.5546875" bestFit="1" customWidth="1"/>
    <col min="3" max="3" width="4.27734375" customWidth="1"/>
    <col min="4" max="4" width="15.5546875" customWidth="1"/>
    <col min="5" max="5" width="2.1640625" customWidth="1"/>
    <col min="6" max="6" width="15.5546875" bestFit="1" customWidth="1"/>
    <col min="8" max="8" width="13.71875" bestFit="1" customWidth="1"/>
    <col min="10" max="10" width="13.71875" bestFit="1" customWidth="1"/>
    <col min="12" max="12" width="13.71875" bestFit="1" customWidth="1"/>
  </cols>
  <sheetData>
    <row r="1" spans="1:12" ht="15" x14ac:dyDescent="0.5">
      <c r="A1" s="239" t="s">
        <v>78</v>
      </c>
      <c r="B1" s="240"/>
      <c r="C1" s="240"/>
      <c r="D1" s="240"/>
      <c r="E1" s="240"/>
      <c r="F1" s="240"/>
      <c r="G1" s="240"/>
    </row>
    <row r="2" spans="1:12" ht="15" x14ac:dyDescent="0.5">
      <c r="A2" s="131"/>
      <c r="B2" s="131"/>
      <c r="C2" s="131"/>
      <c r="D2" s="131"/>
      <c r="E2" s="131"/>
      <c r="F2" s="131"/>
      <c r="G2" s="131"/>
    </row>
    <row r="3" spans="1:12" ht="15" x14ac:dyDescent="0.5">
      <c r="A3" s="131"/>
      <c r="B3" s="166" t="s">
        <v>108</v>
      </c>
      <c r="C3" s="166"/>
      <c r="D3" s="166" t="s">
        <v>117</v>
      </c>
      <c r="E3" s="162"/>
      <c r="F3" s="162" t="s">
        <v>66</v>
      </c>
      <c r="G3" s="131"/>
    </row>
    <row r="4" spans="1:12" ht="15" x14ac:dyDescent="0.5">
      <c r="A4" s="131"/>
      <c r="B4" s="132" t="s">
        <v>79</v>
      </c>
      <c r="C4" s="132"/>
      <c r="D4" s="132" t="s">
        <v>79</v>
      </c>
      <c r="E4" s="132"/>
      <c r="F4" s="132" t="s">
        <v>67</v>
      </c>
      <c r="G4" s="131"/>
    </row>
    <row r="5" spans="1:12" ht="15.3" x14ac:dyDescent="0.55000000000000004">
      <c r="A5" s="133" t="s">
        <v>125</v>
      </c>
      <c r="B5" s="134">
        <v>12964795</v>
      </c>
      <c r="C5" s="134"/>
      <c r="D5" s="134">
        <f>350000+12608494+48633+11814+335+15000</f>
        <v>13034276</v>
      </c>
      <c r="E5" s="134"/>
      <c r="F5" s="133">
        <f>+D5-B5</f>
        <v>69481</v>
      </c>
      <c r="G5" s="131" t="s">
        <v>80</v>
      </c>
      <c r="H5" s="82"/>
      <c r="I5" s="76"/>
      <c r="J5" s="82"/>
      <c r="K5" s="76"/>
      <c r="L5" s="82"/>
    </row>
    <row r="6" spans="1:12" ht="15" x14ac:dyDescent="0.5">
      <c r="A6" s="135"/>
      <c r="B6" s="136"/>
      <c r="C6" s="136"/>
      <c r="D6" s="136"/>
      <c r="E6" s="136"/>
      <c r="F6" s="135"/>
    </row>
    <row r="7" spans="1:12" ht="15" x14ac:dyDescent="0.5">
      <c r="A7" s="135" t="s">
        <v>89</v>
      </c>
      <c r="B7" s="136">
        <v>2484500</v>
      </c>
      <c r="C7" s="136"/>
      <c r="D7" s="136">
        <v>984500</v>
      </c>
      <c r="E7" s="136"/>
      <c r="F7" s="135">
        <f>+D7-B7</f>
        <v>-1500000</v>
      </c>
      <c r="G7" s="131"/>
    </row>
    <row r="8" spans="1:12" ht="15" x14ac:dyDescent="0.5">
      <c r="A8" s="135"/>
      <c r="B8" s="136"/>
      <c r="C8" s="136"/>
      <c r="D8" s="136"/>
      <c r="E8" s="136"/>
      <c r="F8" s="135"/>
      <c r="G8" s="131"/>
    </row>
    <row r="9" spans="1:12" ht="15" x14ac:dyDescent="0.5">
      <c r="A9" s="137" t="s">
        <v>44</v>
      </c>
      <c r="B9" s="131">
        <v>135000</v>
      </c>
      <c r="C9" s="131"/>
      <c r="D9" s="131">
        <v>135000</v>
      </c>
      <c r="E9" s="131"/>
      <c r="F9" s="137">
        <f>+D9-B9</f>
        <v>0</v>
      </c>
      <c r="G9" s="131"/>
    </row>
    <row r="10" spans="1:12" ht="15" x14ac:dyDescent="0.5">
      <c r="A10" s="137"/>
      <c r="B10" s="131"/>
      <c r="C10" s="131"/>
      <c r="D10" s="131"/>
      <c r="E10" s="131"/>
      <c r="F10" s="137"/>
      <c r="G10" s="131"/>
    </row>
    <row r="11" spans="1:12" ht="15" x14ac:dyDescent="0.5">
      <c r="A11" s="138" t="s">
        <v>99</v>
      </c>
      <c r="B11" s="139">
        <v>860000</v>
      </c>
      <c r="C11" s="139"/>
      <c r="D11" s="139">
        <v>573333</v>
      </c>
      <c r="E11" s="139"/>
      <c r="F11" s="138">
        <f>+D11-B11</f>
        <v>-286667</v>
      </c>
      <c r="G11" s="131"/>
    </row>
    <row r="12" spans="1:12" ht="15" x14ac:dyDescent="0.5">
      <c r="A12" s="135"/>
      <c r="B12" s="136"/>
      <c r="C12" s="136"/>
      <c r="D12" s="136"/>
      <c r="E12" s="136"/>
      <c r="F12" s="135"/>
      <c r="G12" s="131" t="s">
        <v>76</v>
      </c>
    </row>
    <row r="13" spans="1:12" ht="15" x14ac:dyDescent="0.5">
      <c r="A13" s="140" t="s">
        <v>45</v>
      </c>
      <c r="B13" s="141">
        <f>+'the one'!B78</f>
        <v>6443068.6500000004</v>
      </c>
      <c r="C13" s="141"/>
      <c r="D13" s="141">
        <f>+'the one'!D78</f>
        <v>6833759</v>
      </c>
      <c r="E13" s="141"/>
      <c r="F13" s="140">
        <f>+D13-B13</f>
        <v>390690.34999999963</v>
      </c>
      <c r="G13" s="131"/>
    </row>
    <row r="14" spans="1:12" ht="15.3" thickBot="1" x14ac:dyDescent="0.55000000000000004">
      <c r="A14" s="131"/>
      <c r="B14" s="136"/>
      <c r="C14" s="136"/>
      <c r="D14" s="136"/>
      <c r="E14" s="136"/>
      <c r="F14" s="131"/>
      <c r="G14" s="131"/>
    </row>
    <row r="15" spans="1:12" ht="15.3" thickBot="1" x14ac:dyDescent="0.55000000000000004">
      <c r="A15" s="142" t="s">
        <v>81</v>
      </c>
      <c r="B15" s="143">
        <f>SUM(B5+B9+B11+B13+B7)</f>
        <v>22887363.649999999</v>
      </c>
      <c r="C15" s="143"/>
      <c r="D15" s="143">
        <f>SUM(D5+D9+D11+D13+D7)</f>
        <v>21560868</v>
      </c>
      <c r="E15" s="143"/>
      <c r="F15" s="143">
        <f>SUM(F5+F9+F11+F13+F7)</f>
        <v>-1326495.6500000004</v>
      </c>
      <c r="G15" s="131"/>
      <c r="J15" s="75"/>
    </row>
    <row r="16" spans="1:12" ht="15.3" thickBot="1" x14ac:dyDescent="0.55000000000000004">
      <c r="A16" s="131"/>
      <c r="B16" s="131"/>
      <c r="C16" s="131"/>
      <c r="D16" s="131"/>
      <c r="E16" s="131"/>
      <c r="F16" s="131"/>
      <c r="G16" s="131"/>
    </row>
    <row r="17" spans="1:7" ht="15" x14ac:dyDescent="0.5">
      <c r="A17" s="144" t="s">
        <v>82</v>
      </c>
      <c r="B17" s="145"/>
      <c r="C17" s="131"/>
      <c r="D17" s="131"/>
      <c r="E17" s="131"/>
      <c r="F17" s="131"/>
      <c r="G17" s="131"/>
    </row>
    <row r="18" spans="1:7" ht="15" x14ac:dyDescent="0.5">
      <c r="A18" s="146"/>
      <c r="B18" s="222" t="s">
        <v>66</v>
      </c>
      <c r="C18" s="131"/>
      <c r="D18" s="131"/>
      <c r="E18" s="131"/>
      <c r="F18" s="131"/>
      <c r="G18" s="131"/>
    </row>
    <row r="19" spans="1:7" ht="15" x14ac:dyDescent="0.5">
      <c r="A19" s="146"/>
      <c r="B19" s="222" t="s">
        <v>67</v>
      </c>
      <c r="C19" s="131"/>
      <c r="D19" s="131"/>
      <c r="E19" s="131"/>
      <c r="F19" s="131"/>
      <c r="G19" s="131"/>
    </row>
    <row r="20" spans="1:7" ht="15" x14ac:dyDescent="0.5">
      <c r="A20" s="147" t="s">
        <v>83</v>
      </c>
      <c r="B20" s="222" t="s">
        <v>124</v>
      </c>
      <c r="C20" s="131"/>
      <c r="D20" s="131"/>
      <c r="E20" s="131"/>
      <c r="F20" s="131"/>
      <c r="G20" s="131"/>
    </row>
    <row r="21" spans="1:7" ht="15" x14ac:dyDescent="0.5">
      <c r="A21" s="148" t="s">
        <v>114</v>
      </c>
      <c r="B21" s="223">
        <v>48633</v>
      </c>
      <c r="C21" s="131"/>
      <c r="D21" s="131"/>
      <c r="E21" s="131"/>
      <c r="F21" s="131"/>
      <c r="G21" s="131"/>
    </row>
    <row r="22" spans="1:7" ht="15" x14ac:dyDescent="0.5">
      <c r="A22" s="148" t="s">
        <v>126</v>
      </c>
      <c r="B22" s="223">
        <v>-40000</v>
      </c>
      <c r="C22" s="131"/>
      <c r="D22" s="131"/>
      <c r="E22" s="131"/>
      <c r="F22" s="131"/>
      <c r="G22" s="131"/>
    </row>
    <row r="23" spans="1:7" ht="15" x14ac:dyDescent="0.5">
      <c r="A23" s="148" t="s">
        <v>128</v>
      </c>
      <c r="B23" s="223">
        <v>115000</v>
      </c>
      <c r="C23" s="131"/>
      <c r="D23" s="131"/>
      <c r="E23" s="131"/>
      <c r="F23" s="131"/>
      <c r="G23" s="131"/>
    </row>
    <row r="24" spans="1:7" ht="15" x14ac:dyDescent="0.5">
      <c r="A24" s="148" t="s">
        <v>129</v>
      </c>
      <c r="B24" s="223">
        <v>10000</v>
      </c>
      <c r="C24" s="131"/>
      <c r="D24" s="131"/>
      <c r="E24" s="131"/>
      <c r="F24" s="131"/>
      <c r="G24" s="131"/>
    </row>
    <row r="25" spans="1:7" ht="15" x14ac:dyDescent="0.5">
      <c r="A25" s="148" t="s">
        <v>104</v>
      </c>
      <c r="B25" s="223">
        <v>-25000</v>
      </c>
      <c r="C25" s="131"/>
      <c r="D25" s="131"/>
      <c r="E25" s="131"/>
      <c r="F25" s="131"/>
      <c r="G25" s="131"/>
    </row>
    <row r="26" spans="1:7" ht="15" x14ac:dyDescent="0.5">
      <c r="A26" s="148" t="s">
        <v>130</v>
      </c>
      <c r="B26" s="223">
        <v>-51818</v>
      </c>
      <c r="C26" s="131"/>
      <c r="D26" s="131"/>
      <c r="E26" s="131"/>
      <c r="F26" s="131"/>
      <c r="G26" s="131"/>
    </row>
    <row r="27" spans="1:7" ht="15.3" thickBot="1" x14ac:dyDescent="0.55000000000000004">
      <c r="A27" s="148" t="s">
        <v>84</v>
      </c>
      <c r="B27" s="224">
        <f>335+12331</f>
        <v>12666</v>
      </c>
      <c r="C27" s="131"/>
      <c r="D27" s="131"/>
      <c r="E27" s="131"/>
      <c r="F27" s="131"/>
      <c r="G27" s="131"/>
    </row>
    <row r="28" spans="1:7" ht="15.3" thickBot="1" x14ac:dyDescent="0.55000000000000004">
      <c r="A28" s="149" t="s">
        <v>0</v>
      </c>
      <c r="B28" s="224">
        <f>SUM(B21:B27)</f>
        <v>69481</v>
      </c>
      <c r="C28" s="131"/>
      <c r="D28" s="131"/>
      <c r="E28" s="131"/>
      <c r="F28" s="131"/>
      <c r="G28" s="131"/>
    </row>
    <row r="29" spans="1:7" ht="4.5" customHeight="1" x14ac:dyDescent="0.4"/>
    <row r="33" spans="4:4" x14ac:dyDescent="0.4">
      <c r="D33" s="75"/>
    </row>
  </sheetData>
  <mergeCells count="1">
    <mergeCell ref="A1:G1"/>
  </mergeCells>
  <pageMargins left="0.45" right="0.45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9"/>
  <sheetViews>
    <sheetView zoomScaleNormal="100" workbookViewId="0">
      <selection activeCell="D37" sqref="D37"/>
    </sheetView>
  </sheetViews>
  <sheetFormatPr defaultRowHeight="15.3" x14ac:dyDescent="0.55000000000000004"/>
  <cols>
    <col min="1" max="1" width="32" bestFit="1" customWidth="1"/>
    <col min="2" max="2" width="21.27734375" style="76" bestFit="1" customWidth="1"/>
    <col min="3" max="3" width="5.38671875" style="76" customWidth="1"/>
    <col min="4" max="4" width="21.27734375" style="76" customWidth="1"/>
    <col min="6" max="6" width="13.71875" bestFit="1" customWidth="1"/>
    <col min="7" max="7" width="12.27734375" bestFit="1" customWidth="1"/>
    <col min="9" max="9" width="10.27734375" bestFit="1" customWidth="1"/>
    <col min="12" max="12" width="13.83203125" bestFit="1" customWidth="1"/>
  </cols>
  <sheetData>
    <row r="1" spans="1:16" ht="20.100000000000001" x14ac:dyDescent="0.7">
      <c r="A1" s="241" t="s">
        <v>36</v>
      </c>
      <c r="B1" s="241"/>
      <c r="C1" s="241"/>
      <c r="D1" s="241"/>
      <c r="E1" s="241"/>
      <c r="F1" s="241"/>
      <c r="G1" s="241"/>
    </row>
    <row r="2" spans="1:16" ht="15" x14ac:dyDescent="0.5">
      <c r="A2" s="87"/>
      <c r="B2" s="77" t="s">
        <v>3</v>
      </c>
      <c r="C2" s="77"/>
      <c r="D2" s="77" t="s">
        <v>75</v>
      </c>
    </row>
    <row r="3" spans="1:16" ht="15" x14ac:dyDescent="0.5">
      <c r="A3" s="87"/>
      <c r="B3" s="179" t="s">
        <v>108</v>
      </c>
      <c r="C3" s="179"/>
      <c r="D3" s="179" t="s">
        <v>117</v>
      </c>
      <c r="F3" s="180" t="s">
        <v>87</v>
      </c>
      <c r="G3" s="181" t="s">
        <v>86</v>
      </c>
    </row>
    <row r="4" spans="1:16" ht="15" x14ac:dyDescent="0.5">
      <c r="A4" s="151" t="s">
        <v>37</v>
      </c>
      <c r="B4" s="78"/>
      <c r="C4" s="78"/>
      <c r="D4" s="78"/>
      <c r="F4" s="75"/>
    </row>
    <row r="5" spans="1:16" x14ac:dyDescent="0.55000000000000004">
      <c r="A5" s="87" t="s">
        <v>38</v>
      </c>
      <c r="B5" s="79">
        <f>'the one'!B21</f>
        <v>28593441</v>
      </c>
      <c r="C5" s="79"/>
      <c r="D5" s="79">
        <f>+'the one'!D21</f>
        <v>30875464</v>
      </c>
      <c r="F5" s="79">
        <f>+D5-B5</f>
        <v>2282023</v>
      </c>
      <c r="G5" s="212">
        <f>IFERROR(+F5/B5,0)</f>
        <v>7.9809317108773301E-2</v>
      </c>
    </row>
    <row r="6" spans="1:16" x14ac:dyDescent="0.55000000000000004">
      <c r="A6" s="87" t="s">
        <v>39</v>
      </c>
      <c r="B6" s="79">
        <f>+'the one'!B40</f>
        <v>1947250</v>
      </c>
      <c r="C6" s="79"/>
      <c r="D6" s="79">
        <f>+'the one'!D40</f>
        <v>2250000</v>
      </c>
      <c r="F6" s="79">
        <f t="shared" ref="F6:F10" si="0">+D6-B6</f>
        <v>302750</v>
      </c>
      <c r="G6" s="212">
        <f t="shared" ref="G6:G11" si="1">IFERROR(+F6/B6,0)</f>
        <v>0.15547567081782002</v>
      </c>
    </row>
    <row r="7" spans="1:16" x14ac:dyDescent="0.55000000000000004">
      <c r="A7" s="87" t="s">
        <v>93</v>
      </c>
      <c r="B7" s="79">
        <f>+'the one'!B56</f>
        <v>1966424</v>
      </c>
      <c r="C7" s="79"/>
      <c r="D7" s="79">
        <f>+'the one'!D56</f>
        <v>411000</v>
      </c>
      <c r="F7" s="79">
        <f t="shared" si="0"/>
        <v>-1555424</v>
      </c>
      <c r="G7" s="212">
        <f t="shared" si="1"/>
        <v>-0.79099115958714905</v>
      </c>
    </row>
    <row r="8" spans="1:16" x14ac:dyDescent="0.55000000000000004">
      <c r="A8" s="87" t="s">
        <v>96</v>
      </c>
      <c r="B8" s="79">
        <f>+'the one'!B58</f>
        <v>1960000</v>
      </c>
      <c r="C8" s="79"/>
      <c r="D8" s="79">
        <f>+'the one'!D58</f>
        <v>1635000</v>
      </c>
      <c r="F8" s="79">
        <f t="shared" si="0"/>
        <v>-325000</v>
      </c>
      <c r="G8" s="212">
        <f t="shared" si="1"/>
        <v>-0.16581632653061223</v>
      </c>
    </row>
    <row r="9" spans="1:16" x14ac:dyDescent="0.55000000000000004">
      <c r="A9" s="88" t="s">
        <v>99</v>
      </c>
      <c r="B9" s="163">
        <v>860000</v>
      </c>
      <c r="C9" s="163"/>
      <c r="D9" s="163">
        <f>+'the one'!D62</f>
        <v>573333</v>
      </c>
      <c r="F9" s="163">
        <f t="shared" si="0"/>
        <v>-286667</v>
      </c>
      <c r="G9" s="213">
        <f t="shared" si="1"/>
        <v>-0.33333372093023256</v>
      </c>
    </row>
    <row r="10" spans="1:16" x14ac:dyDescent="0.55000000000000004">
      <c r="A10" s="158" t="s">
        <v>40</v>
      </c>
      <c r="B10" s="159">
        <f>+'the one'!B78</f>
        <v>6443068.6500000004</v>
      </c>
      <c r="C10" s="159"/>
      <c r="D10" s="159">
        <f>+'the one'!D78</f>
        <v>6833759</v>
      </c>
      <c r="F10" s="159">
        <f t="shared" si="0"/>
        <v>390690.34999999963</v>
      </c>
      <c r="G10" s="214">
        <f t="shared" si="1"/>
        <v>6.0637309832171291E-2</v>
      </c>
    </row>
    <row r="11" spans="1:16" s="47" customFormat="1" ht="15" x14ac:dyDescent="0.5">
      <c r="A11" s="89" t="s">
        <v>41</v>
      </c>
      <c r="B11" s="81">
        <f>SUM(B5:B10)</f>
        <v>41770183.649999999</v>
      </c>
      <c r="C11" s="81"/>
      <c r="D11" s="81">
        <f>SUM(D5:D10)</f>
        <v>42578556</v>
      </c>
      <c r="E11" s="48"/>
      <c r="F11" s="81">
        <f>SUM(F5:F10)</f>
        <v>808372.34999999963</v>
      </c>
      <c r="G11" s="216">
        <f t="shared" si="1"/>
        <v>1.9352856017428588E-2</v>
      </c>
    </row>
    <row r="12" spans="1:16" s="47" customFormat="1" ht="15" x14ac:dyDescent="0.5">
      <c r="A12" s="87"/>
      <c r="B12" s="81"/>
      <c r="C12" s="81"/>
      <c r="D12" s="81"/>
      <c r="E12" s="48"/>
      <c r="F12" s="81"/>
      <c r="G12" s="216"/>
      <c r="H12" s="48"/>
      <c r="I12" s="48"/>
      <c r="J12" s="48"/>
      <c r="K12" s="48"/>
      <c r="L12" s="48"/>
      <c r="M12" s="48"/>
      <c r="N12" s="48"/>
      <c r="O12" s="48"/>
      <c r="P12" s="48"/>
    </row>
    <row r="13" spans="1:16" s="47" customFormat="1" x14ac:dyDescent="0.55000000000000004">
      <c r="A13" s="151" t="s">
        <v>42</v>
      </c>
      <c r="B13" s="82"/>
      <c r="C13" s="82"/>
      <c r="D13" s="82"/>
      <c r="E13" s="48"/>
      <c r="F13" s="82"/>
      <c r="G13" s="217"/>
      <c r="H13" s="48"/>
      <c r="I13" s="48"/>
      <c r="J13" s="48"/>
      <c r="K13" s="48"/>
      <c r="L13" s="48"/>
      <c r="M13" s="48"/>
      <c r="N13" s="48"/>
      <c r="O13" s="48"/>
      <c r="P13" s="48"/>
    </row>
    <row r="14" spans="1:16" s="47" customFormat="1" x14ac:dyDescent="0.55000000000000004">
      <c r="A14" s="87" t="s">
        <v>43</v>
      </c>
      <c r="B14" s="82">
        <f>-'revenue one'!B5</f>
        <v>-12964795</v>
      </c>
      <c r="C14" s="82"/>
      <c r="D14" s="82">
        <f>-'revenue one'!D5</f>
        <v>-13034276</v>
      </c>
      <c r="E14" s="48"/>
      <c r="F14" s="82">
        <f t="shared" ref="F14:F18" si="2">+D14-B14</f>
        <v>-69481</v>
      </c>
      <c r="G14" s="217">
        <f t="shared" ref="G14:G19" si="3">IFERROR(+F14/B14,0)</f>
        <v>5.3592054482928574E-3</v>
      </c>
      <c r="H14" s="48"/>
      <c r="I14" s="48"/>
      <c r="J14" s="48"/>
      <c r="K14" s="48"/>
      <c r="L14" s="48"/>
      <c r="M14" s="48"/>
      <c r="N14" s="48"/>
      <c r="O14" s="48"/>
      <c r="P14" s="48"/>
    </row>
    <row r="15" spans="1:16" s="47" customFormat="1" x14ac:dyDescent="0.55000000000000004">
      <c r="A15" s="87" t="s">
        <v>89</v>
      </c>
      <c r="B15" s="82">
        <v>-2484500</v>
      </c>
      <c r="C15" s="82"/>
      <c r="D15" s="82">
        <v>-984500</v>
      </c>
      <c r="E15" s="48"/>
      <c r="F15" s="82">
        <f t="shared" si="2"/>
        <v>1500000</v>
      </c>
      <c r="G15" s="217">
        <f t="shared" si="3"/>
        <v>-0.60374320788891123</v>
      </c>
      <c r="H15" s="48"/>
      <c r="I15" s="48"/>
      <c r="J15" s="48"/>
      <c r="K15" s="48"/>
      <c r="L15" s="48"/>
      <c r="M15" s="48"/>
      <c r="N15" s="48"/>
      <c r="O15" s="48"/>
      <c r="P15" s="48"/>
    </row>
    <row r="16" spans="1:16" s="47" customFormat="1" x14ac:dyDescent="0.55000000000000004">
      <c r="A16" s="87" t="s">
        <v>44</v>
      </c>
      <c r="B16" s="82">
        <v>-135000</v>
      </c>
      <c r="C16" s="82"/>
      <c r="D16" s="82">
        <f>-'revenue one'!D9</f>
        <v>-135000</v>
      </c>
      <c r="E16" s="48"/>
      <c r="F16" s="82">
        <f t="shared" si="2"/>
        <v>0</v>
      </c>
      <c r="G16" s="217">
        <f t="shared" si="3"/>
        <v>0</v>
      </c>
      <c r="H16" s="48"/>
      <c r="I16" s="48"/>
      <c r="J16" s="48"/>
      <c r="K16" s="48"/>
      <c r="L16" s="48"/>
      <c r="M16" s="48"/>
      <c r="N16" s="48"/>
      <c r="O16" s="48"/>
      <c r="P16" s="48"/>
    </row>
    <row r="17" spans="1:16" s="47" customFormat="1" x14ac:dyDescent="0.55000000000000004">
      <c r="A17" s="88" t="s">
        <v>99</v>
      </c>
      <c r="B17" s="80">
        <f>-B9</f>
        <v>-860000</v>
      </c>
      <c r="C17" s="80"/>
      <c r="D17" s="80">
        <f>-D9</f>
        <v>-573333</v>
      </c>
      <c r="E17" s="48"/>
      <c r="F17" s="80">
        <f t="shared" si="2"/>
        <v>286667</v>
      </c>
      <c r="G17" s="218">
        <f t="shared" si="3"/>
        <v>-0.33333372093023256</v>
      </c>
      <c r="H17" s="48"/>
      <c r="I17" s="48"/>
      <c r="J17" s="48"/>
      <c r="K17" s="48"/>
      <c r="L17" s="48"/>
      <c r="M17" s="48"/>
      <c r="N17" s="48"/>
      <c r="O17" s="48"/>
      <c r="P17" s="48"/>
    </row>
    <row r="18" spans="1:16" s="47" customFormat="1" x14ac:dyDescent="0.55000000000000004">
      <c r="A18" s="158" t="s">
        <v>45</v>
      </c>
      <c r="B18" s="159">
        <f>-B10</f>
        <v>-6443068.6500000004</v>
      </c>
      <c r="C18" s="159"/>
      <c r="D18" s="159">
        <f>-D10</f>
        <v>-6833759</v>
      </c>
      <c r="E18" s="48"/>
      <c r="F18" s="159">
        <f t="shared" si="2"/>
        <v>-390690.34999999963</v>
      </c>
      <c r="G18" s="214">
        <f t="shared" si="3"/>
        <v>6.0637309832171291E-2</v>
      </c>
      <c r="H18" s="48"/>
      <c r="I18" s="48"/>
      <c r="J18" s="48"/>
      <c r="K18" s="48"/>
      <c r="L18" s="48"/>
      <c r="M18" s="48"/>
      <c r="N18" s="48"/>
      <c r="O18" s="48"/>
      <c r="P18" s="48"/>
    </row>
    <row r="19" spans="1:16" s="47" customFormat="1" ht="15" x14ac:dyDescent="0.5">
      <c r="A19" s="89" t="s">
        <v>46</v>
      </c>
      <c r="B19" s="83">
        <f>SUM(B14:B18)</f>
        <v>-22887363.649999999</v>
      </c>
      <c r="C19" s="83"/>
      <c r="D19" s="83">
        <f>SUM(D14:D18)</f>
        <v>-21560868</v>
      </c>
      <c r="E19" s="48"/>
      <c r="F19" s="83">
        <f>SUM(F14:F18)</f>
        <v>1326495.6500000004</v>
      </c>
      <c r="G19" s="215">
        <f t="shared" si="3"/>
        <v>-5.7957555543973735E-2</v>
      </c>
      <c r="H19" s="48"/>
      <c r="I19" s="48"/>
      <c r="J19" s="48"/>
      <c r="K19" s="48"/>
      <c r="L19" s="48"/>
      <c r="M19" s="48"/>
      <c r="N19" s="48"/>
      <c r="O19" s="48"/>
      <c r="P19" s="48"/>
    </row>
    <row r="20" spans="1:16" s="47" customFormat="1" x14ac:dyDescent="0.55000000000000004">
      <c r="A20" s="89"/>
      <c r="B20" s="82"/>
      <c r="C20" s="82"/>
      <c r="D20" s="82"/>
      <c r="E20" s="48"/>
      <c r="F20" s="82"/>
      <c r="G20" s="217"/>
      <c r="H20" s="48"/>
      <c r="I20" s="48"/>
      <c r="J20" s="48"/>
      <c r="K20" s="48"/>
      <c r="L20" s="48"/>
      <c r="M20" s="48"/>
      <c r="N20" s="48"/>
      <c r="O20" s="48"/>
      <c r="P20" s="48"/>
    </row>
    <row r="21" spans="1:16" s="47" customFormat="1" x14ac:dyDescent="0.55000000000000004">
      <c r="A21" s="89" t="s">
        <v>47</v>
      </c>
      <c r="B21" s="82">
        <v>311638</v>
      </c>
      <c r="C21" s="82"/>
      <c r="D21" s="82">
        <v>350000</v>
      </c>
      <c r="E21" s="48"/>
      <c r="F21" s="82">
        <f>+D21-B21</f>
        <v>38362</v>
      </c>
      <c r="G21" s="217">
        <f>IFERROR(+F21/B21,0)</f>
        <v>0.12309795339464379</v>
      </c>
      <c r="H21" s="48"/>
      <c r="I21" s="48"/>
      <c r="J21" s="48"/>
      <c r="K21" s="48"/>
      <c r="L21" s="48"/>
      <c r="M21" s="48"/>
      <c r="N21" s="48"/>
      <c r="O21" s="48"/>
      <c r="P21" s="48"/>
    </row>
    <row r="22" spans="1:16" s="47" customFormat="1" x14ac:dyDescent="0.55000000000000004">
      <c r="A22" s="89"/>
      <c r="B22" s="82"/>
      <c r="C22" s="82"/>
      <c r="D22" s="82"/>
      <c r="E22" s="48"/>
      <c r="F22" s="82"/>
      <c r="G22" s="217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55000000000000004">
      <c r="A23" s="89" t="s">
        <v>48</v>
      </c>
      <c r="B23" s="178">
        <v>886580</v>
      </c>
      <c r="C23" s="85"/>
      <c r="D23" s="178">
        <v>886580</v>
      </c>
      <c r="E23" s="48"/>
      <c r="F23" s="85">
        <f>+D23-B23</f>
        <v>0</v>
      </c>
      <c r="G23" s="219">
        <f>IFERROR(+F23/B23,0)</f>
        <v>0</v>
      </c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5.6" thickBot="1" x14ac:dyDescent="0.6">
      <c r="A24" s="87"/>
      <c r="B24" s="82"/>
      <c r="C24" s="82"/>
      <c r="D24" s="82"/>
      <c r="E24" s="49"/>
      <c r="F24" s="82"/>
      <c r="G24" s="217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5.6" thickBot="1" x14ac:dyDescent="0.6">
      <c r="A25" s="90" t="s">
        <v>49</v>
      </c>
      <c r="B25" s="150">
        <f>SUM(B11+B19+B21+B23)</f>
        <v>20081038</v>
      </c>
      <c r="C25" s="84"/>
      <c r="D25" s="150">
        <f>SUM(D11+D19+D21+D23)</f>
        <v>22254268</v>
      </c>
      <c r="E25" s="49"/>
      <c r="F25" s="150">
        <f>SUM(F11+F19+F21+F23)</f>
        <v>2173230</v>
      </c>
      <c r="G25" s="220">
        <f>IFERROR(+F25/B25,0)</f>
        <v>0.10822299126170669</v>
      </c>
      <c r="H25" s="49"/>
      <c r="I25" s="49"/>
      <c r="J25" s="49"/>
      <c r="K25" s="49"/>
      <c r="L25" s="49"/>
      <c r="M25" s="49"/>
      <c r="N25" s="49"/>
      <c r="O25" s="49"/>
      <c r="P25" s="49"/>
    </row>
    <row r="26" spans="1:16" x14ac:dyDescent="0.55000000000000004">
      <c r="A26" s="87"/>
      <c r="B26" s="82"/>
      <c r="C26" s="82"/>
      <c r="D26" s="82"/>
      <c r="E26" s="49"/>
      <c r="F26" s="82"/>
      <c r="G26" s="217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55000000000000004">
      <c r="A27" s="91" t="s">
        <v>50</v>
      </c>
      <c r="B27" s="171">
        <v>4966343.3590000002</v>
      </c>
      <c r="C27" s="171"/>
      <c r="D27" s="171">
        <v>4996343.3590000002</v>
      </c>
      <c r="E27" s="49"/>
      <c r="F27" s="171">
        <f>+D27-B27</f>
        <v>30000</v>
      </c>
      <c r="G27" s="219">
        <f>IFERROR(+F27/B27,0)</f>
        <v>6.0406616762882582E-3</v>
      </c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5.6" thickBot="1" x14ac:dyDescent="0.6">
      <c r="A28" s="91"/>
      <c r="B28" s="85"/>
      <c r="C28" s="85"/>
      <c r="D28" s="85"/>
      <c r="E28" s="49"/>
      <c r="F28" s="85"/>
      <c r="G28" s="219"/>
      <c r="H28" s="49"/>
      <c r="I28" s="49"/>
      <c r="J28" s="49"/>
      <c r="K28" s="49"/>
      <c r="L28" s="49"/>
      <c r="M28" s="49"/>
      <c r="N28" s="49"/>
      <c r="O28" s="49"/>
      <c r="P28" s="49"/>
    </row>
    <row r="29" spans="1:16" thickBot="1" x14ac:dyDescent="0.55000000000000004">
      <c r="A29" s="152" t="s">
        <v>77</v>
      </c>
      <c r="B29" s="153">
        <f>+B25/B27+0.01</f>
        <v>4.0534252222229403</v>
      </c>
      <c r="C29" s="154"/>
      <c r="D29" s="153">
        <f>+D25/D27</f>
        <v>4.4541110169926572</v>
      </c>
      <c r="E29" s="2"/>
      <c r="F29" s="153">
        <f>+D29-B29</f>
        <v>0.40068579476971689</v>
      </c>
      <c r="G29" s="221">
        <f>IFERROR(+F29/B29,0)</f>
        <v>9.8851162363364539E-2</v>
      </c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5.6" thickBot="1" x14ac:dyDescent="0.6">
      <c r="A30" s="87"/>
      <c r="B30" s="82"/>
      <c r="C30" s="82"/>
      <c r="D30" s="82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thickBot="1" x14ac:dyDescent="0.55000000000000004">
      <c r="A31" s="51"/>
      <c r="B31" s="86"/>
      <c r="C31" s="86"/>
      <c r="D31" s="86"/>
      <c r="E31" s="86"/>
      <c r="F31" s="86"/>
      <c r="G31" s="86"/>
      <c r="H31" s="49"/>
      <c r="I31" s="49"/>
      <c r="J31" s="49"/>
      <c r="K31" s="49"/>
      <c r="L31" s="49"/>
      <c r="M31" s="49"/>
      <c r="N31" s="49"/>
      <c r="O31" s="49"/>
      <c r="P31" s="49"/>
    </row>
    <row r="32" spans="1:16" x14ac:dyDescent="0.55000000000000004">
      <c r="A32" s="47"/>
      <c r="B32" s="93"/>
      <c r="C32" s="93"/>
      <c r="D32" s="93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55000000000000004">
      <c r="A33" s="52"/>
      <c r="B33" s="94"/>
      <c r="C33" s="94"/>
      <c r="D33" s="9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x14ac:dyDescent="0.55000000000000004">
      <c r="A34" s="53"/>
      <c r="B34" s="95"/>
      <c r="C34" s="95"/>
      <c r="D34" s="95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x14ac:dyDescent="0.55000000000000004">
      <c r="A35" s="50"/>
      <c r="B35" s="94"/>
      <c r="C35" s="94"/>
      <c r="D35" s="94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x14ac:dyDescent="0.55000000000000004">
      <c r="A36" s="50"/>
      <c r="B36" s="93"/>
      <c r="C36" s="93"/>
      <c r="D36" s="93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x14ac:dyDescent="0.55000000000000004">
      <c r="A37" s="50"/>
      <c r="B37" s="93"/>
      <c r="C37" s="93"/>
      <c r="D37" s="93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x14ac:dyDescent="0.55000000000000004">
      <c r="A38" s="50"/>
      <c r="B38" s="93"/>
      <c r="C38" s="93"/>
      <c r="D38" s="93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55000000000000004">
      <c r="A39" s="50"/>
      <c r="B39" s="93"/>
      <c r="C39" s="93"/>
      <c r="D39" s="93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x14ac:dyDescent="0.55000000000000004">
      <c r="A40" s="50"/>
      <c r="B40" s="93"/>
      <c r="C40" s="93"/>
      <c r="D40" s="93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x14ac:dyDescent="0.55000000000000004">
      <c r="A41" s="52"/>
      <c r="B41" s="93"/>
      <c r="C41" s="93"/>
      <c r="D41" s="93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x14ac:dyDescent="0.55000000000000004">
      <c r="A42" s="50"/>
      <c r="B42" s="93"/>
      <c r="C42" s="93"/>
      <c r="D42" s="9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x14ac:dyDescent="0.55000000000000004">
      <c r="A43" s="53"/>
      <c r="B43" s="93"/>
      <c r="C43" s="93"/>
      <c r="D43" s="9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x14ac:dyDescent="0.55000000000000004">
      <c r="A44" s="50"/>
      <c r="B44" s="93"/>
      <c r="C44" s="93"/>
      <c r="D44" s="93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x14ac:dyDescent="0.55000000000000004">
      <c r="A45" s="50"/>
      <c r="B45" s="93"/>
      <c r="C45" s="93"/>
      <c r="D45" s="93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x14ac:dyDescent="0.55000000000000004">
      <c r="A46" s="50"/>
      <c r="B46" s="93"/>
      <c r="C46" s="93"/>
      <c r="D46" s="93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x14ac:dyDescent="0.55000000000000004">
      <c r="A47" s="50"/>
      <c r="B47" s="93"/>
      <c r="C47" s="93"/>
      <c r="D47" s="93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x14ac:dyDescent="0.55000000000000004">
      <c r="A48" s="50"/>
      <c r="B48" s="93"/>
      <c r="C48" s="93"/>
      <c r="D48" s="93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x14ac:dyDescent="0.55000000000000004">
      <c r="A49" s="50"/>
      <c r="B49" s="93"/>
      <c r="C49" s="93"/>
      <c r="D49" s="93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x14ac:dyDescent="0.55000000000000004">
      <c r="A50" s="50"/>
      <c r="B50" s="93"/>
      <c r="C50" s="93"/>
      <c r="D50" s="93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x14ac:dyDescent="0.55000000000000004">
      <c r="A51" s="50"/>
      <c r="B51" s="93"/>
      <c r="C51" s="93"/>
      <c r="D51" s="93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x14ac:dyDescent="0.55000000000000004">
      <c r="A52" s="54"/>
      <c r="B52" s="93"/>
      <c r="C52" s="93"/>
      <c r="D52" s="93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x14ac:dyDescent="0.55000000000000004">
      <c r="A53" s="52"/>
      <c r="B53" s="93"/>
      <c r="C53" s="93"/>
      <c r="D53" s="93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16" x14ac:dyDescent="0.55000000000000004">
      <c r="A54" s="50"/>
      <c r="B54" s="93"/>
      <c r="C54" s="93"/>
      <c r="D54" s="93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6" x14ac:dyDescent="0.55000000000000004">
      <c r="A55" s="50"/>
      <c r="B55" s="93"/>
      <c r="C55" s="93"/>
      <c r="D55" s="93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x14ac:dyDescent="0.55000000000000004">
      <c r="A56" s="50"/>
      <c r="B56" s="93"/>
      <c r="C56" s="93"/>
      <c r="D56" s="93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x14ac:dyDescent="0.55000000000000004">
      <c r="A57" s="50"/>
      <c r="B57" s="93"/>
      <c r="C57" s="93"/>
      <c r="D57" s="93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x14ac:dyDescent="0.55000000000000004">
      <c r="A58" s="50"/>
      <c r="B58" s="93"/>
      <c r="C58" s="93"/>
      <c r="D58" s="93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x14ac:dyDescent="0.55000000000000004">
      <c r="A59" s="50"/>
      <c r="B59" s="93"/>
      <c r="C59" s="93"/>
      <c r="D59" s="93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x14ac:dyDescent="0.55000000000000004">
      <c r="A60" s="52"/>
      <c r="B60" s="93"/>
      <c r="C60" s="93"/>
      <c r="D60" s="93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x14ac:dyDescent="0.55000000000000004">
      <c r="A61" s="52"/>
      <c r="B61" s="93"/>
      <c r="C61" s="93"/>
      <c r="D61" s="93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x14ac:dyDescent="0.55000000000000004">
      <c r="A62" s="52"/>
      <c r="B62" s="93"/>
      <c r="C62" s="93"/>
      <c r="D62" s="93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x14ac:dyDescent="0.55000000000000004">
      <c r="A63" s="52"/>
      <c r="B63" s="93"/>
      <c r="C63" s="93"/>
      <c r="D63" s="93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x14ac:dyDescent="0.55000000000000004">
      <c r="A64" s="52"/>
      <c r="B64" s="93"/>
      <c r="C64" s="93"/>
      <c r="D64" s="93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2:16" x14ac:dyDescent="0.55000000000000004">
      <c r="B65" s="93"/>
      <c r="C65" s="93"/>
      <c r="D65" s="93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2:16" x14ac:dyDescent="0.55000000000000004">
      <c r="B66" s="93"/>
      <c r="C66" s="93"/>
      <c r="D66" s="93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2:16" x14ac:dyDescent="0.55000000000000004">
      <c r="B67" s="93"/>
      <c r="C67" s="93"/>
      <c r="D67" s="93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2:16" x14ac:dyDescent="0.55000000000000004">
      <c r="B68" s="93"/>
      <c r="C68" s="93"/>
      <c r="D68" s="9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2:16" x14ac:dyDescent="0.55000000000000004">
      <c r="B69" s="93"/>
      <c r="C69" s="93"/>
      <c r="D69" s="93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2:16" x14ac:dyDescent="0.55000000000000004">
      <c r="B70" s="93"/>
      <c r="C70" s="93"/>
      <c r="D70" s="93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2:16" x14ac:dyDescent="0.55000000000000004">
      <c r="B71" s="93"/>
      <c r="C71" s="93"/>
      <c r="D71" s="93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2:16" x14ac:dyDescent="0.55000000000000004">
      <c r="B72" s="93"/>
      <c r="C72" s="93"/>
      <c r="D72" s="93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2:16" x14ac:dyDescent="0.55000000000000004">
      <c r="B73" s="93"/>
      <c r="C73" s="93"/>
      <c r="D73" s="9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2:16" x14ac:dyDescent="0.55000000000000004">
      <c r="B74" s="93"/>
      <c r="C74" s="93"/>
      <c r="D74" s="93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2:16" x14ac:dyDescent="0.55000000000000004">
      <c r="B75" s="93"/>
      <c r="C75" s="93"/>
      <c r="D75" s="93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2:16" x14ac:dyDescent="0.55000000000000004">
      <c r="B76" s="93"/>
      <c r="C76" s="93"/>
      <c r="D76" s="93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2:16" x14ac:dyDescent="0.55000000000000004">
      <c r="B77" s="93"/>
      <c r="C77" s="93"/>
      <c r="D77" s="93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2:16" x14ac:dyDescent="0.55000000000000004">
      <c r="B78" s="93"/>
      <c r="C78" s="93"/>
      <c r="D78" s="93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2:16" x14ac:dyDescent="0.55000000000000004">
      <c r="B79" s="93"/>
      <c r="C79" s="93"/>
      <c r="D79" s="93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2:16" x14ac:dyDescent="0.55000000000000004">
      <c r="B80" s="93"/>
      <c r="C80" s="93"/>
      <c r="D80" s="93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2:16" x14ac:dyDescent="0.55000000000000004">
      <c r="B81" s="93"/>
      <c r="C81" s="93"/>
      <c r="D81" s="93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2:16" x14ac:dyDescent="0.55000000000000004">
      <c r="B82" s="93"/>
      <c r="C82" s="93"/>
      <c r="D82" s="93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2:16" x14ac:dyDescent="0.55000000000000004">
      <c r="B83" s="93"/>
      <c r="C83" s="93"/>
      <c r="D83" s="93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2:16" x14ac:dyDescent="0.55000000000000004">
      <c r="B84" s="93"/>
      <c r="C84" s="93"/>
      <c r="D84" s="93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2:16" x14ac:dyDescent="0.55000000000000004">
      <c r="B85" s="93"/>
      <c r="C85" s="93"/>
      <c r="D85" s="93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2:16" x14ac:dyDescent="0.55000000000000004">
      <c r="B86" s="93"/>
      <c r="C86" s="93"/>
      <c r="D86" s="93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2:16" x14ac:dyDescent="0.55000000000000004">
      <c r="B87" s="93"/>
      <c r="C87" s="93"/>
      <c r="D87" s="93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2:16" x14ac:dyDescent="0.55000000000000004">
      <c r="B88" s="93"/>
      <c r="C88" s="93"/>
      <c r="D88" s="93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2:16" x14ac:dyDescent="0.55000000000000004">
      <c r="B89" s="93"/>
      <c r="C89" s="93"/>
      <c r="D89" s="93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</sheetData>
  <mergeCells count="1">
    <mergeCell ref="A1:G1"/>
  </mergeCells>
  <printOptions gridLines="1"/>
  <pageMargins left="0.75" right="0.75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the one (4)</vt:lpstr>
      <vt:lpstr>operating one</vt:lpstr>
      <vt:lpstr>the one</vt:lpstr>
      <vt:lpstr>revenue one</vt:lpstr>
      <vt:lpstr>summary one</vt:lpstr>
      <vt:lpstr>'operating one'!Print_Area</vt:lpstr>
      <vt:lpstr>'the one'!Print_Area</vt:lpstr>
      <vt:lpstr>'the one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Micali</dc:creator>
  <cp:lastModifiedBy>Paul Micali</cp:lastModifiedBy>
  <cp:lastPrinted>2024-02-15T20:13:26Z</cp:lastPrinted>
  <dcterms:created xsi:type="dcterms:W3CDTF">2014-10-16T16:03:37Z</dcterms:created>
  <dcterms:modified xsi:type="dcterms:W3CDTF">2024-02-20T16:57:09Z</dcterms:modified>
</cp:coreProperties>
</file>