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aveExternalLinkValues="0" codeName="ThisWorkbook" defaultThemeVersion="124226"/>
  <bookViews>
    <workbookView xWindow="-120" yWindow="-120" windowWidth="21840" windowHeight="13140" tabRatio="705" firstSheet="12" activeTab="14"/>
  </bookViews>
  <sheets>
    <sheet name="06.30.19" sheetId="75" state="hidden" r:id="rId1"/>
    <sheet name="07.31.19" sheetId="76" state="hidden" r:id="rId2"/>
    <sheet name="08.31.19" sheetId="77" state="hidden" r:id="rId3"/>
    <sheet name="09.30.19" sheetId="78" state="hidden" r:id="rId4"/>
    <sheet name="10.31.19" sheetId="79" state="hidden" r:id="rId5"/>
    <sheet name="11.30.19" sheetId="80" state="hidden" r:id="rId6"/>
    <sheet name="12.31.19" sheetId="81" state="hidden" r:id="rId7"/>
    <sheet name="01.31.20" sheetId="82" state="hidden" r:id="rId8"/>
    <sheet name="02.29.20" sheetId="83" state="hidden" r:id="rId9"/>
    <sheet name="03.31.20" sheetId="84" state="hidden" r:id="rId10"/>
    <sheet name="04.30.20" sheetId="85" state="hidden" r:id="rId11"/>
    <sheet name="05.31.20" sheetId="86" state="hidden" r:id="rId12"/>
    <sheet name="06.30.20" sheetId="87" r:id="rId13"/>
    <sheet name="Perpetual Care" sheetId="88" r:id="rId14"/>
    <sheet name="Multi" sheetId="89" r:id="rId15"/>
    <sheet name="Purpose" sheetId="63" state="hidden" r:id="rId16"/>
  </sheets>
  <externalReferences>
    <externalReference r:id="rId17"/>
  </externalReferences>
  <definedNames>
    <definedName name="_xlnm.Print_Area" localSheetId="7">'01.31.20'!$B$1:$AM$39</definedName>
    <definedName name="_xlnm.Print_Area" localSheetId="8">'02.29.20'!$B$1:$AM$39</definedName>
    <definedName name="_xlnm.Print_Area" localSheetId="9">'03.31.20'!$B$1:$AM$39</definedName>
    <definedName name="_xlnm.Print_Area" localSheetId="10">'04.30.20'!$B$1:$AM$39</definedName>
    <definedName name="_xlnm.Print_Area" localSheetId="11">'05.31.20'!$B$1:$AM$39</definedName>
    <definedName name="_xlnm.Print_Area" localSheetId="0">'06.30.19'!$B$1:$AM$39</definedName>
    <definedName name="_xlnm.Print_Area" localSheetId="12">'06.30.20'!$B$1:$AM$39</definedName>
    <definedName name="_xlnm.Print_Area" localSheetId="1">'07.31.19'!$B$1:$AM$39</definedName>
    <definedName name="_xlnm.Print_Area" localSheetId="2">'08.31.19'!$B$1:$AM$39</definedName>
    <definedName name="_xlnm.Print_Area" localSheetId="3">'09.30.19'!$B$1:$AM$39</definedName>
    <definedName name="_xlnm.Print_Area" localSheetId="4">'10.31.19'!$B$1:$AM$39</definedName>
    <definedName name="_xlnm.Print_Area" localSheetId="5">'11.30.19'!$B$1:$AM$39</definedName>
    <definedName name="_xlnm.Print_Area" localSheetId="6">'12.31.19'!$B$1:$AM$39</definedName>
    <definedName name="Purpose" localSheetId="14">[1]Purpose!$A$3:$A$21</definedName>
    <definedName name="Purpose" localSheetId="13">[1]Purpose!$A$3:$A$21</definedName>
    <definedName name="Purpose">Purpose!$A$3:$A$21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3" i="87" l="1"/>
  <c r="O184" i="88" l="1"/>
  <c r="P184" i="88"/>
  <c r="I12" i="89"/>
  <c r="AN12" i="89"/>
  <c r="AY12" i="89"/>
  <c r="I19" i="89"/>
  <c r="AN19" i="89"/>
  <c r="AY19" i="89"/>
  <c r="G21" i="89"/>
  <c r="U21" i="89"/>
  <c r="AN21" i="89"/>
  <c r="AY21" i="89"/>
  <c r="I27" i="89"/>
  <c r="AN27" i="89"/>
  <c r="AY27" i="89"/>
  <c r="I16" i="89"/>
  <c r="AN16" i="89"/>
  <c r="AY16" i="89"/>
  <c r="I13" i="89"/>
  <c r="AN13" i="89"/>
  <c r="AY13" i="89"/>
  <c r="I17" i="89"/>
  <c r="AN17" i="89"/>
  <c r="AY17" i="89"/>
  <c r="I18" i="89"/>
  <c r="AN18" i="89"/>
  <c r="AY18" i="89"/>
  <c r="I15" i="89"/>
  <c r="AN15" i="89"/>
  <c r="AY15" i="89"/>
  <c r="I20" i="89"/>
  <c r="AN20" i="89"/>
  <c r="AY20" i="89"/>
  <c r="I25" i="89"/>
  <c r="AN25" i="89"/>
  <c r="AY25" i="89"/>
  <c r="I24" i="89"/>
  <c r="AN24" i="89"/>
  <c r="AY24" i="89"/>
  <c r="I23" i="89"/>
  <c r="AN23" i="89"/>
  <c r="AY23" i="89"/>
  <c r="I29" i="89"/>
  <c r="AN29" i="89"/>
  <c r="AY29" i="89"/>
  <c r="I32" i="89"/>
  <c r="AN32" i="89"/>
  <c r="AY32" i="89"/>
  <c r="I28" i="89"/>
  <c r="AN28" i="89"/>
  <c r="AY28" i="89"/>
  <c r="I30" i="89"/>
  <c r="AN30" i="89"/>
  <c r="AY30" i="89"/>
  <c r="I33" i="89"/>
  <c r="AN33" i="89"/>
  <c r="AY33" i="89"/>
  <c r="I35" i="89"/>
  <c r="AN35" i="89"/>
  <c r="AY35" i="89"/>
  <c r="I34" i="89"/>
  <c r="AN34" i="89"/>
  <c r="AY34" i="89"/>
  <c r="I37" i="89"/>
  <c r="AN37" i="89"/>
  <c r="AY37" i="89"/>
  <c r="I40" i="89"/>
  <c r="AN40" i="89"/>
  <c r="AY40" i="89"/>
  <c r="I39" i="89"/>
  <c r="AN39" i="89"/>
  <c r="AY39" i="89"/>
  <c r="I38" i="89"/>
  <c r="AN38" i="89"/>
  <c r="AY38" i="89"/>
  <c r="I43" i="89"/>
  <c r="AN43" i="89"/>
  <c r="AY43" i="89"/>
  <c r="I44" i="89"/>
  <c r="AN44" i="89"/>
  <c r="AY44" i="89"/>
  <c r="I42" i="89"/>
  <c r="AN42" i="89"/>
  <c r="AY42" i="89"/>
  <c r="I46" i="89"/>
  <c r="AN46" i="89"/>
  <c r="AY46" i="89"/>
  <c r="I48" i="89"/>
  <c r="AN48" i="89"/>
  <c r="AY48" i="89"/>
  <c r="I47" i="89"/>
  <c r="AN47" i="89"/>
  <c r="AY47" i="89"/>
  <c r="I50" i="89"/>
  <c r="AN50" i="89"/>
  <c r="AY50" i="89"/>
  <c r="I51" i="89"/>
  <c r="AN51" i="89"/>
  <c r="AY51" i="89"/>
  <c r="G52" i="89"/>
  <c r="I52" i="89"/>
  <c r="U52" i="89"/>
  <c r="AN52" i="89"/>
  <c r="AY52" i="89"/>
  <c r="I54" i="89"/>
  <c r="AN54" i="89"/>
  <c r="AY54" i="89"/>
  <c r="I55" i="89"/>
  <c r="AN55" i="89"/>
  <c r="AY55" i="89"/>
  <c r="G56" i="89"/>
  <c r="I56" i="89"/>
  <c r="U56" i="89"/>
  <c r="AN56" i="89"/>
  <c r="AY56" i="89"/>
  <c r="I57" i="89"/>
  <c r="AN57" i="89"/>
  <c r="AY57" i="89"/>
  <c r="I59" i="89"/>
  <c r="AN59" i="89"/>
  <c r="AY59" i="89"/>
  <c r="I60" i="89"/>
  <c r="AN60" i="89"/>
  <c r="AY60" i="89"/>
  <c r="I58" i="89"/>
  <c r="AN58" i="89"/>
  <c r="AY58" i="89"/>
  <c r="I61" i="89"/>
  <c r="AN61" i="89"/>
  <c r="AY61" i="89"/>
  <c r="I65" i="89"/>
  <c r="AN65" i="89"/>
  <c r="AY65" i="89"/>
  <c r="I63" i="89"/>
  <c r="AN63" i="89"/>
  <c r="AY63" i="89"/>
  <c r="I64" i="89"/>
  <c r="AN64" i="89"/>
  <c r="AY64" i="89"/>
  <c r="I66" i="89"/>
  <c r="AN66" i="89"/>
  <c r="AY66" i="89"/>
  <c r="I68" i="89"/>
  <c r="AN68" i="89"/>
  <c r="AY68" i="89"/>
  <c r="I72" i="89"/>
  <c r="AN72" i="89"/>
  <c r="AY72" i="89"/>
  <c r="I70" i="89"/>
  <c r="AN70" i="89"/>
  <c r="AY70" i="89"/>
  <c r="I71" i="89"/>
  <c r="AN71" i="89"/>
  <c r="AY71" i="89"/>
  <c r="I69" i="89"/>
  <c r="AN69" i="89"/>
  <c r="AY69" i="89"/>
  <c r="I78" i="89"/>
  <c r="AN78" i="89"/>
  <c r="AY78" i="89"/>
  <c r="I79" i="89"/>
  <c r="AN79" i="89"/>
  <c r="AY79" i="89"/>
  <c r="I75" i="89"/>
  <c r="AN75" i="89"/>
  <c r="AY75" i="89"/>
  <c r="I76" i="89"/>
  <c r="AN76" i="89"/>
  <c r="AY76" i="89"/>
  <c r="I77" i="89"/>
  <c r="AN77" i="89"/>
  <c r="AY77" i="89"/>
  <c r="I82" i="89"/>
  <c r="AN82" i="89"/>
  <c r="AY82" i="89"/>
  <c r="I83" i="89"/>
  <c r="AN83" i="89"/>
  <c r="AY83" i="89"/>
  <c r="I81" i="89"/>
  <c r="AN81" i="89"/>
  <c r="AY81" i="89"/>
  <c r="I85" i="89"/>
  <c r="AN85" i="89"/>
  <c r="AY85" i="89"/>
  <c r="I86" i="89"/>
  <c r="AN86" i="89"/>
  <c r="AY86" i="89"/>
  <c r="I22" i="89"/>
  <c r="AN22" i="89"/>
  <c r="AY22" i="89"/>
  <c r="I14" i="89"/>
  <c r="AN14" i="89"/>
  <c r="AY14" i="89"/>
  <c r="I26" i="89"/>
  <c r="AN26" i="89"/>
  <c r="AY26" i="89"/>
  <c r="I31" i="89"/>
  <c r="AN31" i="89"/>
  <c r="AY31" i="89"/>
  <c r="I36" i="89"/>
  <c r="AN36" i="89"/>
  <c r="AY36" i="89"/>
  <c r="I41" i="89"/>
  <c r="AN41" i="89"/>
  <c r="AY41" i="89"/>
  <c r="I45" i="89"/>
  <c r="AN45" i="89"/>
  <c r="AY45" i="89"/>
  <c r="I49" i="89"/>
  <c r="AN49" i="89"/>
  <c r="AY49" i="89"/>
  <c r="I53" i="89"/>
  <c r="AN53" i="89"/>
  <c r="AY53" i="89"/>
  <c r="I62" i="89"/>
  <c r="AN62" i="89"/>
  <c r="AY62" i="89"/>
  <c r="I74" i="89"/>
  <c r="AN74" i="89"/>
  <c r="AY74" i="89"/>
  <c r="I80" i="89"/>
  <c r="AN80" i="89"/>
  <c r="AY80" i="89"/>
  <c r="I84" i="89"/>
  <c r="AN84" i="89"/>
  <c r="AY84" i="89"/>
  <c r="I67" i="89"/>
  <c r="AN67" i="89"/>
  <c r="AY67" i="89"/>
  <c r="I73" i="89"/>
  <c r="AN73" i="89"/>
  <c r="AY73" i="89"/>
  <c r="F89" i="89"/>
  <c r="AD45" i="89" s="1"/>
  <c r="AF45" i="89" s="1"/>
  <c r="BE45" i="89" s="1"/>
  <c r="G89" i="89"/>
  <c r="H89" i="89"/>
  <c r="Q89" i="89"/>
  <c r="U89" i="89"/>
  <c r="AE89" i="89"/>
  <c r="AL89" i="89"/>
  <c r="AW89" i="89"/>
  <c r="G91" i="89"/>
  <c r="U91" i="89"/>
  <c r="X91" i="89"/>
  <c r="AE91" i="89"/>
  <c r="I14" i="88"/>
  <c r="AL14" i="88"/>
  <c r="AN14" i="88"/>
  <c r="AY14" i="88"/>
  <c r="I15" i="88"/>
  <c r="AL15" i="88"/>
  <c r="AN15" i="88"/>
  <c r="AY15" i="88"/>
  <c r="I16" i="88"/>
  <c r="AL16" i="88"/>
  <c r="AN16" i="88"/>
  <c r="AY16" i="88"/>
  <c r="I18" i="88"/>
  <c r="AL18" i="88"/>
  <c r="AN18" i="88"/>
  <c r="AY18" i="88"/>
  <c r="I12" i="88"/>
  <c r="AL12" i="88"/>
  <c r="AN12" i="88"/>
  <c r="AY12" i="88"/>
  <c r="I21" i="88"/>
  <c r="AL21" i="88"/>
  <c r="AN21" i="88"/>
  <c r="AY21" i="88"/>
  <c r="I24" i="88"/>
  <c r="AL24" i="88"/>
  <c r="AN24" i="88"/>
  <c r="AY24" i="88"/>
  <c r="I25" i="88"/>
  <c r="AL25" i="88"/>
  <c r="AN25" i="88"/>
  <c r="AY25" i="88"/>
  <c r="I26" i="88"/>
  <c r="AL26" i="88"/>
  <c r="AN26" i="88"/>
  <c r="AY26" i="88"/>
  <c r="I28" i="88"/>
  <c r="AL28" i="88"/>
  <c r="AN28" i="88"/>
  <c r="AY28" i="88"/>
  <c r="I23" i="88"/>
  <c r="AL23" i="88"/>
  <c r="AN23" i="88"/>
  <c r="AY23" i="88"/>
  <c r="I27" i="88"/>
  <c r="AL27" i="88"/>
  <c r="AN27" i="88"/>
  <c r="AY27" i="88"/>
  <c r="I19" i="88"/>
  <c r="AL19" i="88"/>
  <c r="AN19" i="88"/>
  <c r="AY19" i="88"/>
  <c r="I22" i="88"/>
  <c r="AL22" i="88"/>
  <c r="AN22" i="88"/>
  <c r="AY22" i="88"/>
  <c r="I29" i="88"/>
  <c r="AL29" i="88"/>
  <c r="AN29" i="88"/>
  <c r="AY29" i="88"/>
  <c r="I30" i="88"/>
  <c r="AL30" i="88"/>
  <c r="AN30" i="88"/>
  <c r="AY30" i="88"/>
  <c r="I34" i="88"/>
  <c r="AL34" i="88"/>
  <c r="AN34" i="88"/>
  <c r="AY34" i="88"/>
  <c r="I35" i="88"/>
  <c r="AL35" i="88"/>
  <c r="AN35" i="88"/>
  <c r="AY35" i="88"/>
  <c r="I43" i="88"/>
  <c r="AL43" i="88"/>
  <c r="AN43" i="88"/>
  <c r="AY43" i="88"/>
  <c r="I36" i="88"/>
  <c r="AL36" i="88"/>
  <c r="AN36" i="88"/>
  <c r="AY36" i="88"/>
  <c r="I38" i="88"/>
  <c r="AL38" i="88"/>
  <c r="AN38" i="88"/>
  <c r="AY38" i="88"/>
  <c r="I39" i="88"/>
  <c r="AL39" i="88"/>
  <c r="AN39" i="88"/>
  <c r="AY39" i="88"/>
  <c r="I42" i="88"/>
  <c r="AL42" i="88"/>
  <c r="AN42" i="88"/>
  <c r="AY42" i="88"/>
  <c r="I41" i="88"/>
  <c r="AL41" i="88"/>
  <c r="AN41" i="88"/>
  <c r="AY41" i="88"/>
  <c r="I33" i="88"/>
  <c r="AL33" i="88"/>
  <c r="AN33" i="88"/>
  <c r="AY33" i="88"/>
  <c r="I44" i="88"/>
  <c r="AL44" i="88"/>
  <c r="AN44" i="88"/>
  <c r="AY44" i="88"/>
  <c r="I45" i="88"/>
  <c r="AL45" i="88"/>
  <c r="AN45" i="88"/>
  <c r="AY45" i="88"/>
  <c r="I46" i="88"/>
  <c r="AL46" i="88"/>
  <c r="AN46" i="88"/>
  <c r="AY46" i="88"/>
  <c r="I31" i="88"/>
  <c r="AL31" i="88"/>
  <c r="AN31" i="88"/>
  <c r="AY31" i="88"/>
  <c r="I50" i="88"/>
  <c r="AL50" i="88"/>
  <c r="AN50" i="88"/>
  <c r="AY50" i="88"/>
  <c r="I51" i="88"/>
  <c r="AL51" i="88"/>
  <c r="AN51" i="88"/>
  <c r="AY51" i="88"/>
  <c r="I56" i="88"/>
  <c r="AL56" i="88"/>
  <c r="AN56" i="88"/>
  <c r="AY56" i="88"/>
  <c r="I60" i="88"/>
  <c r="AL60" i="88"/>
  <c r="AN60" i="88"/>
  <c r="AY60" i="88"/>
  <c r="I58" i="88"/>
  <c r="AL58" i="88"/>
  <c r="AN58" i="88"/>
  <c r="AY58" i="88"/>
  <c r="I62" i="88"/>
  <c r="AL62" i="88"/>
  <c r="AN62" i="88"/>
  <c r="AY62" i="88"/>
  <c r="I59" i="88"/>
  <c r="AL59" i="88"/>
  <c r="AN59" i="88"/>
  <c r="AY59" i="88"/>
  <c r="I57" i="88"/>
  <c r="AL57" i="88"/>
  <c r="AN57" i="88"/>
  <c r="AY57" i="88"/>
  <c r="I54" i="88"/>
  <c r="AL54" i="88"/>
  <c r="AN54" i="88"/>
  <c r="AY54" i="88"/>
  <c r="I64" i="88"/>
  <c r="AL64" i="88"/>
  <c r="AN64" i="88"/>
  <c r="AY64" i="88"/>
  <c r="I66" i="88"/>
  <c r="AL66" i="88"/>
  <c r="AN66" i="88"/>
  <c r="AY66" i="88"/>
  <c r="I71" i="88"/>
  <c r="AL71" i="88"/>
  <c r="AN71" i="88"/>
  <c r="AY71" i="88"/>
  <c r="I48" i="88"/>
  <c r="AL48" i="88"/>
  <c r="AN48" i="88"/>
  <c r="AY48" i="88"/>
  <c r="I70" i="88"/>
  <c r="AL70" i="88"/>
  <c r="AN70" i="88"/>
  <c r="AY70" i="88"/>
  <c r="I63" i="88"/>
  <c r="AL63" i="88"/>
  <c r="AN63" i="88"/>
  <c r="AY63" i="88"/>
  <c r="I69" i="88"/>
  <c r="AL69" i="88"/>
  <c r="AN69" i="88"/>
  <c r="AY69" i="88"/>
  <c r="I65" i="88"/>
  <c r="AL65" i="88"/>
  <c r="AN65" i="88"/>
  <c r="AY65" i="88"/>
  <c r="I74" i="88"/>
  <c r="AL74" i="88"/>
  <c r="AN74" i="88"/>
  <c r="AY74" i="88"/>
  <c r="I79" i="88"/>
  <c r="AL79" i="88"/>
  <c r="AN79" i="88"/>
  <c r="AY79" i="88"/>
  <c r="I83" i="88"/>
  <c r="AL83" i="88"/>
  <c r="AN83" i="88"/>
  <c r="AY83" i="88"/>
  <c r="I82" i="88"/>
  <c r="AL82" i="88"/>
  <c r="AN82" i="88"/>
  <c r="AY82" i="88"/>
  <c r="I75" i="88"/>
  <c r="AL75" i="88"/>
  <c r="AN75" i="88"/>
  <c r="AY75" i="88"/>
  <c r="I84" i="88"/>
  <c r="AL84" i="88"/>
  <c r="AN84" i="88"/>
  <c r="AY84" i="88"/>
  <c r="I85" i="88"/>
  <c r="AL85" i="88"/>
  <c r="AN85" i="88"/>
  <c r="AY85" i="88"/>
  <c r="I86" i="88"/>
  <c r="AL86" i="88"/>
  <c r="AN86" i="88"/>
  <c r="AY86" i="88"/>
  <c r="I80" i="88"/>
  <c r="AL80" i="88"/>
  <c r="AN80" i="88"/>
  <c r="AY80" i="88"/>
  <c r="I78" i="88"/>
  <c r="AL78" i="88"/>
  <c r="AN78" i="88"/>
  <c r="AY78" i="88"/>
  <c r="I81" i="88"/>
  <c r="AL81" i="88"/>
  <c r="AN81" i="88"/>
  <c r="AY81" i="88"/>
  <c r="I87" i="88"/>
  <c r="AL87" i="88"/>
  <c r="AN87" i="88"/>
  <c r="AY87" i="88"/>
  <c r="I90" i="88"/>
  <c r="AL90" i="88"/>
  <c r="AN90" i="88"/>
  <c r="AY90" i="88"/>
  <c r="I89" i="88"/>
  <c r="AL89" i="88"/>
  <c r="AN89" i="88"/>
  <c r="AY89" i="88"/>
  <c r="I76" i="88"/>
  <c r="AL76" i="88"/>
  <c r="AN76" i="88"/>
  <c r="AY76" i="88"/>
  <c r="I91" i="88"/>
  <c r="AL91" i="88"/>
  <c r="AN91" i="88"/>
  <c r="AY91" i="88"/>
  <c r="I97" i="88"/>
  <c r="AL97" i="88"/>
  <c r="AN97" i="88"/>
  <c r="AY97" i="88"/>
  <c r="I96" i="88"/>
  <c r="AL96" i="88"/>
  <c r="AN96" i="88"/>
  <c r="AY96" i="88"/>
  <c r="I94" i="88"/>
  <c r="AL94" i="88"/>
  <c r="AN94" i="88"/>
  <c r="AY94" i="88"/>
  <c r="I95" i="88"/>
  <c r="AL95" i="88"/>
  <c r="AN95" i="88"/>
  <c r="AY95" i="88"/>
  <c r="I93" i="88"/>
  <c r="AL93" i="88"/>
  <c r="AN93" i="88"/>
  <c r="AY93" i="88"/>
  <c r="I99" i="88"/>
  <c r="AL99" i="88"/>
  <c r="AN99" i="88"/>
  <c r="AY99" i="88"/>
  <c r="I101" i="88"/>
  <c r="AL101" i="88"/>
  <c r="AN101" i="88"/>
  <c r="AY101" i="88"/>
  <c r="I103" i="88"/>
  <c r="AL103" i="88"/>
  <c r="AN103" i="88"/>
  <c r="AY103" i="88"/>
  <c r="I104" i="88"/>
  <c r="AL104" i="88"/>
  <c r="AN104" i="88"/>
  <c r="AY104" i="88"/>
  <c r="I105" i="88"/>
  <c r="AL105" i="88"/>
  <c r="AN105" i="88"/>
  <c r="AY105" i="88"/>
  <c r="I106" i="88"/>
  <c r="AL106" i="88"/>
  <c r="AN106" i="88"/>
  <c r="AY106" i="88"/>
  <c r="I109" i="88"/>
  <c r="AL109" i="88"/>
  <c r="AN109" i="88"/>
  <c r="AY109" i="88"/>
  <c r="I119" i="88"/>
  <c r="AL119" i="88"/>
  <c r="AN119" i="88"/>
  <c r="AY119" i="88"/>
  <c r="I120" i="88"/>
  <c r="AL120" i="88"/>
  <c r="AN120" i="88"/>
  <c r="AY120" i="88"/>
  <c r="I121" i="88"/>
  <c r="AL121" i="88"/>
  <c r="AN121" i="88"/>
  <c r="AY121" i="88"/>
  <c r="I122" i="88"/>
  <c r="AL122" i="88"/>
  <c r="AN122" i="88"/>
  <c r="AY122" i="88"/>
  <c r="I124" i="88"/>
  <c r="AL124" i="88"/>
  <c r="AN124" i="88"/>
  <c r="AY124" i="88"/>
  <c r="I118" i="88"/>
  <c r="AL118" i="88"/>
  <c r="AN118" i="88"/>
  <c r="AY118" i="88"/>
  <c r="I112" i="88"/>
  <c r="AL112" i="88"/>
  <c r="AN112" i="88"/>
  <c r="AY112" i="88"/>
  <c r="I115" i="88"/>
  <c r="AL115" i="88"/>
  <c r="AN115" i="88"/>
  <c r="AY115" i="88"/>
  <c r="I117" i="88"/>
  <c r="AL117" i="88"/>
  <c r="AN117" i="88"/>
  <c r="AY117" i="88"/>
  <c r="I116" i="88"/>
  <c r="AL116" i="88"/>
  <c r="AN116" i="88"/>
  <c r="AY116" i="88"/>
  <c r="I111" i="88"/>
  <c r="AL111" i="88"/>
  <c r="AN111" i="88"/>
  <c r="AY111" i="88"/>
  <c r="I126" i="88"/>
  <c r="AL126" i="88"/>
  <c r="AN126" i="88"/>
  <c r="AY126" i="88"/>
  <c r="I127" i="88"/>
  <c r="AL127" i="88"/>
  <c r="AN127" i="88"/>
  <c r="AY127" i="88"/>
  <c r="I128" i="88"/>
  <c r="AL128" i="88"/>
  <c r="AN128" i="88"/>
  <c r="AY128" i="88"/>
  <c r="I129" i="88"/>
  <c r="AL129" i="88"/>
  <c r="AN129" i="88"/>
  <c r="AY129" i="88"/>
  <c r="I130" i="88"/>
  <c r="AL130" i="88"/>
  <c r="AN130" i="88"/>
  <c r="AY130" i="88"/>
  <c r="I131" i="88"/>
  <c r="AL131" i="88"/>
  <c r="AN131" i="88"/>
  <c r="AY131" i="88"/>
  <c r="I133" i="88"/>
  <c r="AL133" i="88"/>
  <c r="AN133" i="88"/>
  <c r="AY133" i="88"/>
  <c r="I135" i="88"/>
  <c r="AL135" i="88"/>
  <c r="AN135" i="88"/>
  <c r="AY135" i="88"/>
  <c r="I77" i="88"/>
  <c r="AL77" i="88"/>
  <c r="AN77" i="88"/>
  <c r="AY77" i="88"/>
  <c r="I136" i="88"/>
  <c r="AL136" i="88"/>
  <c r="AN136" i="88"/>
  <c r="AY136" i="88"/>
  <c r="I139" i="88"/>
  <c r="AL139" i="88"/>
  <c r="AN139" i="88"/>
  <c r="AY139" i="88"/>
  <c r="I140" i="88"/>
  <c r="AL140" i="88"/>
  <c r="AN140" i="88"/>
  <c r="AY140" i="88"/>
  <c r="I138" i="88"/>
  <c r="AL138" i="88"/>
  <c r="AN138" i="88"/>
  <c r="AY138" i="88"/>
  <c r="I144" i="88"/>
  <c r="AL144" i="88"/>
  <c r="AN144" i="88"/>
  <c r="AY144" i="88"/>
  <c r="I141" i="88"/>
  <c r="AL141" i="88"/>
  <c r="AN141" i="88"/>
  <c r="AY141" i="88"/>
  <c r="I143" i="88"/>
  <c r="AL143" i="88"/>
  <c r="AN143" i="88"/>
  <c r="AY143" i="88"/>
  <c r="I146" i="88"/>
  <c r="AL146" i="88"/>
  <c r="AN146" i="88"/>
  <c r="AY146" i="88"/>
  <c r="I148" i="88"/>
  <c r="AL148" i="88"/>
  <c r="AN148" i="88"/>
  <c r="AY148" i="88"/>
  <c r="I150" i="88"/>
  <c r="AL150" i="88"/>
  <c r="AN150" i="88"/>
  <c r="AY150" i="88"/>
  <c r="I147" i="88"/>
  <c r="AL147" i="88"/>
  <c r="AN147" i="88"/>
  <c r="AY147" i="88"/>
  <c r="I151" i="88"/>
  <c r="AL151" i="88"/>
  <c r="AN151" i="88"/>
  <c r="AY151" i="88"/>
  <c r="I153" i="88"/>
  <c r="AL153" i="88"/>
  <c r="AN153" i="88"/>
  <c r="AY153" i="88"/>
  <c r="I145" i="88"/>
  <c r="AL145" i="88"/>
  <c r="AN145" i="88"/>
  <c r="AY145" i="88"/>
  <c r="I159" i="88"/>
  <c r="AL159" i="88"/>
  <c r="AN159" i="88"/>
  <c r="AY159" i="88"/>
  <c r="I162" i="88"/>
  <c r="AL162" i="88"/>
  <c r="AN162" i="88"/>
  <c r="AY162" i="88"/>
  <c r="I160" i="88"/>
  <c r="AL160" i="88"/>
  <c r="AN160" i="88"/>
  <c r="AY160" i="88"/>
  <c r="I161" i="88"/>
  <c r="AL161" i="88"/>
  <c r="AN161" i="88"/>
  <c r="AY161" i="88"/>
  <c r="I172" i="88"/>
  <c r="AL172" i="88"/>
  <c r="AN172" i="88"/>
  <c r="AY172" i="88"/>
  <c r="I173" i="88"/>
  <c r="AL173" i="88"/>
  <c r="AN173" i="88"/>
  <c r="AY173" i="88"/>
  <c r="I176" i="88"/>
  <c r="AL176" i="88"/>
  <c r="AN176" i="88"/>
  <c r="AY176" i="88"/>
  <c r="I175" i="88"/>
  <c r="AL175" i="88"/>
  <c r="AN175" i="88"/>
  <c r="AY175" i="88"/>
  <c r="I177" i="88"/>
  <c r="AL177" i="88"/>
  <c r="AN177" i="88"/>
  <c r="AY177" i="88"/>
  <c r="I178" i="88"/>
  <c r="AL178" i="88"/>
  <c r="AN178" i="88"/>
  <c r="AY178" i="88"/>
  <c r="I169" i="88"/>
  <c r="AL169" i="88"/>
  <c r="AN169" i="88"/>
  <c r="AY169" i="88"/>
  <c r="I165" i="88"/>
  <c r="AL165" i="88"/>
  <c r="AN165" i="88"/>
  <c r="AY165" i="88"/>
  <c r="I166" i="88"/>
  <c r="AL166" i="88"/>
  <c r="AN166" i="88"/>
  <c r="AY166" i="88"/>
  <c r="I170" i="88"/>
  <c r="AL170" i="88"/>
  <c r="AN170" i="88"/>
  <c r="AY170" i="88"/>
  <c r="I164" i="88"/>
  <c r="AL164" i="88"/>
  <c r="AN164" i="88"/>
  <c r="AY164" i="88"/>
  <c r="I113" i="88"/>
  <c r="AL113" i="88"/>
  <c r="AN113" i="88"/>
  <c r="AY113" i="88"/>
  <c r="I181" i="88"/>
  <c r="AL181" i="88"/>
  <c r="AN181" i="88"/>
  <c r="AY181" i="88"/>
  <c r="I155" i="88"/>
  <c r="AL155" i="88"/>
  <c r="AN155" i="88"/>
  <c r="AY155" i="88"/>
  <c r="I168" i="88"/>
  <c r="AL168" i="88"/>
  <c r="AN168" i="88"/>
  <c r="AY168" i="88"/>
  <c r="I167" i="88"/>
  <c r="AL167" i="88"/>
  <c r="AN167" i="88"/>
  <c r="AY167" i="88"/>
  <c r="I20" i="88"/>
  <c r="AF20" i="88"/>
  <c r="BE20" i="88" s="1"/>
  <c r="AL20" i="88"/>
  <c r="AN20" i="88"/>
  <c r="AY20" i="88"/>
  <c r="I37" i="88"/>
  <c r="AF37" i="88"/>
  <c r="BE37" i="88" s="1"/>
  <c r="AL37" i="88"/>
  <c r="AN37" i="88"/>
  <c r="AY37" i="88"/>
  <c r="I49" i="88"/>
  <c r="AF49" i="88"/>
  <c r="BE49" i="88" s="1"/>
  <c r="AL49" i="88"/>
  <c r="AN49" i="88"/>
  <c r="AY49" i="88"/>
  <c r="I52" i="88"/>
  <c r="AF52" i="88"/>
  <c r="BE52" i="88" s="1"/>
  <c r="AL52" i="88"/>
  <c r="AN52" i="88"/>
  <c r="AY52" i="88"/>
  <c r="I53" i="88"/>
  <c r="AF53" i="88"/>
  <c r="BE53" i="88" s="1"/>
  <c r="AL53" i="88"/>
  <c r="AN53" i="88"/>
  <c r="AY53" i="88"/>
  <c r="I72" i="88"/>
  <c r="AF72" i="88"/>
  <c r="BE72" i="88" s="1"/>
  <c r="AL72" i="88"/>
  <c r="AN72" i="88"/>
  <c r="AY72" i="88"/>
  <c r="I73" i="88"/>
  <c r="AF73" i="88"/>
  <c r="BE73" i="88" s="1"/>
  <c r="AL73" i="88"/>
  <c r="AN73" i="88"/>
  <c r="AY73" i="88"/>
  <c r="I67" i="88"/>
  <c r="AF67" i="88"/>
  <c r="BE67" i="88" s="1"/>
  <c r="AL67" i="88"/>
  <c r="AN67" i="88"/>
  <c r="AY67" i="88"/>
  <c r="I68" i="88"/>
  <c r="AF68" i="88"/>
  <c r="BE68" i="88" s="1"/>
  <c r="AL68" i="88"/>
  <c r="AN68" i="88"/>
  <c r="AY68" i="88"/>
  <c r="G61" i="88"/>
  <c r="U61" i="88"/>
  <c r="AF61" i="88"/>
  <c r="BE61" i="88" s="1"/>
  <c r="AN61" i="88"/>
  <c r="AY61" i="88"/>
  <c r="I88" i="88"/>
  <c r="AF88" i="88"/>
  <c r="AL88" i="88"/>
  <c r="AN88" i="88"/>
  <c r="AY88" i="88"/>
  <c r="BE88" i="88"/>
  <c r="I92" i="88"/>
  <c r="AF92" i="88"/>
  <c r="BE92" i="88" s="1"/>
  <c r="AL92" i="88"/>
  <c r="AN92" i="88"/>
  <c r="AY92" i="88"/>
  <c r="I102" i="88"/>
  <c r="AF102" i="88"/>
  <c r="BE102" i="88" s="1"/>
  <c r="AL102" i="88"/>
  <c r="AN102" i="88"/>
  <c r="AY102" i="88"/>
  <c r="I110" i="88"/>
  <c r="AF110" i="88"/>
  <c r="AL110" i="88"/>
  <c r="AN110" i="88"/>
  <c r="AY110" i="88"/>
  <c r="BE110" i="88"/>
  <c r="I114" i="88"/>
  <c r="AF114" i="88"/>
  <c r="BE114" i="88" s="1"/>
  <c r="AL114" i="88"/>
  <c r="AN114" i="88"/>
  <c r="AY114" i="88"/>
  <c r="I132" i="88"/>
  <c r="AF132" i="88"/>
  <c r="BE132" i="88" s="1"/>
  <c r="AL132" i="88"/>
  <c r="AN132" i="88"/>
  <c r="AY132" i="88"/>
  <c r="I152" i="88"/>
  <c r="AF152" i="88"/>
  <c r="BE152" i="88" s="1"/>
  <c r="AL152" i="88"/>
  <c r="AN152" i="88"/>
  <c r="AY152" i="88"/>
  <c r="I156" i="88"/>
  <c r="AF156" i="88"/>
  <c r="BE156" i="88" s="1"/>
  <c r="AL156" i="88"/>
  <c r="AN156" i="88"/>
  <c r="AY156" i="88"/>
  <c r="I179" i="88"/>
  <c r="AF179" i="88"/>
  <c r="BE179" i="88" s="1"/>
  <c r="AL179" i="88"/>
  <c r="AN179" i="88"/>
  <c r="AY179" i="88"/>
  <c r="I123" i="88"/>
  <c r="AF123" i="88"/>
  <c r="AL123" i="88"/>
  <c r="AN123" i="88"/>
  <c r="AY123" i="88"/>
  <c r="BE123" i="88"/>
  <c r="I17" i="88"/>
  <c r="AF17" i="88"/>
  <c r="BE17" i="88" s="1"/>
  <c r="AL17" i="88"/>
  <c r="AN17" i="88"/>
  <c r="AY17" i="88"/>
  <c r="I137" i="88"/>
  <c r="AF137" i="88"/>
  <c r="BE137" i="88" s="1"/>
  <c r="AL137" i="88"/>
  <c r="AN137" i="88"/>
  <c r="AY137" i="88"/>
  <c r="I55" i="88"/>
  <c r="AF55" i="88"/>
  <c r="BE55" i="88" s="1"/>
  <c r="AL55" i="88"/>
  <c r="AN55" i="88"/>
  <c r="AY55" i="88"/>
  <c r="I158" i="88"/>
  <c r="AF158" i="88"/>
  <c r="BE158" i="88" s="1"/>
  <c r="AL158" i="88"/>
  <c r="AN158" i="88"/>
  <c r="AY158" i="88"/>
  <c r="I134" i="88"/>
  <c r="AF134" i="88"/>
  <c r="BE134" i="88" s="1"/>
  <c r="AL134" i="88"/>
  <c r="AN134" i="88"/>
  <c r="AY134" i="88"/>
  <c r="I163" i="88"/>
  <c r="AF163" i="88"/>
  <c r="BE163" i="88" s="1"/>
  <c r="AL163" i="88"/>
  <c r="AN163" i="88"/>
  <c r="AY163" i="88"/>
  <c r="I157" i="88"/>
  <c r="AF157" i="88"/>
  <c r="BE157" i="88" s="1"/>
  <c r="AL157" i="88"/>
  <c r="AN157" i="88"/>
  <c r="AY157" i="88"/>
  <c r="I180" i="88"/>
  <c r="AF180" i="88"/>
  <c r="BE180" i="88" s="1"/>
  <c r="AL180" i="88"/>
  <c r="AN180" i="88"/>
  <c r="AY180" i="88"/>
  <c r="I154" i="88"/>
  <c r="AF154" i="88"/>
  <c r="BE154" i="88" s="1"/>
  <c r="AL154" i="88"/>
  <c r="AN154" i="88"/>
  <c r="AY154" i="88"/>
  <c r="I107" i="88"/>
  <c r="AF107" i="88"/>
  <c r="BE107" i="88" s="1"/>
  <c r="AL107" i="88"/>
  <c r="AN107" i="88"/>
  <c r="AY107" i="88"/>
  <c r="I125" i="88"/>
  <c r="AF125" i="88"/>
  <c r="BE125" i="88" s="1"/>
  <c r="AL125" i="88"/>
  <c r="AN125" i="88"/>
  <c r="AY125" i="88"/>
  <c r="I98" i="88"/>
  <c r="AF98" i="88"/>
  <c r="BE98" i="88" s="1"/>
  <c r="AL98" i="88"/>
  <c r="AN98" i="88"/>
  <c r="AY98" i="88"/>
  <c r="I108" i="88"/>
  <c r="AF108" i="88"/>
  <c r="BE108" i="88" s="1"/>
  <c r="AL108" i="88"/>
  <c r="AN108" i="88"/>
  <c r="AY108" i="88"/>
  <c r="I100" i="88"/>
  <c r="AF100" i="88"/>
  <c r="BE100" i="88" s="1"/>
  <c r="AL100" i="88"/>
  <c r="AN100" i="88"/>
  <c r="AY100" i="88"/>
  <c r="I174" i="88"/>
  <c r="AF174" i="88"/>
  <c r="BE174" i="88" s="1"/>
  <c r="AL174" i="88"/>
  <c r="AN174" i="88"/>
  <c r="AY174" i="88"/>
  <c r="I40" i="88"/>
  <c r="AF40" i="88"/>
  <c r="BE40" i="88" s="1"/>
  <c r="AL40" i="88"/>
  <c r="AN40" i="88"/>
  <c r="AY40" i="88"/>
  <c r="I32" i="88"/>
  <c r="AF32" i="88"/>
  <c r="BE32" i="88" s="1"/>
  <c r="AL32" i="88"/>
  <c r="AN32" i="88"/>
  <c r="AY32" i="88"/>
  <c r="I47" i="88"/>
  <c r="AF47" i="88"/>
  <c r="BE47" i="88" s="1"/>
  <c r="AL47" i="88"/>
  <c r="AN47" i="88"/>
  <c r="AY47" i="88"/>
  <c r="I171" i="88"/>
  <c r="AF171" i="88"/>
  <c r="AL171" i="88"/>
  <c r="AN171" i="88"/>
  <c r="AY171" i="88"/>
  <c r="BE171" i="88"/>
  <c r="I13" i="88"/>
  <c r="AF13" i="88"/>
  <c r="BE13" i="88" s="1"/>
  <c r="AL13" i="88"/>
  <c r="AN13" i="88"/>
  <c r="AY13" i="88"/>
  <c r="I142" i="88"/>
  <c r="AF142" i="88"/>
  <c r="BE142" i="88" s="1"/>
  <c r="AL142" i="88"/>
  <c r="AN142" i="88"/>
  <c r="AY142" i="88"/>
  <c r="I149" i="88"/>
  <c r="AF149" i="88"/>
  <c r="BE149" i="88" s="1"/>
  <c r="AL149" i="88"/>
  <c r="AN149" i="88"/>
  <c r="AY149" i="88"/>
  <c r="F184" i="88"/>
  <c r="AD70" i="88" s="1"/>
  <c r="AF70" i="88" s="1"/>
  <c r="BE70" i="88" s="1"/>
  <c r="H184" i="88"/>
  <c r="U184" i="88"/>
  <c r="AE184" i="88"/>
  <c r="AW184" i="88"/>
  <c r="G186" i="88"/>
  <c r="X186" i="88"/>
  <c r="AE186" i="88"/>
  <c r="AD74" i="89" l="1"/>
  <c r="AF74" i="89" s="1"/>
  <c r="BE74" i="89" s="1"/>
  <c r="AM56" i="89"/>
  <c r="AM52" i="89"/>
  <c r="AM21" i="89"/>
  <c r="AD67" i="89"/>
  <c r="AF67" i="89" s="1"/>
  <c r="BE67" i="89" s="1"/>
  <c r="AD49" i="89"/>
  <c r="AF49" i="89" s="1"/>
  <c r="BE49" i="89" s="1"/>
  <c r="AD40" i="89"/>
  <c r="AF40" i="89" s="1"/>
  <c r="BE40" i="89" s="1"/>
  <c r="AD76" i="89"/>
  <c r="AF76" i="89" s="1"/>
  <c r="BE76" i="89" s="1"/>
  <c r="AN184" i="88"/>
  <c r="AD18" i="88"/>
  <c r="AF18" i="88" s="1"/>
  <c r="BE18" i="88" s="1"/>
  <c r="AD15" i="88"/>
  <c r="AF15" i="88" s="1"/>
  <c r="BE15" i="88" s="1"/>
  <c r="AD21" i="88"/>
  <c r="AF21" i="88" s="1"/>
  <c r="BE21" i="88" s="1"/>
  <c r="AD27" i="88"/>
  <c r="AF27" i="88" s="1"/>
  <c r="BE27" i="88" s="1"/>
  <c r="AD35" i="88"/>
  <c r="AF35" i="88" s="1"/>
  <c r="BE35" i="88" s="1"/>
  <c r="AD41" i="88"/>
  <c r="AF41" i="88" s="1"/>
  <c r="BE41" i="88" s="1"/>
  <c r="AD14" i="88"/>
  <c r="AD23" i="88"/>
  <c r="AF23" i="88" s="1"/>
  <c r="BE23" i="88" s="1"/>
  <c r="AD34" i="88"/>
  <c r="AF34" i="88" s="1"/>
  <c r="BE34" i="88" s="1"/>
  <c r="AD42" i="88"/>
  <c r="AF42" i="88" s="1"/>
  <c r="BE42" i="88" s="1"/>
  <c r="AD28" i="88"/>
  <c r="AF28" i="88" s="1"/>
  <c r="BE28" i="88" s="1"/>
  <c r="AD30" i="88"/>
  <c r="AF30" i="88" s="1"/>
  <c r="BE30" i="88" s="1"/>
  <c r="AD39" i="88"/>
  <c r="AF39" i="88" s="1"/>
  <c r="BE39" i="88" s="1"/>
  <c r="AD16" i="88"/>
  <c r="AF16" i="88" s="1"/>
  <c r="BE16" i="88" s="1"/>
  <c r="AD26" i="88"/>
  <c r="AF26" i="88" s="1"/>
  <c r="BE26" i="88" s="1"/>
  <c r="AD29" i="88"/>
  <c r="AF29" i="88" s="1"/>
  <c r="BE29" i="88" s="1"/>
  <c r="AD38" i="88"/>
  <c r="AF38" i="88" s="1"/>
  <c r="BE38" i="88" s="1"/>
  <c r="AD46" i="88"/>
  <c r="AF46" i="88" s="1"/>
  <c r="BE46" i="88" s="1"/>
  <c r="AD58" i="88"/>
  <c r="AF58" i="88" s="1"/>
  <c r="BE58" i="88" s="1"/>
  <c r="AD66" i="88"/>
  <c r="AF66" i="88" s="1"/>
  <c r="BE66" i="88" s="1"/>
  <c r="AD25" i="88"/>
  <c r="AF25" i="88" s="1"/>
  <c r="BE25" i="88" s="1"/>
  <c r="AD43" i="88"/>
  <c r="AF43" i="88" s="1"/>
  <c r="BE43" i="88" s="1"/>
  <c r="AD45" i="88"/>
  <c r="AF45" i="88" s="1"/>
  <c r="BE45" i="88" s="1"/>
  <c r="AD60" i="88"/>
  <c r="AF60" i="88" s="1"/>
  <c r="BE60" i="88" s="1"/>
  <c r="AD12" i="88"/>
  <c r="AF12" i="88" s="1"/>
  <c r="BE12" i="88" s="1"/>
  <c r="AD44" i="88"/>
  <c r="AF44" i="88" s="1"/>
  <c r="BE44" i="88" s="1"/>
  <c r="AD56" i="88"/>
  <c r="AF56" i="88" s="1"/>
  <c r="BE56" i="88" s="1"/>
  <c r="AD24" i="88"/>
  <c r="AF24" i="88" s="1"/>
  <c r="BE24" i="88" s="1"/>
  <c r="AD22" i="88"/>
  <c r="AF22" i="88" s="1"/>
  <c r="BE22" i="88" s="1"/>
  <c r="AD33" i="88"/>
  <c r="AF33" i="88" s="1"/>
  <c r="BE33" i="88" s="1"/>
  <c r="AD50" i="88"/>
  <c r="AF50" i="88" s="1"/>
  <c r="BE50" i="88" s="1"/>
  <c r="AD59" i="88"/>
  <c r="AF59" i="88" s="1"/>
  <c r="BE59" i="88" s="1"/>
  <c r="AD36" i="88"/>
  <c r="AF36" i="88" s="1"/>
  <c r="BE36" i="88" s="1"/>
  <c r="AD62" i="88"/>
  <c r="AF62" i="88" s="1"/>
  <c r="BE62" i="88" s="1"/>
  <c r="AD64" i="88"/>
  <c r="AF64" i="88" s="1"/>
  <c r="BE64" i="88" s="1"/>
  <c r="AD48" i="88"/>
  <c r="AF48" i="88" s="1"/>
  <c r="BE48" i="88" s="1"/>
  <c r="AD79" i="88"/>
  <c r="AF79" i="88" s="1"/>
  <c r="BE79" i="88" s="1"/>
  <c r="AD86" i="88"/>
  <c r="AF86" i="88" s="1"/>
  <c r="BE86" i="88" s="1"/>
  <c r="AD89" i="88"/>
  <c r="AF89" i="88" s="1"/>
  <c r="BE89" i="88" s="1"/>
  <c r="AD95" i="88"/>
  <c r="AF95" i="88" s="1"/>
  <c r="BE95" i="88" s="1"/>
  <c r="AD105" i="88"/>
  <c r="AF105" i="88" s="1"/>
  <c r="BE105" i="88" s="1"/>
  <c r="AD57" i="88"/>
  <c r="AF57" i="88" s="1"/>
  <c r="BE57" i="88" s="1"/>
  <c r="AD71" i="88"/>
  <c r="AF71" i="88" s="1"/>
  <c r="BE71" i="88" s="1"/>
  <c r="AD74" i="88"/>
  <c r="AF74" i="88" s="1"/>
  <c r="BE74" i="88" s="1"/>
  <c r="AD85" i="88"/>
  <c r="AF85" i="88" s="1"/>
  <c r="BE85" i="88" s="1"/>
  <c r="AD90" i="88"/>
  <c r="AF90" i="88" s="1"/>
  <c r="BE90" i="88" s="1"/>
  <c r="AD94" i="88"/>
  <c r="AF94" i="88" s="1"/>
  <c r="BE94" i="88" s="1"/>
  <c r="AD104" i="88"/>
  <c r="AF104" i="88" s="1"/>
  <c r="BE104" i="88" s="1"/>
  <c r="AD121" i="88"/>
  <c r="AF121" i="88" s="1"/>
  <c r="BE121" i="88" s="1"/>
  <c r="AD65" i="88"/>
  <c r="AF65" i="88" s="1"/>
  <c r="BE65" i="88" s="1"/>
  <c r="AD84" i="88"/>
  <c r="AF84" i="88" s="1"/>
  <c r="BE84" i="88" s="1"/>
  <c r="AD87" i="88"/>
  <c r="AF87" i="88" s="1"/>
  <c r="BE87" i="88" s="1"/>
  <c r="AD96" i="88"/>
  <c r="AF96" i="88" s="1"/>
  <c r="BE96" i="88" s="1"/>
  <c r="AD103" i="88"/>
  <c r="AF103" i="88" s="1"/>
  <c r="BE103" i="88" s="1"/>
  <c r="AD19" i="88"/>
  <c r="AF19" i="88" s="1"/>
  <c r="BE19" i="88" s="1"/>
  <c r="AD69" i="88"/>
  <c r="AF69" i="88" s="1"/>
  <c r="BE69" i="88" s="1"/>
  <c r="AD75" i="88"/>
  <c r="AF75" i="88" s="1"/>
  <c r="BE75" i="88" s="1"/>
  <c r="AD81" i="88"/>
  <c r="AF81" i="88" s="1"/>
  <c r="BE81" i="88" s="1"/>
  <c r="AD97" i="88"/>
  <c r="AF97" i="88" s="1"/>
  <c r="BE97" i="88" s="1"/>
  <c r="AD101" i="88"/>
  <c r="AF101" i="88" s="1"/>
  <c r="BE101" i="88" s="1"/>
  <c r="AD119" i="88"/>
  <c r="AF119" i="88" s="1"/>
  <c r="BE119" i="88" s="1"/>
  <c r="AD63" i="88"/>
  <c r="AF63" i="88" s="1"/>
  <c r="BE63" i="88" s="1"/>
  <c r="AD80" i="88"/>
  <c r="AF80" i="88" s="1"/>
  <c r="BE80" i="88" s="1"/>
  <c r="AD91" i="88"/>
  <c r="AF91" i="88" s="1"/>
  <c r="BE91" i="88" s="1"/>
  <c r="AD124" i="88"/>
  <c r="AF124" i="88" s="1"/>
  <c r="BE124" i="88" s="1"/>
  <c r="AD111" i="88"/>
  <c r="AF111" i="88" s="1"/>
  <c r="BE111" i="88" s="1"/>
  <c r="AD131" i="88"/>
  <c r="AF131" i="88" s="1"/>
  <c r="BE131" i="88" s="1"/>
  <c r="AD140" i="88"/>
  <c r="AF140" i="88" s="1"/>
  <c r="BE140" i="88" s="1"/>
  <c r="AD148" i="88"/>
  <c r="AF148" i="88" s="1"/>
  <c r="BE148" i="88" s="1"/>
  <c r="AD120" i="88"/>
  <c r="AF120" i="88" s="1"/>
  <c r="BE120" i="88" s="1"/>
  <c r="AD116" i="88"/>
  <c r="AF116" i="88" s="1"/>
  <c r="BE116" i="88" s="1"/>
  <c r="AD130" i="88"/>
  <c r="AF130" i="88" s="1"/>
  <c r="BE130" i="88" s="1"/>
  <c r="AD139" i="88"/>
  <c r="AF139" i="88" s="1"/>
  <c r="BE139" i="88" s="1"/>
  <c r="AD146" i="88"/>
  <c r="AF146" i="88" s="1"/>
  <c r="BE146" i="88" s="1"/>
  <c r="AD115" i="88"/>
  <c r="AF115" i="88" s="1"/>
  <c r="BE115" i="88" s="1"/>
  <c r="AD128" i="88"/>
  <c r="AF128" i="88" s="1"/>
  <c r="BE128" i="88" s="1"/>
  <c r="AD77" i="88"/>
  <c r="AF77" i="88" s="1"/>
  <c r="BE77" i="88" s="1"/>
  <c r="AD141" i="88"/>
  <c r="AF141" i="88" s="1"/>
  <c r="BE141" i="88" s="1"/>
  <c r="AD151" i="88"/>
  <c r="AF151" i="88" s="1"/>
  <c r="BE151" i="88" s="1"/>
  <c r="AD83" i="88"/>
  <c r="AF83" i="88" s="1"/>
  <c r="BE83" i="88" s="1"/>
  <c r="AD78" i="88"/>
  <c r="AF78" i="88" s="1"/>
  <c r="BE78" i="88" s="1"/>
  <c r="AD93" i="88"/>
  <c r="AF93" i="88" s="1"/>
  <c r="BE93" i="88" s="1"/>
  <c r="AD106" i="88"/>
  <c r="AF106" i="88" s="1"/>
  <c r="BE106" i="88" s="1"/>
  <c r="AD109" i="88"/>
  <c r="AF109" i="88" s="1"/>
  <c r="BE109" i="88" s="1"/>
  <c r="AD112" i="88"/>
  <c r="AF112" i="88" s="1"/>
  <c r="BE112" i="88" s="1"/>
  <c r="AD127" i="88"/>
  <c r="AF127" i="88" s="1"/>
  <c r="BE127" i="88" s="1"/>
  <c r="AD135" i="88"/>
  <c r="AF135" i="88" s="1"/>
  <c r="BE135" i="88" s="1"/>
  <c r="AD144" i="88"/>
  <c r="AF144" i="88" s="1"/>
  <c r="BE144" i="88" s="1"/>
  <c r="AD147" i="88"/>
  <c r="AF147" i="88" s="1"/>
  <c r="BE147" i="88" s="1"/>
  <c r="AD82" i="88"/>
  <c r="AF82" i="88" s="1"/>
  <c r="BE82" i="88" s="1"/>
  <c r="AD76" i="88"/>
  <c r="AF76" i="88" s="1"/>
  <c r="BE76" i="88" s="1"/>
  <c r="AD126" i="88"/>
  <c r="AF126" i="88" s="1"/>
  <c r="BE126" i="88" s="1"/>
  <c r="AD150" i="88"/>
  <c r="AF150" i="88" s="1"/>
  <c r="BE150" i="88" s="1"/>
  <c r="AD162" i="88"/>
  <c r="AF162" i="88" s="1"/>
  <c r="BE162" i="88" s="1"/>
  <c r="AD175" i="88"/>
  <c r="AF175" i="88" s="1"/>
  <c r="BE175" i="88" s="1"/>
  <c r="AD170" i="88"/>
  <c r="AF170" i="88" s="1"/>
  <c r="BE170" i="88" s="1"/>
  <c r="AD167" i="88"/>
  <c r="AF167" i="88" s="1"/>
  <c r="BE167" i="88" s="1"/>
  <c r="AD51" i="88"/>
  <c r="AF51" i="88" s="1"/>
  <c r="BE51" i="88" s="1"/>
  <c r="AD54" i="88"/>
  <c r="AF54" i="88" s="1"/>
  <c r="BE54" i="88" s="1"/>
  <c r="AD129" i="88"/>
  <c r="AF129" i="88" s="1"/>
  <c r="BE129" i="88" s="1"/>
  <c r="AD153" i="88"/>
  <c r="AF153" i="88" s="1"/>
  <c r="BE153" i="88" s="1"/>
  <c r="AD159" i="88"/>
  <c r="AF159" i="88" s="1"/>
  <c r="BE159" i="88" s="1"/>
  <c r="AD176" i="88"/>
  <c r="AF176" i="88" s="1"/>
  <c r="BE176" i="88" s="1"/>
  <c r="AD166" i="88"/>
  <c r="AF166" i="88" s="1"/>
  <c r="BE166" i="88" s="1"/>
  <c r="AD168" i="88"/>
  <c r="AF168" i="88" s="1"/>
  <c r="BE168" i="88" s="1"/>
  <c r="AD31" i="88"/>
  <c r="AF31" i="88" s="1"/>
  <c r="BE31" i="88" s="1"/>
  <c r="AD136" i="88"/>
  <c r="AF136" i="88" s="1"/>
  <c r="BE136" i="88" s="1"/>
  <c r="AD172" i="88"/>
  <c r="AF172" i="88" s="1"/>
  <c r="BE172" i="88" s="1"/>
  <c r="AD169" i="88"/>
  <c r="AF169" i="88" s="1"/>
  <c r="BE169" i="88" s="1"/>
  <c r="AD181" i="88"/>
  <c r="AF181" i="88" s="1"/>
  <c r="BE181" i="88" s="1"/>
  <c r="AD143" i="88"/>
  <c r="AF143" i="88" s="1"/>
  <c r="BE143" i="88" s="1"/>
  <c r="AD178" i="88"/>
  <c r="AF178" i="88" s="1"/>
  <c r="BE178" i="88" s="1"/>
  <c r="AD99" i="88"/>
  <c r="AF99" i="88" s="1"/>
  <c r="BE99" i="88" s="1"/>
  <c r="AD133" i="88"/>
  <c r="AF133" i="88" s="1"/>
  <c r="BE133" i="88" s="1"/>
  <c r="AD138" i="88"/>
  <c r="AF138" i="88" s="1"/>
  <c r="BE138" i="88" s="1"/>
  <c r="AD145" i="88"/>
  <c r="AF145" i="88" s="1"/>
  <c r="BE145" i="88" s="1"/>
  <c r="AD160" i="88"/>
  <c r="AF160" i="88" s="1"/>
  <c r="BE160" i="88" s="1"/>
  <c r="AD161" i="88"/>
  <c r="AF161" i="88" s="1"/>
  <c r="BE161" i="88" s="1"/>
  <c r="AD165" i="88"/>
  <c r="AF165" i="88" s="1"/>
  <c r="BE165" i="88" s="1"/>
  <c r="AD164" i="88"/>
  <c r="AF164" i="88" s="1"/>
  <c r="BE164" i="88" s="1"/>
  <c r="AD113" i="88"/>
  <c r="AF113" i="88" s="1"/>
  <c r="BE113" i="88" s="1"/>
  <c r="AD177" i="88"/>
  <c r="AF177" i="88" s="1"/>
  <c r="BE177" i="88" s="1"/>
  <c r="AD173" i="88"/>
  <c r="AF173" i="88" s="1"/>
  <c r="BE173" i="88" s="1"/>
  <c r="AD155" i="88"/>
  <c r="AF155" i="88" s="1"/>
  <c r="BE155" i="88" s="1"/>
  <c r="AD117" i="88"/>
  <c r="AF117" i="88" s="1"/>
  <c r="BE117" i="88" s="1"/>
  <c r="AD122" i="88"/>
  <c r="AF122" i="88" s="1"/>
  <c r="BE122" i="88" s="1"/>
  <c r="AD118" i="88"/>
  <c r="AF118" i="88" s="1"/>
  <c r="BE118" i="88" s="1"/>
  <c r="AY184" i="88"/>
  <c r="I61" i="88"/>
  <c r="I184" i="88" s="1"/>
  <c r="J180" i="88" s="1"/>
  <c r="K180" i="88" s="1"/>
  <c r="AO180" i="88" s="1"/>
  <c r="AL61" i="88"/>
  <c r="AL184" i="88" s="1"/>
  <c r="U186" i="88"/>
  <c r="I186" i="88"/>
  <c r="G184" i="88"/>
  <c r="AM86" i="89"/>
  <c r="AM26" i="89"/>
  <c r="AM41" i="89"/>
  <c r="AM53" i="89"/>
  <c r="AM76" i="89"/>
  <c r="AM85" i="89"/>
  <c r="AM80" i="89"/>
  <c r="AM73" i="89"/>
  <c r="AM45" i="89"/>
  <c r="AM49" i="89"/>
  <c r="AM84" i="89"/>
  <c r="AM66" i="89"/>
  <c r="AM22" i="89"/>
  <c r="AM14" i="89"/>
  <c r="AM62" i="89"/>
  <c r="AM74" i="89"/>
  <c r="AM67" i="89"/>
  <c r="AM81" i="89"/>
  <c r="AM65" i="89"/>
  <c r="AM36" i="89"/>
  <c r="AM31" i="89"/>
  <c r="AD12" i="89"/>
  <c r="AD16" i="89"/>
  <c r="AF16" i="89" s="1"/>
  <c r="BE16" i="89" s="1"/>
  <c r="AD18" i="89"/>
  <c r="AF18" i="89" s="1"/>
  <c r="BE18" i="89" s="1"/>
  <c r="AD25" i="89"/>
  <c r="AF25" i="89" s="1"/>
  <c r="BE25" i="89" s="1"/>
  <c r="AD19" i="89"/>
  <c r="AF19" i="89" s="1"/>
  <c r="BE19" i="89" s="1"/>
  <c r="AD21" i="89"/>
  <c r="AF21" i="89" s="1"/>
  <c r="BE21" i="89" s="1"/>
  <c r="AD13" i="89"/>
  <c r="AF13" i="89" s="1"/>
  <c r="BE13" i="89" s="1"/>
  <c r="AD32" i="89"/>
  <c r="AF32" i="89" s="1"/>
  <c r="BE32" i="89" s="1"/>
  <c r="AD15" i="89"/>
  <c r="AF15" i="89" s="1"/>
  <c r="BE15" i="89" s="1"/>
  <c r="AD24" i="89"/>
  <c r="AF24" i="89" s="1"/>
  <c r="BE24" i="89" s="1"/>
  <c r="AD23" i="89"/>
  <c r="AF23" i="89" s="1"/>
  <c r="BE23" i="89" s="1"/>
  <c r="AD20" i="89"/>
  <c r="AF20" i="89" s="1"/>
  <c r="BE20" i="89" s="1"/>
  <c r="AD33" i="89"/>
  <c r="AF33" i="89" s="1"/>
  <c r="BE33" i="89" s="1"/>
  <c r="AD37" i="89"/>
  <c r="AF37" i="89" s="1"/>
  <c r="BE37" i="89" s="1"/>
  <c r="AD27" i="89"/>
  <c r="AF27" i="89" s="1"/>
  <c r="BE27" i="89" s="1"/>
  <c r="AD35" i="89"/>
  <c r="AF35" i="89" s="1"/>
  <c r="BE35" i="89" s="1"/>
  <c r="AD38" i="89"/>
  <c r="AF38" i="89" s="1"/>
  <c r="BE38" i="89" s="1"/>
  <c r="AD42" i="89"/>
  <c r="AF42" i="89" s="1"/>
  <c r="BE42" i="89" s="1"/>
  <c r="AD47" i="89"/>
  <c r="AF47" i="89" s="1"/>
  <c r="BE47" i="89" s="1"/>
  <c r="AD54" i="89"/>
  <c r="AF54" i="89" s="1"/>
  <c r="BE54" i="89" s="1"/>
  <c r="AD29" i="89"/>
  <c r="AF29" i="89" s="1"/>
  <c r="BE29" i="89" s="1"/>
  <c r="AD30" i="89"/>
  <c r="AF30" i="89" s="1"/>
  <c r="BE30" i="89" s="1"/>
  <c r="AD34" i="89"/>
  <c r="AF34" i="89" s="1"/>
  <c r="BE34" i="89" s="1"/>
  <c r="AD39" i="89"/>
  <c r="AF39" i="89" s="1"/>
  <c r="BE39" i="89" s="1"/>
  <c r="AD44" i="89"/>
  <c r="AF44" i="89" s="1"/>
  <c r="BE44" i="89" s="1"/>
  <c r="AD48" i="89"/>
  <c r="AF48" i="89" s="1"/>
  <c r="BE48" i="89" s="1"/>
  <c r="AD51" i="89"/>
  <c r="AF51" i="89" s="1"/>
  <c r="BE51" i="89" s="1"/>
  <c r="AD52" i="89"/>
  <c r="AF52" i="89" s="1"/>
  <c r="BE52" i="89" s="1"/>
  <c r="AD57" i="89"/>
  <c r="AF57" i="89" s="1"/>
  <c r="BE57" i="89" s="1"/>
  <c r="AD55" i="89"/>
  <c r="AF55" i="89" s="1"/>
  <c r="BE55" i="89" s="1"/>
  <c r="AD60" i="89"/>
  <c r="AF60" i="89" s="1"/>
  <c r="BE60" i="89" s="1"/>
  <c r="AD43" i="89"/>
  <c r="AF43" i="89" s="1"/>
  <c r="BE43" i="89" s="1"/>
  <c r="AD17" i="89"/>
  <c r="AF17" i="89" s="1"/>
  <c r="BE17" i="89" s="1"/>
  <c r="AD28" i="89"/>
  <c r="AF28" i="89" s="1"/>
  <c r="BE28" i="89" s="1"/>
  <c r="AD59" i="89"/>
  <c r="AF59" i="89" s="1"/>
  <c r="BE59" i="89" s="1"/>
  <c r="AD65" i="89"/>
  <c r="AF65" i="89" s="1"/>
  <c r="BE65" i="89" s="1"/>
  <c r="AD64" i="89"/>
  <c r="AF64" i="89" s="1"/>
  <c r="BE64" i="89" s="1"/>
  <c r="AD72" i="89"/>
  <c r="AF72" i="89" s="1"/>
  <c r="BE72" i="89" s="1"/>
  <c r="AD69" i="89"/>
  <c r="AF69" i="89" s="1"/>
  <c r="BE69" i="89" s="1"/>
  <c r="AD75" i="89"/>
  <c r="AF75" i="89" s="1"/>
  <c r="BE75" i="89" s="1"/>
  <c r="AD82" i="89"/>
  <c r="AF82" i="89" s="1"/>
  <c r="BE82" i="89" s="1"/>
  <c r="AD56" i="89"/>
  <c r="AF56" i="89" s="1"/>
  <c r="BE56" i="89" s="1"/>
  <c r="AD50" i="89"/>
  <c r="AF50" i="89" s="1"/>
  <c r="BE50" i="89" s="1"/>
  <c r="AD58" i="89"/>
  <c r="AF58" i="89" s="1"/>
  <c r="BE58" i="89" s="1"/>
  <c r="AD68" i="89"/>
  <c r="AF68" i="89" s="1"/>
  <c r="BE68" i="89" s="1"/>
  <c r="AD71" i="89"/>
  <c r="AF71" i="89" s="1"/>
  <c r="BE71" i="89" s="1"/>
  <c r="AD79" i="89"/>
  <c r="AF79" i="89" s="1"/>
  <c r="BE79" i="89" s="1"/>
  <c r="AD77" i="89"/>
  <c r="AF77" i="89" s="1"/>
  <c r="BE77" i="89" s="1"/>
  <c r="AD61" i="89"/>
  <c r="AF61" i="89" s="1"/>
  <c r="BE61" i="89" s="1"/>
  <c r="AD86" i="89"/>
  <c r="AF86" i="89" s="1"/>
  <c r="BE86" i="89" s="1"/>
  <c r="AD26" i="89"/>
  <c r="AF26" i="89" s="1"/>
  <c r="BE26" i="89" s="1"/>
  <c r="AD41" i="89"/>
  <c r="AF41" i="89" s="1"/>
  <c r="BE41" i="89" s="1"/>
  <c r="AD53" i="89"/>
  <c r="AF53" i="89" s="1"/>
  <c r="BE53" i="89" s="1"/>
  <c r="AD46" i="89"/>
  <c r="AF46" i="89" s="1"/>
  <c r="BE46" i="89" s="1"/>
  <c r="AD66" i="89"/>
  <c r="AF66" i="89" s="1"/>
  <c r="BE66" i="89" s="1"/>
  <c r="AD85" i="89"/>
  <c r="AF85" i="89" s="1"/>
  <c r="BE85" i="89" s="1"/>
  <c r="AD70" i="89"/>
  <c r="AF70" i="89" s="1"/>
  <c r="BE70" i="89" s="1"/>
  <c r="AD83" i="89"/>
  <c r="AF83" i="89" s="1"/>
  <c r="BE83" i="89" s="1"/>
  <c r="AD84" i="89"/>
  <c r="AF84" i="89" s="1"/>
  <c r="BE84" i="89" s="1"/>
  <c r="AD73" i="89"/>
  <c r="AF73" i="89" s="1"/>
  <c r="BE73" i="89" s="1"/>
  <c r="AD80" i="89"/>
  <c r="AF80" i="89" s="1"/>
  <c r="BE80" i="89" s="1"/>
  <c r="AD36" i="89"/>
  <c r="AF36" i="89" s="1"/>
  <c r="BE36" i="89" s="1"/>
  <c r="AD31" i="89"/>
  <c r="AF31" i="89" s="1"/>
  <c r="BE31" i="89" s="1"/>
  <c r="AD81" i="89"/>
  <c r="AF81" i="89" s="1"/>
  <c r="BE81" i="89" s="1"/>
  <c r="AD78" i="89"/>
  <c r="AF78" i="89" s="1"/>
  <c r="BE78" i="89" s="1"/>
  <c r="AD62" i="89"/>
  <c r="AF62" i="89" s="1"/>
  <c r="BE62" i="89" s="1"/>
  <c r="AD14" i="89"/>
  <c r="AF14" i="89" s="1"/>
  <c r="BE14" i="89" s="1"/>
  <c r="AD22" i="89"/>
  <c r="AF22" i="89" s="1"/>
  <c r="BE22" i="89" s="1"/>
  <c r="AD63" i="89"/>
  <c r="AF63" i="89" s="1"/>
  <c r="BE63" i="89" s="1"/>
  <c r="AY89" i="89"/>
  <c r="AM12" i="89"/>
  <c r="AM16" i="89"/>
  <c r="AM18" i="89"/>
  <c r="AM25" i="89"/>
  <c r="AM19" i="89"/>
  <c r="AM13" i="89"/>
  <c r="AM20" i="89"/>
  <c r="AM24" i="89"/>
  <c r="AM32" i="89"/>
  <c r="AM23" i="89"/>
  <c r="AM17" i="89"/>
  <c r="AM29" i="89"/>
  <c r="AM30" i="89"/>
  <c r="AM34" i="89"/>
  <c r="AM38" i="89"/>
  <c r="AM42" i="89"/>
  <c r="AM47" i="89"/>
  <c r="AM54" i="89"/>
  <c r="AM27" i="89"/>
  <c r="AM28" i="89"/>
  <c r="AM40" i="89"/>
  <c r="AM39" i="89"/>
  <c r="AM44" i="89"/>
  <c r="AM48" i="89"/>
  <c r="AM51" i="89"/>
  <c r="AM57" i="89"/>
  <c r="AM46" i="89"/>
  <c r="AM50" i="89"/>
  <c r="AM60" i="89"/>
  <c r="AM37" i="89"/>
  <c r="AM33" i="89"/>
  <c r="AM58" i="89"/>
  <c r="AM64" i="89"/>
  <c r="AM72" i="89"/>
  <c r="AM69" i="89"/>
  <c r="AM75" i="89"/>
  <c r="AM82" i="89"/>
  <c r="AM15" i="89"/>
  <c r="AM43" i="89"/>
  <c r="AM55" i="89"/>
  <c r="AM61" i="89"/>
  <c r="AM59" i="89"/>
  <c r="AM63" i="89"/>
  <c r="AM68" i="89"/>
  <c r="AM71" i="89"/>
  <c r="AM79" i="89"/>
  <c r="AM77" i="89"/>
  <c r="AM83" i="89"/>
  <c r="AM78" i="89"/>
  <c r="AM70" i="89"/>
  <c r="AM35" i="89"/>
  <c r="I21" i="89"/>
  <c r="AH21" i="87"/>
  <c r="AM142" i="88" l="1"/>
  <c r="AM153" i="88"/>
  <c r="AM136" i="88"/>
  <c r="AM118" i="88"/>
  <c r="AM65" i="88"/>
  <c r="AM22" i="88"/>
  <c r="AM162" i="88"/>
  <c r="AM106" i="88"/>
  <c r="AM57" i="88"/>
  <c r="AM12" i="88"/>
  <c r="AM16" i="88"/>
  <c r="AM78" i="88"/>
  <c r="AM39" i="88"/>
  <c r="AM35" i="88"/>
  <c r="AM77" i="88"/>
  <c r="AM128" i="88"/>
  <c r="AM133" i="88"/>
  <c r="AM30" i="88"/>
  <c r="AM43" i="88"/>
  <c r="AM79" i="88"/>
  <c r="AM96" i="88"/>
  <c r="AM138" i="88"/>
  <c r="AM67" i="88"/>
  <c r="AM145" i="88"/>
  <c r="AM31" i="88"/>
  <c r="AM93" i="88"/>
  <c r="AM74" i="88"/>
  <c r="AM140" i="88"/>
  <c r="AM51" i="88"/>
  <c r="AM105" i="88"/>
  <c r="AM89" i="88"/>
  <c r="AM143" i="88"/>
  <c r="AM61" i="88"/>
  <c r="AM36" i="88"/>
  <c r="AM122" i="88"/>
  <c r="AM76" i="88"/>
  <c r="AM91" i="88"/>
  <c r="AM14" i="88"/>
  <c r="AM155" i="88"/>
  <c r="AM37" i="88"/>
  <c r="AM28" i="88"/>
  <c r="AM25" i="88"/>
  <c r="AM85" i="88"/>
  <c r="AM66" i="88"/>
  <c r="AM48" i="88"/>
  <c r="AM120" i="88"/>
  <c r="AM124" i="88"/>
  <c r="AM129" i="88"/>
  <c r="AM175" i="88"/>
  <c r="AM160" i="88"/>
  <c r="AM165" i="88"/>
  <c r="AM174" i="88"/>
  <c r="AM90" i="88"/>
  <c r="AM163" i="88"/>
  <c r="AM42" i="88"/>
  <c r="AM62" i="88"/>
  <c r="AM83" i="88"/>
  <c r="AM45" i="88"/>
  <c r="AM54" i="88"/>
  <c r="AM94" i="88"/>
  <c r="AM63" i="88"/>
  <c r="AM111" i="88"/>
  <c r="AM150" i="88"/>
  <c r="AM68" i="88"/>
  <c r="AM47" i="88"/>
  <c r="AM19" i="88"/>
  <c r="AM33" i="88"/>
  <c r="AM23" i="88"/>
  <c r="AM95" i="88"/>
  <c r="AM87" i="88"/>
  <c r="AM70" i="88"/>
  <c r="AM24" i="88"/>
  <c r="AM117" i="88"/>
  <c r="AM148" i="88"/>
  <c r="AM167" i="88"/>
  <c r="AM164" i="88"/>
  <c r="AM126" i="88"/>
  <c r="AM98" i="88"/>
  <c r="AM17" i="88"/>
  <c r="AM157" i="88"/>
  <c r="AM55" i="88"/>
  <c r="AM108" i="88"/>
  <c r="AM32" i="88"/>
  <c r="Q180" i="88"/>
  <c r="AU180" i="88" s="1"/>
  <c r="M180" i="88"/>
  <c r="AQ180" i="88" s="1"/>
  <c r="L180" i="88"/>
  <c r="V180" i="88"/>
  <c r="J126" i="88"/>
  <c r="K126" i="88" s="1"/>
  <c r="AO126" i="88" s="1"/>
  <c r="J84" i="88"/>
  <c r="K84" i="88" s="1"/>
  <c r="AO84" i="88" s="1"/>
  <c r="J45" i="88"/>
  <c r="K45" i="88" s="1"/>
  <c r="AO45" i="88" s="1"/>
  <c r="J35" i="88"/>
  <c r="K35" i="88" s="1"/>
  <c r="AO35" i="88" s="1"/>
  <c r="J33" i="88"/>
  <c r="K33" i="88" s="1"/>
  <c r="AO33" i="88" s="1"/>
  <c r="J103" i="88"/>
  <c r="K103" i="88" s="1"/>
  <c r="AO103" i="88" s="1"/>
  <c r="I89" i="89"/>
  <c r="J21" i="89" s="1"/>
  <c r="I91" i="89"/>
  <c r="J43" i="88"/>
  <c r="K43" i="88" s="1"/>
  <c r="AO43" i="88" s="1"/>
  <c r="J165" i="88"/>
  <c r="K165" i="88" s="1"/>
  <c r="AO165" i="88" s="1"/>
  <c r="J102" i="88"/>
  <c r="K102" i="88" s="1"/>
  <c r="AO102" i="88" s="1"/>
  <c r="J16" i="88"/>
  <c r="K16" i="88" s="1"/>
  <c r="AO16" i="88" s="1"/>
  <c r="J74" i="88"/>
  <c r="K74" i="88" s="1"/>
  <c r="AO74" i="88" s="1"/>
  <c r="J36" i="88"/>
  <c r="K36" i="88" s="1"/>
  <c r="AO36" i="88" s="1"/>
  <c r="J95" i="88"/>
  <c r="K95" i="88" s="1"/>
  <c r="AO95" i="88" s="1"/>
  <c r="J83" i="88"/>
  <c r="K83" i="88" s="1"/>
  <c r="AO83" i="88" s="1"/>
  <c r="J120" i="88"/>
  <c r="K120" i="88" s="1"/>
  <c r="AO120" i="88" s="1"/>
  <c r="J99" i="88"/>
  <c r="K99" i="88" s="1"/>
  <c r="AO99" i="88" s="1"/>
  <c r="J148" i="88"/>
  <c r="K148" i="88" s="1"/>
  <c r="AO148" i="88" s="1"/>
  <c r="J128" i="88"/>
  <c r="K128" i="88" s="1"/>
  <c r="AO128" i="88" s="1"/>
  <c r="AM86" i="88"/>
  <c r="J136" i="88"/>
  <c r="K136" i="88" s="1"/>
  <c r="AO136" i="88" s="1"/>
  <c r="J131" i="88"/>
  <c r="K131" i="88" s="1"/>
  <c r="AO131" i="88" s="1"/>
  <c r="AM80" i="88"/>
  <c r="AM173" i="88"/>
  <c r="AM53" i="88"/>
  <c r="AM141" i="88"/>
  <c r="AM49" i="88"/>
  <c r="AM170" i="88"/>
  <c r="J138" i="88"/>
  <c r="K138" i="88" s="1"/>
  <c r="AO138" i="88" s="1"/>
  <c r="J134" i="88"/>
  <c r="K134" i="88" s="1"/>
  <c r="AO134" i="88" s="1"/>
  <c r="AM131" i="88"/>
  <c r="J32" i="88"/>
  <c r="K32" i="88" s="1"/>
  <c r="AO32" i="88" s="1"/>
  <c r="AM88" i="88"/>
  <c r="AM115" i="88"/>
  <c r="J30" i="88"/>
  <c r="K30" i="88" s="1"/>
  <c r="AO30" i="88" s="1"/>
  <c r="J94" i="88"/>
  <c r="K94" i="88" s="1"/>
  <c r="AO94" i="88" s="1"/>
  <c r="J57" i="88"/>
  <c r="K57" i="88" s="1"/>
  <c r="AO57" i="88" s="1"/>
  <c r="J155" i="88"/>
  <c r="K155" i="88" s="1"/>
  <c r="AO155" i="88" s="1"/>
  <c r="J42" i="88"/>
  <c r="K42" i="88" s="1"/>
  <c r="AO42" i="88" s="1"/>
  <c r="J106" i="88"/>
  <c r="K106" i="88" s="1"/>
  <c r="AO106" i="88" s="1"/>
  <c r="J79" i="88"/>
  <c r="K79" i="88" s="1"/>
  <c r="AO79" i="88" s="1"/>
  <c r="J151" i="88"/>
  <c r="K151" i="88" s="1"/>
  <c r="AO151" i="88" s="1"/>
  <c r="AF14" i="88"/>
  <c r="AD186" i="88"/>
  <c r="J65" i="88"/>
  <c r="K65" i="88" s="1"/>
  <c r="AO65" i="88" s="1"/>
  <c r="J153" i="88"/>
  <c r="K153" i="88" s="1"/>
  <c r="AO153" i="88" s="1"/>
  <c r="J173" i="88"/>
  <c r="K173" i="88" s="1"/>
  <c r="AO173" i="88" s="1"/>
  <c r="J133" i="88"/>
  <c r="K133" i="88" s="1"/>
  <c r="AO133" i="88" s="1"/>
  <c r="J164" i="88"/>
  <c r="K164" i="88" s="1"/>
  <c r="AO164" i="88" s="1"/>
  <c r="J132" i="88"/>
  <c r="K132" i="88" s="1"/>
  <c r="AO132" i="88" s="1"/>
  <c r="J175" i="88"/>
  <c r="K175" i="88" s="1"/>
  <c r="AO175" i="88" s="1"/>
  <c r="J12" i="88"/>
  <c r="K12" i="88" s="1"/>
  <c r="AO12" i="88" s="1"/>
  <c r="J23" i="88"/>
  <c r="K23" i="88" s="1"/>
  <c r="AO23" i="88" s="1"/>
  <c r="J62" i="88"/>
  <c r="K62" i="88" s="1"/>
  <c r="AO62" i="88" s="1"/>
  <c r="J31" i="88"/>
  <c r="K31" i="88" s="1"/>
  <c r="AO31" i="88" s="1"/>
  <c r="J104" i="88"/>
  <c r="K104" i="88" s="1"/>
  <c r="AO104" i="88" s="1"/>
  <c r="J87" i="88"/>
  <c r="K87" i="88" s="1"/>
  <c r="AO87" i="88" s="1"/>
  <c r="J150" i="88"/>
  <c r="K150" i="88" s="1"/>
  <c r="AO150" i="88" s="1"/>
  <c r="J129" i="88"/>
  <c r="K129" i="88" s="1"/>
  <c r="AO129" i="88" s="1"/>
  <c r="AM15" i="88"/>
  <c r="AM18" i="88"/>
  <c r="AM27" i="88"/>
  <c r="AM34" i="88"/>
  <c r="AM29" i="88"/>
  <c r="AM46" i="88"/>
  <c r="AM58" i="88"/>
  <c r="AM21" i="88"/>
  <c r="AM38" i="88"/>
  <c r="AM60" i="88"/>
  <c r="AM44" i="88"/>
  <c r="AM26" i="88"/>
  <c r="AM56" i="88"/>
  <c r="AM50" i="88"/>
  <c r="AM71" i="88"/>
  <c r="AM59" i="88"/>
  <c r="AM121" i="88"/>
  <c r="AM81" i="88"/>
  <c r="AM69" i="88"/>
  <c r="AM97" i="88"/>
  <c r="AM104" i="88"/>
  <c r="AM119" i="88"/>
  <c r="AM75" i="88"/>
  <c r="AM139" i="88"/>
  <c r="AM109" i="88"/>
  <c r="AM112" i="88"/>
  <c r="AM144" i="88"/>
  <c r="AM127" i="88"/>
  <c r="AM147" i="88"/>
  <c r="AM130" i="88"/>
  <c r="AM159" i="88"/>
  <c r="AM166" i="88"/>
  <c r="AM146" i="88"/>
  <c r="AM172" i="88"/>
  <c r="AM181" i="88"/>
  <c r="AM20" i="88"/>
  <c r="AM92" i="88"/>
  <c r="AM114" i="88"/>
  <c r="AM158" i="88"/>
  <c r="AM107" i="88"/>
  <c r="AM40" i="88"/>
  <c r="AM171" i="88"/>
  <c r="AM149" i="88"/>
  <c r="AM135" i="88"/>
  <c r="AM178" i="88"/>
  <c r="AM99" i="88"/>
  <c r="AM176" i="88"/>
  <c r="AM168" i="88"/>
  <c r="AM64" i="88"/>
  <c r="AM82" i="88"/>
  <c r="AM116" i="88"/>
  <c r="AM169" i="88"/>
  <c r="AM113" i="88"/>
  <c r="AM73" i="88"/>
  <c r="AM125" i="88"/>
  <c r="AM134" i="88"/>
  <c r="AM101" i="88"/>
  <c r="AM179" i="88"/>
  <c r="AM180" i="88"/>
  <c r="AM161" i="88"/>
  <c r="AM100" i="88"/>
  <c r="AM13" i="88"/>
  <c r="AM102" i="88"/>
  <c r="AM137" i="88"/>
  <c r="AM132" i="88"/>
  <c r="J118" i="88"/>
  <c r="K118" i="88" s="1"/>
  <c r="AO118" i="88" s="1"/>
  <c r="J177" i="88"/>
  <c r="K177" i="88" s="1"/>
  <c r="AO177" i="88" s="1"/>
  <c r="J88" i="88"/>
  <c r="K88" i="88" s="1"/>
  <c r="AO88" i="88" s="1"/>
  <c r="J61" i="88"/>
  <c r="J162" i="88"/>
  <c r="K162" i="88" s="1"/>
  <c r="AO162" i="88" s="1"/>
  <c r="J63" i="88"/>
  <c r="K63" i="88" s="1"/>
  <c r="AO63" i="88" s="1"/>
  <c r="AM72" i="88"/>
  <c r="J141" i="88"/>
  <c r="K141" i="88" s="1"/>
  <c r="AO141" i="88" s="1"/>
  <c r="J90" i="88"/>
  <c r="K90" i="88" s="1"/>
  <c r="AO90" i="88" s="1"/>
  <c r="AM154" i="88"/>
  <c r="AM156" i="88"/>
  <c r="AM103" i="88"/>
  <c r="J179" i="88"/>
  <c r="K179" i="88" s="1"/>
  <c r="AO179" i="88" s="1"/>
  <c r="J167" i="88"/>
  <c r="K167" i="88" s="1"/>
  <c r="AO167" i="88" s="1"/>
  <c r="AM84" i="88"/>
  <c r="AM91" i="89"/>
  <c r="J80" i="88"/>
  <c r="K80" i="88" s="1"/>
  <c r="AO80" i="88" s="1"/>
  <c r="J64" i="88"/>
  <c r="K64" i="88" s="1"/>
  <c r="AO64" i="88" s="1"/>
  <c r="J19" i="88"/>
  <c r="K19" i="88" s="1"/>
  <c r="AO19" i="88" s="1"/>
  <c r="J96" i="88"/>
  <c r="K96" i="88" s="1"/>
  <c r="AO96" i="88" s="1"/>
  <c r="J86" i="88"/>
  <c r="K86" i="88" s="1"/>
  <c r="AO86" i="88" s="1"/>
  <c r="J52" i="88"/>
  <c r="K52" i="88" s="1"/>
  <c r="AO52" i="88" s="1"/>
  <c r="J122" i="88"/>
  <c r="K122" i="88" s="1"/>
  <c r="AO122" i="88" s="1"/>
  <c r="J143" i="88"/>
  <c r="K143" i="88" s="1"/>
  <c r="AO143" i="88" s="1"/>
  <c r="J76" i="88"/>
  <c r="K76" i="88" s="1"/>
  <c r="AO76" i="88" s="1"/>
  <c r="J160" i="88"/>
  <c r="K160" i="88" s="1"/>
  <c r="AO160" i="88" s="1"/>
  <c r="J73" i="88"/>
  <c r="K73" i="88" s="1"/>
  <c r="AO73" i="88" s="1"/>
  <c r="J22" i="88"/>
  <c r="K22" i="88" s="1"/>
  <c r="AO22" i="88" s="1"/>
  <c r="J48" i="88"/>
  <c r="K48" i="88" s="1"/>
  <c r="AO48" i="88" s="1"/>
  <c r="J93" i="88"/>
  <c r="K93" i="88" s="1"/>
  <c r="AO93" i="88" s="1"/>
  <c r="J91" i="88"/>
  <c r="K91" i="88" s="1"/>
  <c r="AO91" i="88" s="1"/>
  <c r="J77" i="88"/>
  <c r="K77" i="88" s="1"/>
  <c r="AO77" i="88" s="1"/>
  <c r="J117" i="88"/>
  <c r="K117" i="88" s="1"/>
  <c r="AO117" i="88" s="1"/>
  <c r="J82" i="88"/>
  <c r="K82" i="88" s="1"/>
  <c r="AO82" i="88" s="1"/>
  <c r="J20" i="88"/>
  <c r="K20" i="88" s="1"/>
  <c r="AO20" i="88" s="1"/>
  <c r="J137" i="88"/>
  <c r="K137" i="88" s="1"/>
  <c r="AO137" i="88" s="1"/>
  <c r="J13" i="88"/>
  <c r="K13" i="88" s="1"/>
  <c r="AO13" i="88" s="1"/>
  <c r="AF12" i="89"/>
  <c r="AD91" i="89"/>
  <c r="J28" i="88"/>
  <c r="K28" i="88" s="1"/>
  <c r="AO28" i="88" s="1"/>
  <c r="J39" i="88"/>
  <c r="K39" i="88" s="1"/>
  <c r="AO39" i="88" s="1"/>
  <c r="J89" i="88"/>
  <c r="K89" i="88" s="1"/>
  <c r="AO89" i="88" s="1"/>
  <c r="J51" i="88"/>
  <c r="K51" i="88" s="1"/>
  <c r="AO51" i="88" s="1"/>
  <c r="J111" i="88"/>
  <c r="K111" i="88" s="1"/>
  <c r="AO111" i="88" s="1"/>
  <c r="J105" i="88"/>
  <c r="K105" i="88" s="1"/>
  <c r="AO105" i="88" s="1"/>
  <c r="J115" i="88"/>
  <c r="K115" i="88" s="1"/>
  <c r="AO115" i="88" s="1"/>
  <c r="AM177" i="88"/>
  <c r="AM41" i="88"/>
  <c r="J170" i="88"/>
  <c r="K170" i="88" s="1"/>
  <c r="AO170" i="88" s="1"/>
  <c r="J124" i="88"/>
  <c r="K124" i="88" s="1"/>
  <c r="AO124" i="88" s="1"/>
  <c r="J70" i="88"/>
  <c r="K70" i="88" s="1"/>
  <c r="AO70" i="88" s="1"/>
  <c r="AM151" i="88"/>
  <c r="J100" i="88"/>
  <c r="K100" i="88" s="1"/>
  <c r="AO100" i="88" s="1"/>
  <c r="AM123" i="88"/>
  <c r="AM152" i="88"/>
  <c r="AM110" i="88"/>
  <c r="AM52" i="88"/>
  <c r="J15" i="88"/>
  <c r="K15" i="88" s="1"/>
  <c r="AO15" i="88" s="1"/>
  <c r="J21" i="88"/>
  <c r="K21" i="88" s="1"/>
  <c r="AO21" i="88" s="1"/>
  <c r="J27" i="88"/>
  <c r="K27" i="88" s="1"/>
  <c r="AO27" i="88" s="1"/>
  <c r="J41" i="88"/>
  <c r="K41" i="88" s="1"/>
  <c r="AO41" i="88" s="1"/>
  <c r="J18" i="88"/>
  <c r="K18" i="88" s="1"/>
  <c r="AO18" i="88" s="1"/>
  <c r="J34" i="88"/>
  <c r="K34" i="88" s="1"/>
  <c r="AO34" i="88" s="1"/>
  <c r="J24" i="88"/>
  <c r="K24" i="88" s="1"/>
  <c r="AO24" i="88" s="1"/>
  <c r="J26" i="88"/>
  <c r="K26" i="88" s="1"/>
  <c r="AO26" i="88" s="1"/>
  <c r="J46" i="88"/>
  <c r="K46" i="88" s="1"/>
  <c r="AO46" i="88" s="1"/>
  <c r="J58" i="88"/>
  <c r="K58" i="88" s="1"/>
  <c r="AO58" i="88" s="1"/>
  <c r="J14" i="88"/>
  <c r="K14" i="88" s="1"/>
  <c r="AO14" i="88" s="1"/>
  <c r="J25" i="88"/>
  <c r="K25" i="88" s="1"/>
  <c r="AO25" i="88" s="1"/>
  <c r="J60" i="88"/>
  <c r="K60" i="88" s="1"/>
  <c r="AO60" i="88" s="1"/>
  <c r="J29" i="88"/>
  <c r="K29" i="88" s="1"/>
  <c r="AO29" i="88" s="1"/>
  <c r="J44" i="88"/>
  <c r="K44" i="88" s="1"/>
  <c r="AO44" i="88" s="1"/>
  <c r="J38" i="88"/>
  <c r="K38" i="88" s="1"/>
  <c r="AO38" i="88" s="1"/>
  <c r="J59" i="88"/>
  <c r="K59" i="88" s="1"/>
  <c r="AO59" i="88" s="1"/>
  <c r="J71" i="88"/>
  <c r="K71" i="88" s="1"/>
  <c r="AO71" i="88" s="1"/>
  <c r="J85" i="88"/>
  <c r="K85" i="88" s="1"/>
  <c r="AO85" i="88" s="1"/>
  <c r="J56" i="88"/>
  <c r="K56" i="88" s="1"/>
  <c r="AO56" i="88" s="1"/>
  <c r="J66" i="88"/>
  <c r="K66" i="88" s="1"/>
  <c r="AO66" i="88" s="1"/>
  <c r="J50" i="88"/>
  <c r="K50" i="88" s="1"/>
  <c r="AO50" i="88" s="1"/>
  <c r="J69" i="88"/>
  <c r="K69" i="88" s="1"/>
  <c r="AO69" i="88" s="1"/>
  <c r="J97" i="88"/>
  <c r="K97" i="88" s="1"/>
  <c r="AO97" i="88" s="1"/>
  <c r="J119" i="88"/>
  <c r="K119" i="88" s="1"/>
  <c r="AO119" i="88" s="1"/>
  <c r="J81" i="88"/>
  <c r="K81" i="88" s="1"/>
  <c r="AO81" i="88" s="1"/>
  <c r="J54" i="88"/>
  <c r="K54" i="88" s="1"/>
  <c r="AO54" i="88" s="1"/>
  <c r="J127" i="88"/>
  <c r="K127" i="88" s="1"/>
  <c r="AO127" i="88" s="1"/>
  <c r="J147" i="88"/>
  <c r="K147" i="88" s="1"/>
  <c r="AO147" i="88" s="1"/>
  <c r="J130" i="88"/>
  <c r="K130" i="88" s="1"/>
  <c r="AO130" i="88" s="1"/>
  <c r="J145" i="88"/>
  <c r="K145" i="88" s="1"/>
  <c r="AO145" i="88" s="1"/>
  <c r="J139" i="88"/>
  <c r="K139" i="88" s="1"/>
  <c r="AO139" i="88" s="1"/>
  <c r="J172" i="88"/>
  <c r="K172" i="88" s="1"/>
  <c r="AO172" i="88" s="1"/>
  <c r="J181" i="88"/>
  <c r="K181" i="88" s="1"/>
  <c r="AO181" i="88" s="1"/>
  <c r="J67" i="88"/>
  <c r="K67" i="88" s="1"/>
  <c r="AO67" i="88" s="1"/>
  <c r="J108" i="88"/>
  <c r="K108" i="88" s="1"/>
  <c r="AO108" i="88" s="1"/>
  <c r="J40" i="88"/>
  <c r="K40" i="88" s="1"/>
  <c r="AO40" i="88" s="1"/>
  <c r="J152" i="88"/>
  <c r="K152" i="88" s="1"/>
  <c r="AO152" i="88" s="1"/>
  <c r="J123" i="88"/>
  <c r="K123" i="88" s="1"/>
  <c r="AO123" i="88" s="1"/>
  <c r="J121" i="88"/>
  <c r="K121" i="88" s="1"/>
  <c r="AO121" i="88" s="1"/>
  <c r="J112" i="88"/>
  <c r="K112" i="88" s="1"/>
  <c r="AO112" i="88" s="1"/>
  <c r="J53" i="88"/>
  <c r="K53" i="88" s="1"/>
  <c r="AO53" i="88" s="1"/>
  <c r="J68" i="88"/>
  <c r="K68" i="88" s="1"/>
  <c r="AO68" i="88" s="1"/>
  <c r="J157" i="88"/>
  <c r="K157" i="88" s="1"/>
  <c r="AO157" i="88" s="1"/>
  <c r="J149" i="88"/>
  <c r="K149" i="88" s="1"/>
  <c r="AO149" i="88" s="1"/>
  <c r="J55" i="88"/>
  <c r="K55" i="88" s="1"/>
  <c r="AO55" i="88" s="1"/>
  <c r="J163" i="88"/>
  <c r="K163" i="88" s="1"/>
  <c r="AO163" i="88" s="1"/>
  <c r="J101" i="88"/>
  <c r="K101" i="88" s="1"/>
  <c r="AO101" i="88" s="1"/>
  <c r="J146" i="88"/>
  <c r="K146" i="88" s="1"/>
  <c r="AO146" i="88" s="1"/>
  <c r="J176" i="88"/>
  <c r="K176" i="88" s="1"/>
  <c r="AO176" i="88" s="1"/>
  <c r="J178" i="88"/>
  <c r="K178" i="88" s="1"/>
  <c r="AO178" i="88" s="1"/>
  <c r="J168" i="88"/>
  <c r="K168" i="88" s="1"/>
  <c r="AO168" i="88" s="1"/>
  <c r="J37" i="88"/>
  <c r="K37" i="88" s="1"/>
  <c r="AO37" i="88" s="1"/>
  <c r="J72" i="88"/>
  <c r="K72" i="88" s="1"/>
  <c r="AO72" i="88" s="1"/>
  <c r="J92" i="88"/>
  <c r="K92" i="88" s="1"/>
  <c r="AO92" i="88" s="1"/>
  <c r="J114" i="88"/>
  <c r="K114" i="88" s="1"/>
  <c r="AO114" i="88" s="1"/>
  <c r="J156" i="88"/>
  <c r="K156" i="88" s="1"/>
  <c r="AO156" i="88" s="1"/>
  <c r="J17" i="88"/>
  <c r="K17" i="88" s="1"/>
  <c r="AO17" i="88" s="1"/>
  <c r="J158" i="88"/>
  <c r="K158" i="88" s="1"/>
  <c r="AO158" i="88" s="1"/>
  <c r="J107" i="88"/>
  <c r="K107" i="88" s="1"/>
  <c r="AO107" i="88" s="1"/>
  <c r="J171" i="88"/>
  <c r="K171" i="88" s="1"/>
  <c r="AO171" i="88" s="1"/>
  <c r="J144" i="88"/>
  <c r="K144" i="88" s="1"/>
  <c r="AO144" i="88" s="1"/>
  <c r="J110" i="88"/>
  <c r="K110" i="88" s="1"/>
  <c r="AO110" i="88" s="1"/>
  <c r="J75" i="88"/>
  <c r="K75" i="88" s="1"/>
  <c r="AO75" i="88" s="1"/>
  <c r="J135" i="88"/>
  <c r="K135" i="88" s="1"/>
  <c r="AO135" i="88" s="1"/>
  <c r="J169" i="88"/>
  <c r="K169" i="88" s="1"/>
  <c r="AO169" i="88" s="1"/>
  <c r="J49" i="88"/>
  <c r="K49" i="88" s="1"/>
  <c r="AO49" i="88" s="1"/>
  <c r="J109" i="88"/>
  <c r="K109" i="88" s="1"/>
  <c r="AO109" i="88" s="1"/>
  <c r="J116" i="88"/>
  <c r="K116" i="88" s="1"/>
  <c r="AO116" i="88" s="1"/>
  <c r="J98" i="88"/>
  <c r="K98" i="88" s="1"/>
  <c r="AO98" i="88" s="1"/>
  <c r="J142" i="88"/>
  <c r="K142" i="88" s="1"/>
  <c r="AO142" i="88" s="1"/>
  <c r="J161" i="88"/>
  <c r="K161" i="88" s="1"/>
  <c r="AO161" i="88" s="1"/>
  <c r="J78" i="88"/>
  <c r="K78" i="88" s="1"/>
  <c r="AO78" i="88" s="1"/>
  <c r="J159" i="88"/>
  <c r="K159" i="88" s="1"/>
  <c r="AO159" i="88" s="1"/>
  <c r="J113" i="88"/>
  <c r="K113" i="88" s="1"/>
  <c r="AO113" i="88" s="1"/>
  <c r="J154" i="88"/>
  <c r="K154" i="88" s="1"/>
  <c r="AO154" i="88" s="1"/>
  <c r="J47" i="88"/>
  <c r="K47" i="88" s="1"/>
  <c r="AO47" i="88" s="1"/>
  <c r="J166" i="88"/>
  <c r="K166" i="88" s="1"/>
  <c r="AO166" i="88" s="1"/>
  <c r="J174" i="88"/>
  <c r="K174" i="88" s="1"/>
  <c r="AO174" i="88" s="1"/>
  <c r="J140" i="88"/>
  <c r="K140" i="88" s="1"/>
  <c r="AO140" i="88" s="1"/>
  <c r="J125" i="88"/>
  <c r="K125" i="88" s="1"/>
  <c r="AO125" i="88" s="1"/>
  <c r="BM31" i="80"/>
  <c r="BM28" i="80"/>
  <c r="BM27" i="80"/>
  <c r="BM26" i="80"/>
  <c r="BM25" i="80"/>
  <c r="BM24" i="80"/>
  <c r="BM23" i="80"/>
  <c r="BM22" i="80"/>
  <c r="BM21" i="80"/>
  <c r="BM20" i="80"/>
  <c r="BM19" i="80"/>
  <c r="BM18" i="80"/>
  <c r="BM17" i="80"/>
  <c r="BM16" i="80"/>
  <c r="BM15" i="80"/>
  <c r="BM14" i="80"/>
  <c r="BM13" i="80"/>
  <c r="BM12" i="80"/>
  <c r="BL31" i="80"/>
  <c r="BL28" i="80"/>
  <c r="BL27" i="80"/>
  <c r="BL26" i="80"/>
  <c r="BL25" i="80"/>
  <c r="BL24" i="80"/>
  <c r="BL23" i="80"/>
  <c r="BL22" i="80"/>
  <c r="BL21" i="80"/>
  <c r="BL20" i="80"/>
  <c r="BL19" i="80"/>
  <c r="BL18" i="80"/>
  <c r="BL17" i="80"/>
  <c r="BL16" i="80"/>
  <c r="BL15" i="80"/>
  <c r="BL14" i="80"/>
  <c r="BL13" i="80"/>
  <c r="BL12" i="80"/>
  <c r="BJ27" i="87"/>
  <c r="BJ26" i="87"/>
  <c r="AY26" i="87"/>
  <c r="AT26" i="87"/>
  <c r="AR26" i="87"/>
  <c r="AT25" i="87"/>
  <c r="AR25" i="87"/>
  <c r="BJ22" i="87"/>
  <c r="AY22" i="87"/>
  <c r="AT22" i="87"/>
  <c r="AR22" i="87"/>
  <c r="AY21" i="87"/>
  <c r="AT21" i="87"/>
  <c r="AR21" i="87"/>
  <c r="BJ19" i="87"/>
  <c r="AY19" i="87"/>
  <c r="BJ18" i="87"/>
  <c r="BJ28" i="86"/>
  <c r="BJ28" i="87" s="1"/>
  <c r="AY28" i="86"/>
  <c r="AY28" i="87" s="1"/>
  <c r="AT28" i="86"/>
  <c r="AT28" i="87" s="1"/>
  <c r="AR28" i="86"/>
  <c r="AR28" i="87" s="1"/>
  <c r="BJ27" i="86"/>
  <c r="AY27" i="86"/>
  <c r="AY27" i="87" s="1"/>
  <c r="AT27" i="86"/>
  <c r="AR27" i="86"/>
  <c r="AR27" i="87" s="1"/>
  <c r="BJ26" i="86"/>
  <c r="AY26" i="86"/>
  <c r="AT26" i="86"/>
  <c r="AR26" i="86"/>
  <c r="BJ25" i="86"/>
  <c r="BJ25" i="87" s="1"/>
  <c r="AY25" i="86"/>
  <c r="AY25" i="87" s="1"/>
  <c r="AT25" i="86"/>
  <c r="AR25" i="86"/>
  <c r="BJ24" i="86"/>
  <c r="BJ24" i="87" s="1"/>
  <c r="AY24" i="86"/>
  <c r="AT24" i="86"/>
  <c r="AR24" i="86"/>
  <c r="AR24" i="87" s="1"/>
  <c r="BJ23" i="86"/>
  <c r="BJ23" i="87" s="1"/>
  <c r="AY23" i="86"/>
  <c r="AY23" i="87" s="1"/>
  <c r="AT23" i="86"/>
  <c r="AR23" i="86"/>
  <c r="AR23" i="87" s="1"/>
  <c r="BJ22" i="86"/>
  <c r="AY22" i="86"/>
  <c r="AT22" i="86"/>
  <c r="AR22" i="86"/>
  <c r="BJ21" i="86"/>
  <c r="BJ21" i="87" s="1"/>
  <c r="AY21" i="86"/>
  <c r="AT21" i="86"/>
  <c r="AR21" i="86"/>
  <c r="BJ20" i="86"/>
  <c r="AY20" i="86"/>
  <c r="AY20" i="87" s="1"/>
  <c r="AT20" i="86"/>
  <c r="AR20" i="86"/>
  <c r="AR20" i="87" s="1"/>
  <c r="BJ19" i="86"/>
  <c r="AY19" i="86"/>
  <c r="AT19" i="86"/>
  <c r="AT19" i="87" s="1"/>
  <c r="AR19" i="86"/>
  <c r="AR19" i="87" s="1"/>
  <c r="BJ18" i="86"/>
  <c r="AY18" i="86"/>
  <c r="AY18" i="87" s="1"/>
  <c r="AT18" i="86"/>
  <c r="AR18" i="86"/>
  <c r="AR18" i="87" s="1"/>
  <c r="BK28" i="85"/>
  <c r="BJ28" i="85"/>
  <c r="BI28" i="85"/>
  <c r="BG28" i="85"/>
  <c r="BF28" i="85"/>
  <c r="BE28" i="85"/>
  <c r="BD28" i="85"/>
  <c r="BC28" i="85"/>
  <c r="BB28" i="85"/>
  <c r="BH28" i="85" s="1"/>
  <c r="AY28" i="85"/>
  <c r="AX28" i="85"/>
  <c r="AZ28" i="85" s="1"/>
  <c r="AW28" i="85"/>
  <c r="AU28" i="85"/>
  <c r="AV28" i="85" s="1"/>
  <c r="AT28" i="85"/>
  <c r="AR28" i="85"/>
  <c r="BJ27" i="85"/>
  <c r="BI27" i="85"/>
  <c r="BK27" i="85" s="1"/>
  <c r="BG27" i="85"/>
  <c r="BF27" i="85"/>
  <c r="BE27" i="85"/>
  <c r="BD27" i="85"/>
  <c r="BC27" i="85"/>
  <c r="BB27" i="85"/>
  <c r="BH27" i="85" s="1"/>
  <c r="AY27" i="85"/>
  <c r="AZ27" i="85" s="1"/>
  <c r="AX27" i="85"/>
  <c r="AW27" i="85"/>
  <c r="AU27" i="85"/>
  <c r="AT27" i="85"/>
  <c r="AV27" i="85" s="1"/>
  <c r="AR27" i="85"/>
  <c r="BJ26" i="85"/>
  <c r="BK26" i="85" s="1"/>
  <c r="BI26" i="85"/>
  <c r="BG26" i="85"/>
  <c r="BF26" i="85"/>
  <c r="BE26" i="85"/>
  <c r="BD26" i="85"/>
  <c r="BC26" i="85"/>
  <c r="BB26" i="85"/>
  <c r="BH26" i="85" s="1"/>
  <c r="AZ26" i="85"/>
  <c r="AY26" i="85"/>
  <c r="AX26" i="85"/>
  <c r="AW26" i="85"/>
  <c r="AU26" i="85"/>
  <c r="AT26" i="85"/>
  <c r="AV26" i="85" s="1"/>
  <c r="AR26" i="85"/>
  <c r="BJ25" i="85"/>
  <c r="BI25" i="85"/>
  <c r="BK25" i="85" s="1"/>
  <c r="BG25" i="85"/>
  <c r="BF25" i="85"/>
  <c r="BE25" i="85"/>
  <c r="BD25" i="85"/>
  <c r="BC25" i="85"/>
  <c r="BB25" i="85"/>
  <c r="BH25" i="85" s="1"/>
  <c r="AY25" i="85"/>
  <c r="AZ25" i="85" s="1"/>
  <c r="AX25" i="85"/>
  <c r="AW25" i="85"/>
  <c r="AU25" i="85"/>
  <c r="AV25" i="85" s="1"/>
  <c r="AT25" i="85"/>
  <c r="AR25" i="85"/>
  <c r="BJ24" i="85"/>
  <c r="BI24" i="85"/>
  <c r="BK24" i="85" s="1"/>
  <c r="BG24" i="85"/>
  <c r="BF24" i="85"/>
  <c r="BE24" i="85"/>
  <c r="BD24" i="85"/>
  <c r="BC24" i="85"/>
  <c r="BB24" i="85"/>
  <c r="BH24" i="85" s="1"/>
  <c r="AZ24" i="85"/>
  <c r="AY24" i="85"/>
  <c r="AX24" i="85"/>
  <c r="AW24" i="85"/>
  <c r="AV24" i="85"/>
  <c r="AU24" i="85"/>
  <c r="AT24" i="85"/>
  <c r="AR24" i="85"/>
  <c r="BJ23" i="85"/>
  <c r="BK23" i="85" s="1"/>
  <c r="BI23" i="85"/>
  <c r="BG23" i="85"/>
  <c r="BF23" i="85"/>
  <c r="BE23" i="85"/>
  <c r="BD23" i="85"/>
  <c r="BC23" i="85"/>
  <c r="BB23" i="85"/>
  <c r="BH23" i="85" s="1"/>
  <c r="AY23" i="85"/>
  <c r="AX23" i="85"/>
  <c r="AZ23" i="85" s="1"/>
  <c r="AW23" i="85"/>
  <c r="AU23" i="85"/>
  <c r="AV23" i="85" s="1"/>
  <c r="AT23" i="85"/>
  <c r="AR23" i="85"/>
  <c r="BK22" i="85"/>
  <c r="BJ22" i="85"/>
  <c r="BI22" i="85"/>
  <c r="BG22" i="85"/>
  <c r="BF22" i="85"/>
  <c r="BE22" i="85"/>
  <c r="BD22" i="85"/>
  <c r="BC22" i="85"/>
  <c r="BB22" i="85"/>
  <c r="BH22" i="85" s="1"/>
  <c r="AY22" i="85"/>
  <c r="AX22" i="85"/>
  <c r="AZ22" i="85" s="1"/>
  <c r="AW22" i="85"/>
  <c r="AV22" i="85"/>
  <c r="AU22" i="85"/>
  <c r="AT22" i="85"/>
  <c r="AR22" i="85"/>
  <c r="BJ21" i="85"/>
  <c r="BI21" i="85"/>
  <c r="BK21" i="85" s="1"/>
  <c r="BG21" i="85"/>
  <c r="BF21" i="85"/>
  <c r="BE21" i="85"/>
  <c r="BD21" i="85"/>
  <c r="BC21" i="85"/>
  <c r="BB21" i="85"/>
  <c r="BH21" i="85" s="1"/>
  <c r="AY21" i="85"/>
  <c r="AZ21" i="85" s="1"/>
  <c r="AX21" i="85"/>
  <c r="AW21" i="85"/>
  <c r="AU21" i="85"/>
  <c r="AT21" i="85"/>
  <c r="AV21" i="85" s="1"/>
  <c r="AR21" i="85"/>
  <c r="BK20" i="85"/>
  <c r="BJ20" i="85"/>
  <c r="BI20" i="85"/>
  <c r="BG20" i="85"/>
  <c r="BF20" i="85"/>
  <c r="BE20" i="85"/>
  <c r="BD20" i="85"/>
  <c r="BC20" i="85"/>
  <c r="BB20" i="85"/>
  <c r="BH20" i="85" s="1"/>
  <c r="AZ20" i="85"/>
  <c r="AY20" i="85"/>
  <c r="AX20" i="85"/>
  <c r="AW20" i="85"/>
  <c r="AU20" i="85"/>
  <c r="AT20" i="85"/>
  <c r="AV20" i="85" s="1"/>
  <c r="AR20" i="85"/>
  <c r="BJ19" i="85"/>
  <c r="BI19" i="85"/>
  <c r="BK19" i="85" s="1"/>
  <c r="BG19" i="85"/>
  <c r="BF19" i="85"/>
  <c r="BE19" i="85"/>
  <c r="BD19" i="85"/>
  <c r="BC19" i="85"/>
  <c r="BB19" i="85"/>
  <c r="BH19" i="85" s="1"/>
  <c r="AY19" i="85"/>
  <c r="AZ19" i="85" s="1"/>
  <c r="AX19" i="85"/>
  <c r="AW19" i="85"/>
  <c r="AU19" i="85"/>
  <c r="AV19" i="85" s="1"/>
  <c r="AT19" i="85"/>
  <c r="AR19" i="85"/>
  <c r="BJ18" i="85"/>
  <c r="BI18" i="85"/>
  <c r="BK18" i="85" s="1"/>
  <c r="BG18" i="85"/>
  <c r="BF18" i="85"/>
  <c r="BE18" i="85"/>
  <c r="BD18" i="85"/>
  <c r="BC18" i="85"/>
  <c r="BB18" i="85"/>
  <c r="BH18" i="85" s="1"/>
  <c r="AZ18" i="85"/>
  <c r="AY18" i="85"/>
  <c r="AX18" i="85"/>
  <c r="AW18" i="85"/>
  <c r="AV18" i="85"/>
  <c r="AU18" i="85"/>
  <c r="AT18" i="85"/>
  <c r="AR18" i="85"/>
  <c r="BJ28" i="84"/>
  <c r="BI28" i="84"/>
  <c r="BK28" i="84" s="1"/>
  <c r="BG28" i="84"/>
  <c r="BF28" i="84"/>
  <c r="BE28" i="84"/>
  <c r="BD28" i="84"/>
  <c r="BC28" i="84"/>
  <c r="BB28" i="84"/>
  <c r="BH28" i="84" s="1"/>
  <c r="AY28" i="84"/>
  <c r="AX28" i="84"/>
  <c r="AZ28" i="84" s="1"/>
  <c r="AW28" i="84"/>
  <c r="AU28" i="84"/>
  <c r="AV28" i="84" s="1"/>
  <c r="AT28" i="84"/>
  <c r="AR28" i="84"/>
  <c r="BJ27" i="84"/>
  <c r="BI27" i="84"/>
  <c r="BK27" i="84" s="1"/>
  <c r="BG27" i="84"/>
  <c r="BF27" i="84"/>
  <c r="BE27" i="84"/>
  <c r="BD27" i="84"/>
  <c r="BC27" i="84"/>
  <c r="BB27" i="84"/>
  <c r="BH27" i="84" s="1"/>
  <c r="AZ27" i="84"/>
  <c r="AY27" i="84"/>
  <c r="AX27" i="84"/>
  <c r="AW27" i="84"/>
  <c r="AU27" i="84"/>
  <c r="AT27" i="84"/>
  <c r="AV27" i="84" s="1"/>
  <c r="AR27" i="84"/>
  <c r="BJ26" i="84"/>
  <c r="BK26" i="84" s="1"/>
  <c r="BI26" i="84"/>
  <c r="BG26" i="84"/>
  <c r="BF26" i="84"/>
  <c r="BE26" i="84"/>
  <c r="BD26" i="84"/>
  <c r="BC26" i="84"/>
  <c r="BB26" i="84"/>
  <c r="BH26" i="84" s="1"/>
  <c r="AY26" i="84"/>
  <c r="AX26" i="84"/>
  <c r="AZ26" i="84" s="1"/>
  <c r="AW26" i="84"/>
  <c r="AU26" i="84"/>
  <c r="AT26" i="84"/>
  <c r="AV26" i="84" s="1"/>
  <c r="AR26" i="84"/>
  <c r="BJ25" i="84"/>
  <c r="BI25" i="84"/>
  <c r="BK25" i="84" s="1"/>
  <c r="BG25" i="84"/>
  <c r="BF25" i="84"/>
  <c r="BE25" i="84"/>
  <c r="BD25" i="84"/>
  <c r="BC25" i="84"/>
  <c r="BB25" i="84"/>
  <c r="BH25" i="84" s="1"/>
  <c r="AY25" i="84"/>
  <c r="AX25" i="84"/>
  <c r="AZ25" i="84" s="1"/>
  <c r="AW25" i="84"/>
  <c r="AV25" i="84"/>
  <c r="AU25" i="84"/>
  <c r="AT25" i="84"/>
  <c r="AR25" i="84"/>
  <c r="BJ24" i="84"/>
  <c r="BI24" i="84"/>
  <c r="BK24" i="84" s="1"/>
  <c r="BG24" i="84"/>
  <c r="BF24" i="84"/>
  <c r="BE24" i="84"/>
  <c r="BD24" i="84"/>
  <c r="BC24" i="84"/>
  <c r="BB24" i="84"/>
  <c r="BH24" i="84" s="1"/>
  <c r="AY24" i="84"/>
  <c r="AZ24" i="84" s="1"/>
  <c r="AX24" i="84"/>
  <c r="AW24" i="84"/>
  <c r="AU24" i="84"/>
  <c r="AT24" i="84"/>
  <c r="AV24" i="84" s="1"/>
  <c r="AR24" i="84"/>
  <c r="BK23" i="84"/>
  <c r="BJ23" i="84"/>
  <c r="BI23" i="84"/>
  <c r="BG23" i="84"/>
  <c r="BF23" i="84"/>
  <c r="BE23" i="84"/>
  <c r="BD23" i="84"/>
  <c r="BC23" i="84"/>
  <c r="BB23" i="84"/>
  <c r="BH23" i="84" s="1"/>
  <c r="AY23" i="84"/>
  <c r="AX23" i="84"/>
  <c r="AZ23" i="84" s="1"/>
  <c r="AW23" i="84"/>
  <c r="AU23" i="84"/>
  <c r="AT23" i="84"/>
  <c r="AV23" i="84" s="1"/>
  <c r="AR23" i="84"/>
  <c r="BJ22" i="84"/>
  <c r="BI22" i="84"/>
  <c r="BK22" i="84" s="1"/>
  <c r="BG22" i="84"/>
  <c r="BF22" i="84"/>
  <c r="BE22" i="84"/>
  <c r="BD22" i="84"/>
  <c r="BC22" i="84"/>
  <c r="BB22" i="84"/>
  <c r="BH22" i="84" s="1"/>
  <c r="AY22" i="84"/>
  <c r="AX22" i="84"/>
  <c r="AZ22" i="84" s="1"/>
  <c r="AW22" i="84"/>
  <c r="AU22" i="84"/>
  <c r="AV22" i="84" s="1"/>
  <c r="AT22" i="84"/>
  <c r="AR22" i="84"/>
  <c r="BJ21" i="84"/>
  <c r="BI21" i="84"/>
  <c r="BK21" i="84" s="1"/>
  <c r="BG21" i="84"/>
  <c r="BF21" i="84"/>
  <c r="BE21" i="84"/>
  <c r="BD21" i="84"/>
  <c r="BC21" i="84"/>
  <c r="BB21" i="84"/>
  <c r="BH21" i="84" s="1"/>
  <c r="AZ21" i="84"/>
  <c r="AY21" i="84"/>
  <c r="AX21" i="84"/>
  <c r="AW21" i="84"/>
  <c r="AU21" i="84"/>
  <c r="AT21" i="84"/>
  <c r="AV21" i="84" s="1"/>
  <c r="AR21" i="84"/>
  <c r="BJ20" i="84"/>
  <c r="BK20" i="84" s="1"/>
  <c r="BI20" i="84"/>
  <c r="BG20" i="84"/>
  <c r="BF20" i="84"/>
  <c r="BE20" i="84"/>
  <c r="BD20" i="84"/>
  <c r="BC20" i="84"/>
  <c r="BB20" i="84"/>
  <c r="BH20" i="84" s="1"/>
  <c r="AY20" i="84"/>
  <c r="AX20" i="84"/>
  <c r="AZ20" i="84" s="1"/>
  <c r="AW20" i="84"/>
  <c r="AU20" i="84"/>
  <c r="AT20" i="84"/>
  <c r="AV20" i="84" s="1"/>
  <c r="AR20" i="84"/>
  <c r="BJ19" i="84"/>
  <c r="BI19" i="84"/>
  <c r="BK19" i="84" s="1"/>
  <c r="BG19" i="84"/>
  <c r="BF19" i="84"/>
  <c r="BE19" i="84"/>
  <c r="BD19" i="84"/>
  <c r="BC19" i="84"/>
  <c r="BB19" i="84"/>
  <c r="BH19" i="84" s="1"/>
  <c r="AY19" i="84"/>
  <c r="AX19" i="84"/>
  <c r="AZ19" i="84" s="1"/>
  <c r="AW19" i="84"/>
  <c r="AV19" i="84"/>
  <c r="AU19" i="84"/>
  <c r="AT19" i="84"/>
  <c r="AR19" i="84"/>
  <c r="BJ18" i="84"/>
  <c r="BI18" i="84"/>
  <c r="BK18" i="84" s="1"/>
  <c r="BG18" i="84"/>
  <c r="BF18" i="84"/>
  <c r="BE18" i="84"/>
  <c r="BD18" i="84"/>
  <c r="BC18" i="84"/>
  <c r="BB18" i="84"/>
  <c r="BH18" i="84" s="1"/>
  <c r="AZ18" i="84"/>
  <c r="AY18" i="84"/>
  <c r="AX18" i="84"/>
  <c r="AW18" i="84"/>
  <c r="AU18" i="84"/>
  <c r="AT18" i="84"/>
  <c r="AV18" i="84" s="1"/>
  <c r="AR18" i="84"/>
  <c r="BJ28" i="83"/>
  <c r="BI28" i="83"/>
  <c r="BK28" i="83" s="1"/>
  <c r="BG28" i="83"/>
  <c r="BF28" i="83"/>
  <c r="BE28" i="83"/>
  <c r="BD28" i="83"/>
  <c r="BC28" i="83"/>
  <c r="BB28" i="83"/>
  <c r="BH28" i="83" s="1"/>
  <c r="AY28" i="83"/>
  <c r="AX28" i="83"/>
  <c r="AZ28" i="83" s="1"/>
  <c r="AW28" i="83"/>
  <c r="AU28" i="83"/>
  <c r="AV28" i="83" s="1"/>
  <c r="AT28" i="83"/>
  <c r="AR28" i="83"/>
  <c r="BJ27" i="83"/>
  <c r="BI27" i="83"/>
  <c r="BK27" i="83" s="1"/>
  <c r="BG27" i="83"/>
  <c r="BF27" i="83"/>
  <c r="BE27" i="83"/>
  <c r="BD27" i="83"/>
  <c r="BC27" i="83"/>
  <c r="BB27" i="83"/>
  <c r="BH27" i="83" s="1"/>
  <c r="AZ27" i="83"/>
  <c r="AY27" i="83"/>
  <c r="AX27" i="83"/>
  <c r="AW27" i="83"/>
  <c r="AU27" i="83"/>
  <c r="AT27" i="83"/>
  <c r="AV27" i="83" s="1"/>
  <c r="AR27" i="83"/>
  <c r="BJ26" i="83"/>
  <c r="BK26" i="83" s="1"/>
  <c r="BI26" i="83"/>
  <c r="BG26" i="83"/>
  <c r="BF26" i="83"/>
  <c r="BE26" i="83"/>
  <c r="BD26" i="83"/>
  <c r="BC26" i="83"/>
  <c r="BB26" i="83"/>
  <c r="BH26" i="83" s="1"/>
  <c r="AY26" i="83"/>
  <c r="AX26" i="83"/>
  <c r="AZ26" i="83" s="1"/>
  <c r="AW26" i="83"/>
  <c r="AU26" i="83"/>
  <c r="AT26" i="83"/>
  <c r="AV26" i="83" s="1"/>
  <c r="AR26" i="83"/>
  <c r="BJ25" i="83"/>
  <c r="BI25" i="83"/>
  <c r="BK25" i="83" s="1"/>
  <c r="BG25" i="83"/>
  <c r="BF25" i="83"/>
  <c r="BE25" i="83"/>
  <c r="BD25" i="83"/>
  <c r="BC25" i="83"/>
  <c r="BB25" i="83"/>
  <c r="BH25" i="83" s="1"/>
  <c r="AY25" i="83"/>
  <c r="AX25" i="83"/>
  <c r="AZ25" i="83" s="1"/>
  <c r="AW25" i="83"/>
  <c r="AV25" i="83"/>
  <c r="AU25" i="83"/>
  <c r="AT25" i="83"/>
  <c r="AR25" i="83"/>
  <c r="BJ24" i="83"/>
  <c r="BI24" i="83"/>
  <c r="BK24" i="83" s="1"/>
  <c r="BG24" i="83"/>
  <c r="BF24" i="83"/>
  <c r="BE24" i="83"/>
  <c r="BD24" i="83"/>
  <c r="BC24" i="83"/>
  <c r="BB24" i="83"/>
  <c r="BH24" i="83" s="1"/>
  <c r="AY24" i="83"/>
  <c r="AZ24" i="83" s="1"/>
  <c r="AX24" i="83"/>
  <c r="AW24" i="83"/>
  <c r="AU24" i="83"/>
  <c r="AT24" i="83"/>
  <c r="AV24" i="83" s="1"/>
  <c r="AR24" i="83"/>
  <c r="BK23" i="83"/>
  <c r="BJ23" i="83"/>
  <c r="BI23" i="83"/>
  <c r="BG23" i="83"/>
  <c r="BF23" i="83"/>
  <c r="BE23" i="83"/>
  <c r="BD23" i="83"/>
  <c r="BC23" i="83"/>
  <c r="BB23" i="83"/>
  <c r="BH23" i="83" s="1"/>
  <c r="AY23" i="83"/>
  <c r="AX23" i="83"/>
  <c r="AZ23" i="83" s="1"/>
  <c r="AW23" i="83"/>
  <c r="AU23" i="83"/>
  <c r="AV23" i="83" s="1"/>
  <c r="AT23" i="83"/>
  <c r="AR23" i="83"/>
  <c r="BJ22" i="83"/>
  <c r="BI22" i="83"/>
  <c r="BK22" i="83" s="1"/>
  <c r="BG22" i="83"/>
  <c r="BF22" i="83"/>
  <c r="BE22" i="83"/>
  <c r="BD22" i="83"/>
  <c r="BC22" i="83"/>
  <c r="BB22" i="83"/>
  <c r="BH22" i="83" s="1"/>
  <c r="AY22" i="83"/>
  <c r="AX22" i="83"/>
  <c r="AZ22" i="83" s="1"/>
  <c r="AW22" i="83"/>
  <c r="AU22" i="83"/>
  <c r="AV22" i="83" s="1"/>
  <c r="AT22" i="83"/>
  <c r="AR22" i="83"/>
  <c r="BJ21" i="83"/>
  <c r="BI21" i="83"/>
  <c r="BK21" i="83" s="1"/>
  <c r="BG21" i="83"/>
  <c r="BF21" i="83"/>
  <c r="BE21" i="83"/>
  <c r="BD21" i="83"/>
  <c r="BC21" i="83"/>
  <c r="BB21" i="83"/>
  <c r="BH21" i="83" s="1"/>
  <c r="AZ21" i="83"/>
  <c r="AY21" i="83"/>
  <c r="AX21" i="83"/>
  <c r="AW21" i="83"/>
  <c r="AU21" i="83"/>
  <c r="AT21" i="83"/>
  <c r="AV21" i="83" s="1"/>
  <c r="AR21" i="83"/>
  <c r="BK20" i="83"/>
  <c r="BJ20" i="83"/>
  <c r="BI20" i="83"/>
  <c r="BH20" i="83"/>
  <c r="BG20" i="83"/>
  <c r="BF20" i="83"/>
  <c r="BE20" i="83"/>
  <c r="BD20" i="83"/>
  <c r="BC20" i="83"/>
  <c r="BB20" i="83"/>
  <c r="AY20" i="83"/>
  <c r="AX20" i="83"/>
  <c r="AZ20" i="83" s="1"/>
  <c r="AW20" i="83"/>
  <c r="AU20" i="83"/>
  <c r="AT20" i="83"/>
  <c r="AV20" i="83" s="1"/>
  <c r="AR20" i="83"/>
  <c r="BJ19" i="83"/>
  <c r="BI19" i="83"/>
  <c r="BK19" i="83" s="1"/>
  <c r="BG19" i="83"/>
  <c r="BF19" i="83"/>
  <c r="BE19" i="83"/>
  <c r="BD19" i="83"/>
  <c r="BC19" i="83"/>
  <c r="BB19" i="83"/>
  <c r="BH19" i="83" s="1"/>
  <c r="AY19" i="83"/>
  <c r="AZ19" i="83" s="1"/>
  <c r="AX19" i="83"/>
  <c r="AW19" i="83"/>
  <c r="AV19" i="83"/>
  <c r="AU19" i="83"/>
  <c r="AT19" i="83"/>
  <c r="AR19" i="83"/>
  <c r="BJ18" i="83"/>
  <c r="BI18" i="83"/>
  <c r="BK18" i="83" s="1"/>
  <c r="BG18" i="83"/>
  <c r="BF18" i="83"/>
  <c r="BE18" i="83"/>
  <c r="BD18" i="83"/>
  <c r="BC18" i="83"/>
  <c r="BB18" i="83"/>
  <c r="BH18" i="83" s="1"/>
  <c r="AZ18" i="83"/>
  <c r="AY18" i="83"/>
  <c r="AX18" i="83"/>
  <c r="AW18" i="83"/>
  <c r="AU18" i="83"/>
  <c r="AT18" i="83"/>
  <c r="AV18" i="83" s="1"/>
  <c r="AR18" i="83"/>
  <c r="BJ28" i="82"/>
  <c r="BI28" i="82"/>
  <c r="BK28" i="82" s="1"/>
  <c r="BG28" i="82"/>
  <c r="BF28" i="82"/>
  <c r="BE28" i="82"/>
  <c r="BD28" i="82"/>
  <c r="BC28" i="82"/>
  <c r="BB28" i="82"/>
  <c r="BH28" i="82" s="1"/>
  <c r="AY28" i="82"/>
  <c r="AZ28" i="82" s="1"/>
  <c r="AX28" i="82"/>
  <c r="AW28" i="82"/>
  <c r="AU28" i="82"/>
  <c r="AT28" i="82"/>
  <c r="AV28" i="82" s="1"/>
  <c r="AR28" i="82"/>
  <c r="BJ27" i="82"/>
  <c r="BK27" i="82" s="1"/>
  <c r="BI27" i="82"/>
  <c r="BG27" i="82"/>
  <c r="BF27" i="82"/>
  <c r="BE27" i="82"/>
  <c r="BD27" i="82"/>
  <c r="BC27" i="82"/>
  <c r="BB27" i="82"/>
  <c r="BH27" i="82" s="1"/>
  <c r="AZ27" i="82"/>
  <c r="AY27" i="82"/>
  <c r="AX27" i="82"/>
  <c r="AW27" i="82"/>
  <c r="AU27" i="82"/>
  <c r="AT27" i="82"/>
  <c r="AV27" i="82" s="1"/>
  <c r="AR27" i="82"/>
  <c r="BJ26" i="82"/>
  <c r="BI26" i="82"/>
  <c r="BK26" i="82" s="1"/>
  <c r="BG26" i="82"/>
  <c r="BF26" i="82"/>
  <c r="BE26" i="82"/>
  <c r="BD26" i="82"/>
  <c r="BC26" i="82"/>
  <c r="BB26" i="82"/>
  <c r="BH26" i="82" s="1"/>
  <c r="AY26" i="82"/>
  <c r="AX26" i="82"/>
  <c r="AZ26" i="82" s="1"/>
  <c r="AW26" i="82"/>
  <c r="AU26" i="82"/>
  <c r="AV26" i="82" s="1"/>
  <c r="AT26" i="82"/>
  <c r="AR26" i="82"/>
  <c r="BJ25" i="82"/>
  <c r="BI25" i="82"/>
  <c r="BK25" i="82" s="1"/>
  <c r="BG25" i="82"/>
  <c r="BF25" i="82"/>
  <c r="BE25" i="82"/>
  <c r="BD25" i="82"/>
  <c r="BC25" i="82"/>
  <c r="BB25" i="82"/>
  <c r="BH25" i="82" s="1"/>
  <c r="AZ25" i="82"/>
  <c r="AY25" i="82"/>
  <c r="AX25" i="82"/>
  <c r="AW25" i="82"/>
  <c r="AV25" i="82"/>
  <c r="AU25" i="82"/>
  <c r="AT25" i="82"/>
  <c r="AR25" i="82"/>
  <c r="BJ24" i="82"/>
  <c r="BK24" i="82" s="1"/>
  <c r="BI24" i="82"/>
  <c r="BG24" i="82"/>
  <c r="BF24" i="82"/>
  <c r="BE24" i="82"/>
  <c r="BD24" i="82"/>
  <c r="BC24" i="82"/>
  <c r="BB24" i="82"/>
  <c r="BH24" i="82" s="1"/>
  <c r="AY24" i="82"/>
  <c r="AX24" i="82"/>
  <c r="AZ24" i="82" s="1"/>
  <c r="AW24" i="82"/>
  <c r="AU24" i="82"/>
  <c r="AT24" i="82"/>
  <c r="AV24" i="82" s="1"/>
  <c r="AR24" i="82"/>
  <c r="BK23" i="82"/>
  <c r="BJ23" i="82"/>
  <c r="BI23" i="82"/>
  <c r="BG23" i="82"/>
  <c r="BF23" i="82"/>
  <c r="BE23" i="82"/>
  <c r="BD23" i="82"/>
  <c r="BC23" i="82"/>
  <c r="BB23" i="82"/>
  <c r="BH23" i="82" s="1"/>
  <c r="AY23" i="82"/>
  <c r="AX23" i="82"/>
  <c r="AZ23" i="82" s="1"/>
  <c r="AW23" i="82"/>
  <c r="AU23" i="82"/>
  <c r="AV23" i="82" s="1"/>
  <c r="AT23" i="82"/>
  <c r="AR23" i="82"/>
  <c r="BJ22" i="82"/>
  <c r="BI22" i="82"/>
  <c r="BK22" i="82" s="1"/>
  <c r="BG22" i="82"/>
  <c r="BF22" i="82"/>
  <c r="BE22" i="82"/>
  <c r="BD22" i="82"/>
  <c r="BC22" i="82"/>
  <c r="BB22" i="82"/>
  <c r="BH22" i="82" s="1"/>
  <c r="AY22" i="82"/>
  <c r="AZ22" i="82" s="1"/>
  <c r="AX22" i="82"/>
  <c r="AW22" i="82"/>
  <c r="AU22" i="82"/>
  <c r="AT22" i="82"/>
  <c r="AV22" i="82" s="1"/>
  <c r="AR22" i="82"/>
  <c r="BJ21" i="82"/>
  <c r="BK21" i="82" s="1"/>
  <c r="BI21" i="82"/>
  <c r="BG21" i="82"/>
  <c r="BH21" i="82" s="1"/>
  <c r="BF21" i="82"/>
  <c r="BE21" i="82"/>
  <c r="BD21" i="82"/>
  <c r="BC21" i="82"/>
  <c r="BB21" i="82"/>
  <c r="AZ21" i="82"/>
  <c r="AY21" i="82"/>
  <c r="AX21" i="82"/>
  <c r="AW21" i="82"/>
  <c r="AU21" i="82"/>
  <c r="AT21" i="82"/>
  <c r="AV21" i="82" s="1"/>
  <c r="AR21" i="82"/>
  <c r="BJ20" i="82"/>
  <c r="BI20" i="82"/>
  <c r="BK20" i="82" s="1"/>
  <c r="BG20" i="82"/>
  <c r="BF20" i="82"/>
  <c r="BE20" i="82"/>
  <c r="BD20" i="82"/>
  <c r="BC20" i="82"/>
  <c r="BB20" i="82"/>
  <c r="BH20" i="82" s="1"/>
  <c r="AY20" i="82"/>
  <c r="AX20" i="82"/>
  <c r="AZ20" i="82" s="1"/>
  <c r="AW20" i="82"/>
  <c r="AU20" i="82"/>
  <c r="AV20" i="82" s="1"/>
  <c r="AT20" i="82"/>
  <c r="AR20" i="82"/>
  <c r="BJ19" i="82"/>
  <c r="BI19" i="82"/>
  <c r="BK19" i="82" s="1"/>
  <c r="BG19" i="82"/>
  <c r="BF19" i="82"/>
  <c r="BE19" i="82"/>
  <c r="BD19" i="82"/>
  <c r="BC19" i="82"/>
  <c r="BB19" i="82"/>
  <c r="BH19" i="82" s="1"/>
  <c r="AZ19" i="82"/>
  <c r="AY19" i="82"/>
  <c r="AX19" i="82"/>
  <c r="AW19" i="82"/>
  <c r="AV19" i="82"/>
  <c r="AU19" i="82"/>
  <c r="AT19" i="82"/>
  <c r="AR19" i="82"/>
  <c r="BJ18" i="82"/>
  <c r="BK18" i="82" s="1"/>
  <c r="BI18" i="82"/>
  <c r="BG18" i="82"/>
  <c r="BF18" i="82"/>
  <c r="BE18" i="82"/>
  <c r="BD18" i="82"/>
  <c r="BC18" i="82"/>
  <c r="BB18" i="82"/>
  <c r="BH18" i="82" s="1"/>
  <c r="AY18" i="82"/>
  <c r="AX18" i="82"/>
  <c r="AZ18" i="82" s="1"/>
  <c r="AW18" i="82"/>
  <c r="AU18" i="82"/>
  <c r="AT18" i="82"/>
  <c r="AV18" i="82" s="1"/>
  <c r="AR18" i="82"/>
  <c r="BJ28" i="81"/>
  <c r="BI28" i="81"/>
  <c r="BK28" i="81" s="1"/>
  <c r="BG28" i="81"/>
  <c r="BF28" i="81"/>
  <c r="BE28" i="81"/>
  <c r="BD28" i="81"/>
  <c r="BC28" i="81"/>
  <c r="BB28" i="81"/>
  <c r="BH28" i="81" s="1"/>
  <c r="AY28" i="81"/>
  <c r="AX28" i="81"/>
  <c r="AZ28" i="81" s="1"/>
  <c r="AW28" i="81"/>
  <c r="AU28" i="81"/>
  <c r="AV28" i="81" s="1"/>
  <c r="AT28" i="81"/>
  <c r="AR28" i="81"/>
  <c r="BJ27" i="81"/>
  <c r="BI27" i="81"/>
  <c r="BK27" i="81" s="1"/>
  <c r="BG27" i="81"/>
  <c r="BF27" i="81"/>
  <c r="BE27" i="81"/>
  <c r="BD27" i="81"/>
  <c r="BC27" i="81"/>
  <c r="BB27" i="81"/>
  <c r="BH27" i="81" s="1"/>
  <c r="AY27" i="81"/>
  <c r="AX27" i="81"/>
  <c r="AZ27" i="81" s="1"/>
  <c r="AW27" i="81"/>
  <c r="AV27" i="81"/>
  <c r="AU27" i="81"/>
  <c r="AT27" i="81"/>
  <c r="AR27" i="81"/>
  <c r="BJ26" i="81"/>
  <c r="BK26" i="81" s="1"/>
  <c r="BI26" i="81"/>
  <c r="BG26" i="81"/>
  <c r="BF26" i="81"/>
  <c r="BE26" i="81"/>
  <c r="BD26" i="81"/>
  <c r="BC26" i="81"/>
  <c r="BB26" i="81"/>
  <c r="BH26" i="81" s="1"/>
  <c r="AY26" i="81"/>
  <c r="AX26" i="81"/>
  <c r="AZ26" i="81" s="1"/>
  <c r="AW26" i="81"/>
  <c r="AU26" i="81"/>
  <c r="AT26" i="81"/>
  <c r="AV26" i="81" s="1"/>
  <c r="AR26" i="81"/>
  <c r="BK25" i="81"/>
  <c r="BJ25" i="81"/>
  <c r="BI25" i="81"/>
  <c r="BG25" i="81"/>
  <c r="BF25" i="81"/>
  <c r="BE25" i="81"/>
  <c r="BD25" i="81"/>
  <c r="BC25" i="81"/>
  <c r="BB25" i="81"/>
  <c r="BH25" i="81" s="1"/>
  <c r="AZ25" i="81"/>
  <c r="AY25" i="81"/>
  <c r="AX25" i="81"/>
  <c r="AW25" i="81"/>
  <c r="AU25" i="81"/>
  <c r="AT25" i="81"/>
  <c r="AV25" i="81" s="1"/>
  <c r="AR25" i="81"/>
  <c r="BJ24" i="81"/>
  <c r="BI24" i="81"/>
  <c r="BK24" i="81" s="1"/>
  <c r="BG24" i="81"/>
  <c r="BF24" i="81"/>
  <c r="BE24" i="81"/>
  <c r="BD24" i="81"/>
  <c r="BC24" i="81"/>
  <c r="BB24" i="81"/>
  <c r="BH24" i="81" s="1"/>
  <c r="AY24" i="81"/>
  <c r="AZ24" i="81" s="1"/>
  <c r="AX24" i="81"/>
  <c r="AW24" i="81"/>
  <c r="AU24" i="81"/>
  <c r="AT24" i="81"/>
  <c r="AV24" i="81" s="1"/>
  <c r="AR24" i="81"/>
  <c r="BJ23" i="81"/>
  <c r="BI23" i="81"/>
  <c r="BK23" i="81" s="1"/>
  <c r="BG23" i="81"/>
  <c r="BF23" i="81"/>
  <c r="BE23" i="81"/>
  <c r="BD23" i="81"/>
  <c r="BC23" i="81"/>
  <c r="BB23" i="81"/>
  <c r="BH23" i="81" s="1"/>
  <c r="AZ23" i="81"/>
  <c r="AY23" i="81"/>
  <c r="AX23" i="81"/>
  <c r="AW23" i="81"/>
  <c r="AU23" i="81"/>
  <c r="AT23" i="81"/>
  <c r="AV23" i="81" s="1"/>
  <c r="AR23" i="81"/>
  <c r="BJ22" i="81"/>
  <c r="BI22" i="81"/>
  <c r="BK22" i="81" s="1"/>
  <c r="BG22" i="81"/>
  <c r="BF22" i="81"/>
  <c r="BE22" i="81"/>
  <c r="BD22" i="81"/>
  <c r="BC22" i="81"/>
  <c r="BB22" i="81"/>
  <c r="BH22" i="81" s="1"/>
  <c r="AY22" i="81"/>
  <c r="AX22" i="81"/>
  <c r="AZ22" i="81" s="1"/>
  <c r="AW22" i="81"/>
  <c r="AV22" i="81"/>
  <c r="AU22" i="81"/>
  <c r="AT22" i="81"/>
  <c r="AR22" i="81"/>
  <c r="BJ21" i="81"/>
  <c r="BI21" i="81"/>
  <c r="BK21" i="81" s="1"/>
  <c r="BG21" i="81"/>
  <c r="BF21" i="81"/>
  <c r="BE21" i="81"/>
  <c r="BD21" i="81"/>
  <c r="BC21" i="81"/>
  <c r="BB21" i="81"/>
  <c r="BH21" i="81" s="1"/>
  <c r="AY21" i="81"/>
  <c r="AX21" i="81"/>
  <c r="AZ21" i="81" s="1"/>
  <c r="AW21" i="81"/>
  <c r="AV21" i="81"/>
  <c r="AU21" i="81"/>
  <c r="AT21" i="81"/>
  <c r="AR21" i="81"/>
  <c r="BK20" i="81"/>
  <c r="BJ20" i="81"/>
  <c r="BI20" i="81"/>
  <c r="BG20" i="81"/>
  <c r="BF20" i="81"/>
  <c r="BE20" i="81"/>
  <c r="BD20" i="81"/>
  <c r="BC20" i="81"/>
  <c r="BB20" i="81"/>
  <c r="BH20" i="81" s="1"/>
  <c r="AY20" i="81"/>
  <c r="AX20" i="81"/>
  <c r="AZ20" i="81" s="1"/>
  <c r="AW20" i="81"/>
  <c r="AU20" i="81"/>
  <c r="AT20" i="81"/>
  <c r="AV20" i="81" s="1"/>
  <c r="AR20" i="81"/>
  <c r="BK19" i="81"/>
  <c r="BJ19" i="81"/>
  <c r="BI19" i="81"/>
  <c r="BG19" i="81"/>
  <c r="BF19" i="81"/>
  <c r="BE19" i="81"/>
  <c r="BD19" i="81"/>
  <c r="BC19" i="81"/>
  <c r="BB19" i="81"/>
  <c r="BH19" i="81" s="1"/>
  <c r="AY19" i="81"/>
  <c r="AX19" i="81"/>
  <c r="AZ19" i="81" s="1"/>
  <c r="AW19" i="81"/>
  <c r="AU19" i="81"/>
  <c r="AT19" i="81"/>
  <c r="AV19" i="81" s="1"/>
  <c r="AR19" i="81"/>
  <c r="BJ18" i="81"/>
  <c r="BI18" i="81"/>
  <c r="BK18" i="81" s="1"/>
  <c r="BG18" i="81"/>
  <c r="BF18" i="81"/>
  <c r="BE18" i="81"/>
  <c r="BD18" i="81"/>
  <c r="BC18" i="81"/>
  <c r="BB18" i="81"/>
  <c r="BH18" i="81" s="1"/>
  <c r="AZ18" i="81"/>
  <c r="AY18" i="81"/>
  <c r="AX18" i="81"/>
  <c r="AW18" i="81"/>
  <c r="AU18" i="81"/>
  <c r="AT18" i="81"/>
  <c r="AV18" i="81" s="1"/>
  <c r="AR18" i="81"/>
  <c r="BJ28" i="80"/>
  <c r="BI28" i="80"/>
  <c r="BK28" i="80" s="1"/>
  <c r="BG28" i="80"/>
  <c r="BF28" i="80"/>
  <c r="BE28" i="80"/>
  <c r="BD28" i="80"/>
  <c r="BC28" i="80"/>
  <c r="BB28" i="80"/>
  <c r="BH28" i="80" s="1"/>
  <c r="AY28" i="80"/>
  <c r="AX28" i="80"/>
  <c r="AZ28" i="80" s="1"/>
  <c r="AW28" i="80"/>
  <c r="AU28" i="80"/>
  <c r="AV28" i="80" s="1"/>
  <c r="AT28" i="80"/>
  <c r="AR28" i="80"/>
  <c r="BJ27" i="80"/>
  <c r="BI27" i="80"/>
  <c r="BK27" i="80" s="1"/>
  <c r="BG27" i="80"/>
  <c r="BF27" i="80"/>
  <c r="BE27" i="80"/>
  <c r="BD27" i="80"/>
  <c r="BC27" i="80"/>
  <c r="BB27" i="80"/>
  <c r="BH27" i="80" s="1"/>
  <c r="AY27" i="80"/>
  <c r="AX27" i="80"/>
  <c r="AZ27" i="80" s="1"/>
  <c r="AW27" i="80"/>
  <c r="AV27" i="80"/>
  <c r="AU27" i="80"/>
  <c r="AT27" i="80"/>
  <c r="AR27" i="80"/>
  <c r="BJ26" i="80"/>
  <c r="BK26" i="80" s="1"/>
  <c r="BI26" i="80"/>
  <c r="BG26" i="80"/>
  <c r="BF26" i="80"/>
  <c r="BE26" i="80"/>
  <c r="BD26" i="80"/>
  <c r="BC26" i="80"/>
  <c r="BB26" i="80"/>
  <c r="BH26" i="80" s="1"/>
  <c r="AY26" i="80"/>
  <c r="AX26" i="80"/>
  <c r="AZ26" i="80" s="1"/>
  <c r="AW26" i="80"/>
  <c r="AU26" i="80"/>
  <c r="AT26" i="80"/>
  <c r="AV26" i="80" s="1"/>
  <c r="AR26" i="80"/>
  <c r="BK25" i="80"/>
  <c r="BJ25" i="80"/>
  <c r="BI25" i="80"/>
  <c r="BG25" i="80"/>
  <c r="BF25" i="80"/>
  <c r="BE25" i="80"/>
  <c r="BD25" i="80"/>
  <c r="BC25" i="80"/>
  <c r="BB25" i="80"/>
  <c r="BH25" i="80" s="1"/>
  <c r="AY25" i="80"/>
  <c r="AX25" i="80"/>
  <c r="AZ25" i="80" s="1"/>
  <c r="AW25" i="80"/>
  <c r="AU25" i="80"/>
  <c r="AT25" i="80"/>
  <c r="AV25" i="80" s="1"/>
  <c r="AR25" i="80"/>
  <c r="BJ24" i="80"/>
  <c r="BI24" i="80"/>
  <c r="BK24" i="80" s="1"/>
  <c r="BG24" i="80"/>
  <c r="BF24" i="80"/>
  <c r="BE24" i="80"/>
  <c r="BD24" i="80"/>
  <c r="BC24" i="80"/>
  <c r="BB24" i="80"/>
  <c r="BH24" i="80" s="1"/>
  <c r="AY24" i="80"/>
  <c r="AZ24" i="80" s="1"/>
  <c r="AX24" i="80"/>
  <c r="AW24" i="80"/>
  <c r="AU24" i="80"/>
  <c r="AT24" i="80"/>
  <c r="AV24" i="80" s="1"/>
  <c r="AR24" i="80"/>
  <c r="BJ23" i="80"/>
  <c r="BI23" i="80"/>
  <c r="BK23" i="80" s="1"/>
  <c r="BG23" i="80"/>
  <c r="BF23" i="80"/>
  <c r="BE23" i="80"/>
  <c r="BD23" i="80"/>
  <c r="BC23" i="80"/>
  <c r="BB23" i="80"/>
  <c r="BH23" i="80" s="1"/>
  <c r="AZ23" i="80"/>
  <c r="AY23" i="80"/>
  <c r="AX23" i="80"/>
  <c r="AW23" i="80"/>
  <c r="AU23" i="80"/>
  <c r="AT23" i="80"/>
  <c r="AV23" i="80" s="1"/>
  <c r="AR23" i="80"/>
  <c r="BJ22" i="80"/>
  <c r="BI22" i="80"/>
  <c r="BK22" i="80" s="1"/>
  <c r="BG22" i="80"/>
  <c r="BF22" i="80"/>
  <c r="BE22" i="80"/>
  <c r="BD22" i="80"/>
  <c r="BC22" i="80"/>
  <c r="BB22" i="80"/>
  <c r="BH22" i="80" s="1"/>
  <c r="AY22" i="80"/>
  <c r="AX22" i="80"/>
  <c r="AZ22" i="80" s="1"/>
  <c r="AW22" i="80"/>
  <c r="AU22" i="80"/>
  <c r="AV22" i="80" s="1"/>
  <c r="AT22" i="80"/>
  <c r="AR22" i="80"/>
  <c r="BJ21" i="80"/>
  <c r="BI21" i="80"/>
  <c r="BK21" i="80" s="1"/>
  <c r="BG21" i="80"/>
  <c r="BF21" i="80"/>
  <c r="BE21" i="80"/>
  <c r="BD21" i="80"/>
  <c r="BC21" i="80"/>
  <c r="BB21" i="80"/>
  <c r="BH21" i="80" s="1"/>
  <c r="AY21" i="80"/>
  <c r="AX21" i="80"/>
  <c r="AZ21" i="80" s="1"/>
  <c r="AW21" i="80"/>
  <c r="AV21" i="80"/>
  <c r="AU21" i="80"/>
  <c r="AT21" i="80"/>
  <c r="AR21" i="80"/>
  <c r="BJ20" i="80"/>
  <c r="BK20" i="80" s="1"/>
  <c r="BI20" i="80"/>
  <c r="BG20" i="80"/>
  <c r="BF20" i="80"/>
  <c r="BE20" i="80"/>
  <c r="BD20" i="80"/>
  <c r="BC20" i="80"/>
  <c r="BB20" i="80"/>
  <c r="BH20" i="80" s="1"/>
  <c r="AY20" i="80"/>
  <c r="AX20" i="80"/>
  <c r="AZ20" i="80" s="1"/>
  <c r="AW20" i="80"/>
  <c r="AU20" i="80"/>
  <c r="AT20" i="80"/>
  <c r="AV20" i="80" s="1"/>
  <c r="AR20" i="80"/>
  <c r="BK19" i="80"/>
  <c r="BJ19" i="80"/>
  <c r="BI19" i="80"/>
  <c r="BG19" i="80"/>
  <c r="BF19" i="80"/>
  <c r="BE19" i="80"/>
  <c r="BD19" i="80"/>
  <c r="BC19" i="80"/>
  <c r="BB19" i="80"/>
  <c r="BH19" i="80" s="1"/>
  <c r="AY19" i="80"/>
  <c r="AX19" i="80"/>
  <c r="AZ19" i="80" s="1"/>
  <c r="AW19" i="80"/>
  <c r="AU19" i="80"/>
  <c r="AT19" i="80"/>
  <c r="AV19" i="80" s="1"/>
  <c r="AR19" i="80"/>
  <c r="BJ18" i="80"/>
  <c r="BI18" i="80"/>
  <c r="BK18" i="80" s="1"/>
  <c r="BG18" i="80"/>
  <c r="BF18" i="80"/>
  <c r="BE18" i="80"/>
  <c r="BD18" i="80"/>
  <c r="BC18" i="80"/>
  <c r="BB18" i="80"/>
  <c r="BH18" i="80" s="1"/>
  <c r="AY18" i="80"/>
  <c r="AZ18" i="80" s="1"/>
  <c r="AX18" i="80"/>
  <c r="AW18" i="80"/>
  <c r="AU18" i="80"/>
  <c r="AT18" i="80"/>
  <c r="AV18" i="80" s="1"/>
  <c r="AR18" i="80"/>
  <c r="BJ28" i="79"/>
  <c r="BI28" i="79"/>
  <c r="BK28" i="79" s="1"/>
  <c r="BG28" i="79"/>
  <c r="BF28" i="79"/>
  <c r="BE28" i="79"/>
  <c r="BD28" i="79"/>
  <c r="BC28" i="79"/>
  <c r="BB28" i="79"/>
  <c r="BH28" i="79" s="1"/>
  <c r="AY28" i="79"/>
  <c r="AX28" i="79"/>
  <c r="AZ28" i="79" s="1"/>
  <c r="AW28" i="79"/>
  <c r="AU28" i="79"/>
  <c r="AV28" i="79" s="1"/>
  <c r="AT28" i="79"/>
  <c r="AR28" i="79"/>
  <c r="BJ27" i="79"/>
  <c r="BI27" i="79"/>
  <c r="BK27" i="79" s="1"/>
  <c r="BG27" i="79"/>
  <c r="BF27" i="79"/>
  <c r="BE27" i="79"/>
  <c r="BD27" i="79"/>
  <c r="BC27" i="79"/>
  <c r="BB27" i="79"/>
  <c r="BH27" i="79" s="1"/>
  <c r="AY27" i="79"/>
  <c r="AX27" i="79"/>
  <c r="AZ27" i="79" s="1"/>
  <c r="AW27" i="79"/>
  <c r="AV27" i="79"/>
  <c r="AU27" i="79"/>
  <c r="AT27" i="79"/>
  <c r="AR27" i="79"/>
  <c r="BJ26" i="79"/>
  <c r="BK26" i="79" s="1"/>
  <c r="BI26" i="79"/>
  <c r="BG26" i="79"/>
  <c r="BF26" i="79"/>
  <c r="BE26" i="79"/>
  <c r="BD26" i="79"/>
  <c r="BC26" i="79"/>
  <c r="BB26" i="79"/>
  <c r="BH26" i="79" s="1"/>
  <c r="AY26" i="79"/>
  <c r="AX26" i="79"/>
  <c r="AZ26" i="79" s="1"/>
  <c r="AW26" i="79"/>
  <c r="AU26" i="79"/>
  <c r="AT26" i="79"/>
  <c r="AV26" i="79" s="1"/>
  <c r="AR26" i="79"/>
  <c r="BK25" i="79"/>
  <c r="BJ25" i="79"/>
  <c r="BI25" i="79"/>
  <c r="BG25" i="79"/>
  <c r="BF25" i="79"/>
  <c r="BE25" i="79"/>
  <c r="BD25" i="79"/>
  <c r="BC25" i="79"/>
  <c r="BB25" i="79"/>
  <c r="BH25" i="79" s="1"/>
  <c r="AY25" i="79"/>
  <c r="AX25" i="79"/>
  <c r="AZ25" i="79" s="1"/>
  <c r="AW25" i="79"/>
  <c r="AU25" i="79"/>
  <c r="AT25" i="79"/>
  <c r="AV25" i="79" s="1"/>
  <c r="AR25" i="79"/>
  <c r="BJ24" i="79"/>
  <c r="BI24" i="79"/>
  <c r="BK24" i="79" s="1"/>
  <c r="BG24" i="79"/>
  <c r="BF24" i="79"/>
  <c r="BE24" i="79"/>
  <c r="BD24" i="79"/>
  <c r="BC24" i="79"/>
  <c r="BB24" i="79"/>
  <c r="BH24" i="79" s="1"/>
  <c r="AY24" i="79"/>
  <c r="AZ24" i="79" s="1"/>
  <c r="AX24" i="79"/>
  <c r="AW24" i="79"/>
  <c r="AU24" i="79"/>
  <c r="AT24" i="79"/>
  <c r="AV24" i="79" s="1"/>
  <c r="AR24" i="79"/>
  <c r="BJ23" i="79"/>
  <c r="BI23" i="79"/>
  <c r="BK23" i="79" s="1"/>
  <c r="BG23" i="79"/>
  <c r="BF23" i="79"/>
  <c r="BE23" i="79"/>
  <c r="BD23" i="79"/>
  <c r="BC23" i="79"/>
  <c r="BB23" i="79"/>
  <c r="BH23" i="79" s="1"/>
  <c r="AZ23" i="79"/>
  <c r="AY23" i="79"/>
  <c r="AX23" i="79"/>
  <c r="AW23" i="79"/>
  <c r="AU23" i="79"/>
  <c r="AT23" i="79"/>
  <c r="AV23" i="79" s="1"/>
  <c r="AR23" i="79"/>
  <c r="BJ22" i="79"/>
  <c r="BI22" i="79"/>
  <c r="BK22" i="79" s="1"/>
  <c r="BG22" i="79"/>
  <c r="BF22" i="79"/>
  <c r="BE22" i="79"/>
  <c r="BD22" i="79"/>
  <c r="BC22" i="79"/>
  <c r="BB22" i="79"/>
  <c r="BH22" i="79" s="1"/>
  <c r="AY22" i="79"/>
  <c r="AX22" i="79"/>
  <c r="AZ22" i="79" s="1"/>
  <c r="AW22" i="79"/>
  <c r="AU22" i="79"/>
  <c r="AV22" i="79" s="1"/>
  <c r="AT22" i="79"/>
  <c r="AR22" i="79"/>
  <c r="BJ21" i="79"/>
  <c r="BI21" i="79"/>
  <c r="BK21" i="79" s="1"/>
  <c r="BG21" i="79"/>
  <c r="BF21" i="79"/>
  <c r="BE21" i="79"/>
  <c r="BD21" i="79"/>
  <c r="BC21" i="79"/>
  <c r="BB21" i="79"/>
  <c r="BH21" i="79" s="1"/>
  <c r="AY21" i="79"/>
  <c r="AX21" i="79"/>
  <c r="AZ21" i="79" s="1"/>
  <c r="AW21" i="79"/>
  <c r="AV21" i="79"/>
  <c r="AU21" i="79"/>
  <c r="AT21" i="79"/>
  <c r="AR21" i="79"/>
  <c r="BJ20" i="79"/>
  <c r="BK20" i="79" s="1"/>
  <c r="BI20" i="79"/>
  <c r="BG20" i="79"/>
  <c r="BF20" i="79"/>
  <c r="BE20" i="79"/>
  <c r="BD20" i="79"/>
  <c r="BC20" i="79"/>
  <c r="BB20" i="79"/>
  <c r="BH20" i="79" s="1"/>
  <c r="AY20" i="79"/>
  <c r="AX20" i="79"/>
  <c r="AZ20" i="79" s="1"/>
  <c r="AW20" i="79"/>
  <c r="AU20" i="79"/>
  <c r="AT20" i="79"/>
  <c r="AV20" i="79" s="1"/>
  <c r="AR20" i="79"/>
  <c r="BK19" i="79"/>
  <c r="BJ19" i="79"/>
  <c r="BI19" i="79"/>
  <c r="BG19" i="79"/>
  <c r="BF19" i="79"/>
  <c r="BE19" i="79"/>
  <c r="BD19" i="79"/>
  <c r="BC19" i="79"/>
  <c r="BB19" i="79"/>
  <c r="BH19" i="79" s="1"/>
  <c r="AY19" i="79"/>
  <c r="AX19" i="79"/>
  <c r="AZ19" i="79" s="1"/>
  <c r="AW19" i="79"/>
  <c r="AU19" i="79"/>
  <c r="AT19" i="79"/>
  <c r="AV19" i="79" s="1"/>
  <c r="AR19" i="79"/>
  <c r="BJ18" i="79"/>
  <c r="BI18" i="79"/>
  <c r="BK18" i="79" s="1"/>
  <c r="BG18" i="79"/>
  <c r="BF18" i="79"/>
  <c r="BE18" i="79"/>
  <c r="BD18" i="79"/>
  <c r="BC18" i="79"/>
  <c r="BB18" i="79"/>
  <c r="BH18" i="79" s="1"/>
  <c r="AY18" i="79"/>
  <c r="AZ18" i="79" s="1"/>
  <c r="AX18" i="79"/>
  <c r="AW18" i="79"/>
  <c r="AU18" i="79"/>
  <c r="AT18" i="79"/>
  <c r="AV18" i="79" s="1"/>
  <c r="AR18" i="79"/>
  <c r="BJ28" i="78"/>
  <c r="BI28" i="78"/>
  <c r="BK28" i="78" s="1"/>
  <c r="BG28" i="78"/>
  <c r="BF28" i="78"/>
  <c r="BE28" i="78"/>
  <c r="BD28" i="78"/>
  <c r="BC28" i="78"/>
  <c r="BB28" i="78"/>
  <c r="BH28" i="78" s="1"/>
  <c r="AZ28" i="78"/>
  <c r="AY28" i="78"/>
  <c r="AX28" i="78"/>
  <c r="AW28" i="78"/>
  <c r="AU28" i="78"/>
  <c r="AT28" i="78"/>
  <c r="AV28" i="78" s="1"/>
  <c r="AR28" i="78"/>
  <c r="BJ27" i="78"/>
  <c r="BI27" i="78"/>
  <c r="BK27" i="78" s="1"/>
  <c r="BG27" i="78"/>
  <c r="BF27" i="78"/>
  <c r="BE27" i="78"/>
  <c r="BD27" i="78"/>
  <c r="BC27" i="78"/>
  <c r="BB27" i="78"/>
  <c r="BH27" i="78" s="1"/>
  <c r="AY27" i="78"/>
  <c r="AX27" i="78"/>
  <c r="AZ27" i="78" s="1"/>
  <c r="AW27" i="78"/>
  <c r="AV27" i="78"/>
  <c r="AU27" i="78"/>
  <c r="AT27" i="78"/>
  <c r="AR27" i="78"/>
  <c r="BJ26" i="78"/>
  <c r="BI26" i="78"/>
  <c r="BK26" i="78" s="1"/>
  <c r="BG26" i="78"/>
  <c r="BF26" i="78"/>
  <c r="BE26" i="78"/>
  <c r="BD26" i="78"/>
  <c r="BC26" i="78"/>
  <c r="BB26" i="78"/>
  <c r="BH26" i="78" s="1"/>
  <c r="AY26" i="78"/>
  <c r="AX26" i="78"/>
  <c r="AZ26" i="78" s="1"/>
  <c r="AW26" i="78"/>
  <c r="AV26" i="78"/>
  <c r="AU26" i="78"/>
  <c r="AT26" i="78"/>
  <c r="AR26" i="78"/>
  <c r="BK25" i="78"/>
  <c r="BJ25" i="78"/>
  <c r="BI25" i="78"/>
  <c r="BG25" i="78"/>
  <c r="BF25" i="78"/>
  <c r="BE25" i="78"/>
  <c r="BD25" i="78"/>
  <c r="BC25" i="78"/>
  <c r="BB25" i="78"/>
  <c r="BH25" i="78" s="1"/>
  <c r="AY25" i="78"/>
  <c r="AX25" i="78"/>
  <c r="AZ25" i="78" s="1"/>
  <c r="AW25" i="78"/>
  <c r="AU25" i="78"/>
  <c r="AT25" i="78"/>
  <c r="AV25" i="78" s="1"/>
  <c r="AR25" i="78"/>
  <c r="BK24" i="78"/>
  <c r="BJ24" i="78"/>
  <c r="BI24" i="78"/>
  <c r="BG24" i="78"/>
  <c r="BF24" i="78"/>
  <c r="BE24" i="78"/>
  <c r="BD24" i="78"/>
  <c r="BC24" i="78"/>
  <c r="BB24" i="78"/>
  <c r="BH24" i="78" s="1"/>
  <c r="AY24" i="78"/>
  <c r="AX24" i="78"/>
  <c r="AZ24" i="78" s="1"/>
  <c r="AW24" i="78"/>
  <c r="AU24" i="78"/>
  <c r="AT24" i="78"/>
  <c r="AV24" i="78" s="1"/>
  <c r="AR24" i="78"/>
  <c r="BJ23" i="78"/>
  <c r="BI23" i="78"/>
  <c r="BK23" i="78" s="1"/>
  <c r="BG23" i="78"/>
  <c r="BF23" i="78"/>
  <c r="BE23" i="78"/>
  <c r="BD23" i="78"/>
  <c r="BC23" i="78"/>
  <c r="BB23" i="78"/>
  <c r="BH23" i="78" s="1"/>
  <c r="AY23" i="78"/>
  <c r="AZ23" i="78" s="1"/>
  <c r="AX23" i="78"/>
  <c r="AW23" i="78"/>
  <c r="AU23" i="78"/>
  <c r="AT23" i="78"/>
  <c r="AV23" i="78" s="1"/>
  <c r="AR23" i="78"/>
  <c r="BJ22" i="78"/>
  <c r="BI22" i="78"/>
  <c r="BK22" i="78" s="1"/>
  <c r="BG22" i="78"/>
  <c r="BF22" i="78"/>
  <c r="BE22" i="78"/>
  <c r="BD22" i="78"/>
  <c r="BC22" i="78"/>
  <c r="BB22" i="78"/>
  <c r="BH22" i="78" s="1"/>
  <c r="AZ22" i="78"/>
  <c r="AY22" i="78"/>
  <c r="AX22" i="78"/>
  <c r="AW22" i="78"/>
  <c r="AU22" i="78"/>
  <c r="AT22" i="78"/>
  <c r="AV22" i="78" s="1"/>
  <c r="AR22" i="78"/>
  <c r="BJ21" i="78"/>
  <c r="BI21" i="78"/>
  <c r="BK21" i="78" s="1"/>
  <c r="BG21" i="78"/>
  <c r="BF21" i="78"/>
  <c r="BE21" i="78"/>
  <c r="BD21" i="78"/>
  <c r="BC21" i="78"/>
  <c r="BB21" i="78"/>
  <c r="BH21" i="78" s="1"/>
  <c r="AY21" i="78"/>
  <c r="AX21" i="78"/>
  <c r="AZ21" i="78" s="1"/>
  <c r="AW21" i="78"/>
  <c r="AU21" i="78"/>
  <c r="AV21" i="78" s="1"/>
  <c r="AT21" i="78"/>
  <c r="AR21" i="78"/>
  <c r="BJ20" i="78"/>
  <c r="BI20" i="78"/>
  <c r="BK20" i="78" s="1"/>
  <c r="BG20" i="78"/>
  <c r="BF20" i="78"/>
  <c r="BE20" i="78"/>
  <c r="BD20" i="78"/>
  <c r="BC20" i="78"/>
  <c r="BB20" i="78"/>
  <c r="BH20" i="78" s="1"/>
  <c r="AY20" i="78"/>
  <c r="AX20" i="78"/>
  <c r="AZ20" i="78" s="1"/>
  <c r="AW20" i="78"/>
  <c r="AV20" i="78"/>
  <c r="AU20" i="78"/>
  <c r="AT20" i="78"/>
  <c r="AR20" i="78"/>
  <c r="BJ19" i="78"/>
  <c r="BK19" i="78" s="1"/>
  <c r="BI19" i="78"/>
  <c r="BG19" i="78"/>
  <c r="BF19" i="78"/>
  <c r="BE19" i="78"/>
  <c r="BD19" i="78"/>
  <c r="BC19" i="78"/>
  <c r="BB19" i="78"/>
  <c r="BH19" i="78" s="1"/>
  <c r="AY19" i="78"/>
  <c r="AX19" i="78"/>
  <c r="AZ19" i="78" s="1"/>
  <c r="AW19" i="78"/>
  <c r="AU19" i="78"/>
  <c r="AT19" i="78"/>
  <c r="AV19" i="78" s="1"/>
  <c r="AR19" i="78"/>
  <c r="BK18" i="78"/>
  <c r="BJ18" i="78"/>
  <c r="BI18" i="78"/>
  <c r="BG18" i="78"/>
  <c r="BF18" i="78"/>
  <c r="BE18" i="78"/>
  <c r="BD18" i="78"/>
  <c r="BC18" i="78"/>
  <c r="BB18" i="78"/>
  <c r="BH18" i="78" s="1"/>
  <c r="AY18" i="78"/>
  <c r="AX18" i="78"/>
  <c r="AZ18" i="78" s="1"/>
  <c r="AW18" i="78"/>
  <c r="AU18" i="78"/>
  <c r="AT18" i="78"/>
  <c r="AV18" i="78" s="1"/>
  <c r="AR18" i="78"/>
  <c r="BK28" i="77"/>
  <c r="BJ28" i="77"/>
  <c r="BI28" i="77"/>
  <c r="BG28" i="77"/>
  <c r="BF28" i="77"/>
  <c r="BE28" i="77"/>
  <c r="BD28" i="77"/>
  <c r="BC28" i="77"/>
  <c r="BB28" i="77"/>
  <c r="BH28" i="77" s="1"/>
  <c r="AY28" i="77"/>
  <c r="AX28" i="77"/>
  <c r="AZ28" i="77" s="1"/>
  <c r="AW28" i="77"/>
  <c r="AU28" i="77"/>
  <c r="AV28" i="77" s="1"/>
  <c r="AT28" i="77"/>
  <c r="AR28" i="77"/>
  <c r="BJ27" i="77"/>
  <c r="BI27" i="77"/>
  <c r="BK27" i="77" s="1"/>
  <c r="BG27" i="77"/>
  <c r="BF27" i="77"/>
  <c r="BE27" i="77"/>
  <c r="BD27" i="77"/>
  <c r="BC27" i="77"/>
  <c r="BB27" i="77"/>
  <c r="BH27" i="77" s="1"/>
  <c r="AY27" i="77"/>
  <c r="AX27" i="77"/>
  <c r="AZ27" i="77" s="1"/>
  <c r="AW27" i="77"/>
  <c r="AV27" i="77"/>
  <c r="AU27" i="77"/>
  <c r="AT27" i="77"/>
  <c r="AR27" i="77"/>
  <c r="BJ26" i="77"/>
  <c r="BK26" i="77" s="1"/>
  <c r="BI26" i="77"/>
  <c r="BG26" i="77"/>
  <c r="BF26" i="77"/>
  <c r="BE26" i="77"/>
  <c r="BD26" i="77"/>
  <c r="BC26" i="77"/>
  <c r="BB26" i="77"/>
  <c r="BH26" i="77" s="1"/>
  <c r="AY26" i="77"/>
  <c r="AX26" i="77"/>
  <c r="AZ26" i="77" s="1"/>
  <c r="AW26" i="77"/>
  <c r="AU26" i="77"/>
  <c r="AT26" i="77"/>
  <c r="AV26" i="77" s="1"/>
  <c r="AR26" i="77"/>
  <c r="BK25" i="77"/>
  <c r="BJ25" i="77"/>
  <c r="BI25" i="77"/>
  <c r="BG25" i="77"/>
  <c r="BF25" i="77"/>
  <c r="BE25" i="77"/>
  <c r="BD25" i="77"/>
  <c r="BC25" i="77"/>
  <c r="BB25" i="77"/>
  <c r="BH25" i="77" s="1"/>
  <c r="AY25" i="77"/>
  <c r="AX25" i="77"/>
  <c r="AZ25" i="77" s="1"/>
  <c r="AW25" i="77"/>
  <c r="AU25" i="77"/>
  <c r="AT25" i="77"/>
  <c r="AV25" i="77" s="1"/>
  <c r="AR25" i="77"/>
  <c r="BJ24" i="77"/>
  <c r="BI24" i="77"/>
  <c r="BK24" i="77" s="1"/>
  <c r="BG24" i="77"/>
  <c r="BF24" i="77"/>
  <c r="BE24" i="77"/>
  <c r="BD24" i="77"/>
  <c r="BC24" i="77"/>
  <c r="BB24" i="77"/>
  <c r="BH24" i="77" s="1"/>
  <c r="AY24" i="77"/>
  <c r="AZ24" i="77" s="1"/>
  <c r="AX24" i="77"/>
  <c r="AW24" i="77"/>
  <c r="AU24" i="77"/>
  <c r="AT24" i="77"/>
  <c r="AV24" i="77" s="1"/>
  <c r="AR24" i="77"/>
  <c r="BJ23" i="77"/>
  <c r="BI23" i="77"/>
  <c r="BK23" i="77" s="1"/>
  <c r="BG23" i="77"/>
  <c r="BF23" i="77"/>
  <c r="BE23" i="77"/>
  <c r="BD23" i="77"/>
  <c r="BC23" i="77"/>
  <c r="BB23" i="77"/>
  <c r="BH23" i="77" s="1"/>
  <c r="AZ23" i="77"/>
  <c r="AY23" i="77"/>
  <c r="AX23" i="77"/>
  <c r="AW23" i="77"/>
  <c r="AU23" i="77"/>
  <c r="AV23" i="77" s="1"/>
  <c r="AT23" i="77"/>
  <c r="AR23" i="77"/>
  <c r="BJ22" i="77"/>
  <c r="BI22" i="77"/>
  <c r="BK22" i="77" s="1"/>
  <c r="BG22" i="77"/>
  <c r="BF22" i="77"/>
  <c r="BE22" i="77"/>
  <c r="BD22" i="77"/>
  <c r="BC22" i="77"/>
  <c r="BB22" i="77"/>
  <c r="BH22" i="77" s="1"/>
  <c r="AY22" i="77"/>
  <c r="AX22" i="77"/>
  <c r="AZ22" i="77" s="1"/>
  <c r="AW22" i="77"/>
  <c r="AV22" i="77"/>
  <c r="AU22" i="77"/>
  <c r="AT22" i="77"/>
  <c r="AR22" i="77"/>
  <c r="BJ21" i="77"/>
  <c r="BI21" i="77"/>
  <c r="BK21" i="77" s="1"/>
  <c r="BG21" i="77"/>
  <c r="BF21" i="77"/>
  <c r="BE21" i="77"/>
  <c r="BD21" i="77"/>
  <c r="BC21" i="77"/>
  <c r="BB21" i="77"/>
  <c r="BH21" i="77" s="1"/>
  <c r="AY21" i="77"/>
  <c r="AX21" i="77"/>
  <c r="AZ21" i="77" s="1"/>
  <c r="AW21" i="77"/>
  <c r="AV21" i="77"/>
  <c r="AU21" i="77"/>
  <c r="AT21" i="77"/>
  <c r="AR21" i="77"/>
  <c r="BK20" i="77"/>
  <c r="BJ20" i="77"/>
  <c r="BI20" i="77"/>
  <c r="BG20" i="77"/>
  <c r="BF20" i="77"/>
  <c r="BE20" i="77"/>
  <c r="BD20" i="77"/>
  <c r="BC20" i="77"/>
  <c r="BB20" i="77"/>
  <c r="BH20" i="77" s="1"/>
  <c r="AY20" i="77"/>
  <c r="AX20" i="77"/>
  <c r="AZ20" i="77" s="1"/>
  <c r="AW20" i="77"/>
  <c r="AU20" i="77"/>
  <c r="AT20" i="77"/>
  <c r="AV20" i="77" s="1"/>
  <c r="AR20" i="77"/>
  <c r="BK19" i="77"/>
  <c r="BJ19" i="77"/>
  <c r="BI19" i="77"/>
  <c r="BG19" i="77"/>
  <c r="BF19" i="77"/>
  <c r="BE19" i="77"/>
  <c r="BD19" i="77"/>
  <c r="BC19" i="77"/>
  <c r="BB19" i="77"/>
  <c r="BH19" i="77" s="1"/>
  <c r="AY19" i="77"/>
  <c r="AX19" i="77"/>
  <c r="AZ19" i="77" s="1"/>
  <c r="AW19" i="77"/>
  <c r="AU19" i="77"/>
  <c r="AT19" i="77"/>
  <c r="AV19" i="77" s="1"/>
  <c r="AR19" i="77"/>
  <c r="BJ18" i="77"/>
  <c r="BI18" i="77"/>
  <c r="BK18" i="77" s="1"/>
  <c r="BG18" i="77"/>
  <c r="BF18" i="77"/>
  <c r="BE18" i="77"/>
  <c r="BD18" i="77"/>
  <c r="BC18" i="77"/>
  <c r="BB18" i="77"/>
  <c r="BH18" i="77" s="1"/>
  <c r="AZ18" i="77"/>
  <c r="AY18" i="77"/>
  <c r="AX18" i="77"/>
  <c r="AW18" i="77"/>
  <c r="AU18" i="77"/>
  <c r="AT18" i="77"/>
  <c r="AV18" i="77" s="1"/>
  <c r="AR18" i="77"/>
  <c r="J56" i="89" l="1"/>
  <c r="J52" i="89"/>
  <c r="M61" i="88"/>
  <c r="K61" i="88"/>
  <c r="L178" i="88"/>
  <c r="M178" i="88"/>
  <c r="AQ178" i="88" s="1"/>
  <c r="V178" i="88"/>
  <c r="Q178" i="88"/>
  <c r="AU178" i="88" s="1"/>
  <c r="Q66" i="88"/>
  <c r="AU66" i="88" s="1"/>
  <c r="L66" i="88"/>
  <c r="V66" i="88"/>
  <c r="M66" i="88"/>
  <c r="AQ66" i="88" s="1"/>
  <c r="V87" i="88"/>
  <c r="Q87" i="88"/>
  <c r="AU87" i="88" s="1"/>
  <c r="M87" i="88"/>
  <c r="AQ87" i="88" s="1"/>
  <c r="L87" i="88"/>
  <c r="V42" i="88"/>
  <c r="Q42" i="88"/>
  <c r="AU42" i="88" s="1"/>
  <c r="L42" i="88"/>
  <c r="M42" i="88"/>
  <c r="AQ42" i="88" s="1"/>
  <c r="Q131" i="88"/>
  <c r="AU131" i="88" s="1"/>
  <c r="M131" i="88"/>
  <c r="AQ131" i="88" s="1"/>
  <c r="V131" i="88"/>
  <c r="L131" i="88"/>
  <c r="AP180" i="88"/>
  <c r="AR180" i="88" s="1"/>
  <c r="N180" i="88"/>
  <c r="Q140" i="88"/>
  <c r="AU140" i="88" s="1"/>
  <c r="M140" i="88"/>
  <c r="AQ140" i="88" s="1"/>
  <c r="L140" i="88"/>
  <c r="V140" i="88"/>
  <c r="V159" i="88"/>
  <c r="L159" i="88"/>
  <c r="M159" i="88"/>
  <c r="AQ159" i="88" s="1"/>
  <c r="Q159" i="88"/>
  <c r="AU159" i="88" s="1"/>
  <c r="L109" i="88"/>
  <c r="M109" i="88"/>
  <c r="AQ109" i="88" s="1"/>
  <c r="V109" i="88"/>
  <c r="Q109" i="88"/>
  <c r="AU109" i="88" s="1"/>
  <c r="L144" i="88"/>
  <c r="M144" i="88"/>
  <c r="AQ144" i="88" s="1"/>
  <c r="V144" i="88"/>
  <c r="Q144" i="88"/>
  <c r="AU144" i="88" s="1"/>
  <c r="V114" i="88"/>
  <c r="Q114" i="88"/>
  <c r="AU114" i="88" s="1"/>
  <c r="M114" i="88"/>
  <c r="AQ114" i="88" s="1"/>
  <c r="L114" i="88"/>
  <c r="V176" i="88"/>
  <c r="L176" i="88"/>
  <c r="M176" i="88"/>
  <c r="AQ176" i="88" s="1"/>
  <c r="Q176" i="88"/>
  <c r="AU176" i="88" s="1"/>
  <c r="V157" i="88"/>
  <c r="Q157" i="88"/>
  <c r="AU157" i="88" s="1"/>
  <c r="M157" i="88"/>
  <c r="AQ157" i="88" s="1"/>
  <c r="L157" i="88"/>
  <c r="M152" i="88"/>
  <c r="AQ152" i="88" s="1"/>
  <c r="V152" i="88"/>
  <c r="Q152" i="88"/>
  <c r="AU152" i="88" s="1"/>
  <c r="L152" i="88"/>
  <c r="V139" i="88"/>
  <c r="L139" i="88"/>
  <c r="M139" i="88"/>
  <c r="AQ139" i="88" s="1"/>
  <c r="Q139" i="88"/>
  <c r="AU139" i="88" s="1"/>
  <c r="M81" i="88"/>
  <c r="AQ81" i="88" s="1"/>
  <c r="V81" i="88"/>
  <c r="Q81" i="88"/>
  <c r="AU81" i="88" s="1"/>
  <c r="L81" i="88"/>
  <c r="V56" i="88"/>
  <c r="L56" i="88"/>
  <c r="M56" i="88"/>
  <c r="AQ56" i="88" s="1"/>
  <c r="Q56" i="88"/>
  <c r="AU56" i="88" s="1"/>
  <c r="M29" i="88"/>
  <c r="AQ29" i="88" s="1"/>
  <c r="V29" i="88"/>
  <c r="L29" i="88"/>
  <c r="Q29" i="88"/>
  <c r="AU29" i="88" s="1"/>
  <c r="M26" i="88"/>
  <c r="AQ26" i="88" s="1"/>
  <c r="V26" i="88"/>
  <c r="L26" i="88"/>
  <c r="Q26" i="88"/>
  <c r="AU26" i="88" s="1"/>
  <c r="L21" i="88"/>
  <c r="M21" i="88"/>
  <c r="AQ21" i="88" s="1"/>
  <c r="Q21" i="88"/>
  <c r="AU21" i="88" s="1"/>
  <c r="V21" i="88"/>
  <c r="Q170" i="88"/>
  <c r="AU170" i="88" s="1"/>
  <c r="M170" i="88"/>
  <c r="AQ170" i="88" s="1"/>
  <c r="V170" i="88"/>
  <c r="L170" i="88"/>
  <c r="V39" i="88"/>
  <c r="Q39" i="88"/>
  <c r="AU39" i="88" s="1"/>
  <c r="L39" i="88"/>
  <c r="M39" i="88"/>
  <c r="AQ39" i="88" s="1"/>
  <c r="Q20" i="88"/>
  <c r="AU20" i="88" s="1"/>
  <c r="L20" i="88"/>
  <c r="V20" i="88"/>
  <c r="M20" i="88"/>
  <c r="AQ20" i="88" s="1"/>
  <c r="L91" i="88"/>
  <c r="M91" i="88"/>
  <c r="AQ91" i="88" s="1"/>
  <c r="V91" i="88"/>
  <c r="Q91" i="88"/>
  <c r="AU91" i="88" s="1"/>
  <c r="Q73" i="88"/>
  <c r="AU73" i="88" s="1"/>
  <c r="L73" i="88"/>
  <c r="M73" i="88"/>
  <c r="AQ73" i="88" s="1"/>
  <c r="V73" i="88"/>
  <c r="Q86" i="88"/>
  <c r="AU86" i="88" s="1"/>
  <c r="L86" i="88"/>
  <c r="M86" i="88"/>
  <c r="AQ86" i="88" s="1"/>
  <c r="V86" i="88"/>
  <c r="Q80" i="88"/>
  <c r="AU80" i="88" s="1"/>
  <c r="L80" i="88"/>
  <c r="M80" i="88"/>
  <c r="AQ80" i="88" s="1"/>
  <c r="V80" i="88"/>
  <c r="Q162" i="88"/>
  <c r="AU162" i="88" s="1"/>
  <c r="M162" i="88"/>
  <c r="AQ162" i="88" s="1"/>
  <c r="V162" i="88"/>
  <c r="L162" i="88"/>
  <c r="Q150" i="88"/>
  <c r="AU150" i="88" s="1"/>
  <c r="L150" i="88"/>
  <c r="V150" i="88"/>
  <c r="M150" i="88"/>
  <c r="AQ150" i="88" s="1"/>
  <c r="V104" i="88"/>
  <c r="Q104" i="88"/>
  <c r="AU104" i="88" s="1"/>
  <c r="L104" i="88"/>
  <c r="M104" i="88"/>
  <c r="AQ104" i="88" s="1"/>
  <c r="Q133" i="88"/>
  <c r="AU133" i="88" s="1"/>
  <c r="L133" i="88"/>
  <c r="V133" i="88"/>
  <c r="M133" i="88"/>
  <c r="AQ133" i="88" s="1"/>
  <c r="Q106" i="88"/>
  <c r="AU106" i="88" s="1"/>
  <c r="L106" i="88"/>
  <c r="V106" i="88"/>
  <c r="M106" i="88"/>
  <c r="AQ106" i="88" s="1"/>
  <c r="V155" i="88"/>
  <c r="Q155" i="88"/>
  <c r="AU155" i="88" s="1"/>
  <c r="L155" i="88"/>
  <c r="M155" i="88"/>
  <c r="AQ155" i="88" s="1"/>
  <c r="V94" i="88"/>
  <c r="Q94" i="88"/>
  <c r="AU94" i="88" s="1"/>
  <c r="L94" i="88"/>
  <c r="M94" i="88"/>
  <c r="AQ94" i="88" s="1"/>
  <c r="Q32" i="88"/>
  <c r="AU32" i="88" s="1"/>
  <c r="M32" i="88"/>
  <c r="AQ32" i="88" s="1"/>
  <c r="L32" i="88"/>
  <c r="V32" i="88"/>
  <c r="V136" i="88"/>
  <c r="Q136" i="88"/>
  <c r="AU136" i="88" s="1"/>
  <c r="L136" i="88"/>
  <c r="M136" i="88"/>
  <c r="AQ136" i="88" s="1"/>
  <c r="Q83" i="88"/>
  <c r="AU83" i="88" s="1"/>
  <c r="L83" i="88"/>
  <c r="M83" i="88"/>
  <c r="AQ83" i="88" s="1"/>
  <c r="V83" i="88"/>
  <c r="V45" i="88"/>
  <c r="Q45" i="88"/>
  <c r="AU45" i="88" s="1"/>
  <c r="L45" i="88"/>
  <c r="M45" i="88"/>
  <c r="AQ45" i="88" s="1"/>
  <c r="Q126" i="88"/>
  <c r="AU126" i="88" s="1"/>
  <c r="L126" i="88"/>
  <c r="V126" i="88"/>
  <c r="M126" i="88"/>
  <c r="AQ126" i="88" s="1"/>
  <c r="L113" i="88"/>
  <c r="M113" i="88"/>
  <c r="AQ113" i="88" s="1"/>
  <c r="V113" i="88"/>
  <c r="Q113" i="88"/>
  <c r="AU113" i="88" s="1"/>
  <c r="M172" i="88"/>
  <c r="AQ172" i="88" s="1"/>
  <c r="L172" i="88"/>
  <c r="Q172" i="88"/>
  <c r="AU172" i="88" s="1"/>
  <c r="V172" i="88"/>
  <c r="V129" i="88"/>
  <c r="Q129" i="88"/>
  <c r="AU129" i="88" s="1"/>
  <c r="L129" i="88"/>
  <c r="M129" i="88"/>
  <c r="AQ129" i="88" s="1"/>
  <c r="Q125" i="88"/>
  <c r="AU125" i="88" s="1"/>
  <c r="M125" i="88"/>
  <c r="AQ125" i="88" s="1"/>
  <c r="L125" i="88"/>
  <c r="V125" i="88"/>
  <c r="M174" i="88"/>
  <c r="AQ174" i="88" s="1"/>
  <c r="V174" i="88"/>
  <c r="L174" i="88"/>
  <c r="Q174" i="88"/>
  <c r="AU174" i="88" s="1"/>
  <c r="L78" i="88"/>
  <c r="M78" i="88"/>
  <c r="AQ78" i="88" s="1"/>
  <c r="V78" i="88"/>
  <c r="Q78" i="88"/>
  <c r="AU78" i="88" s="1"/>
  <c r="V49" i="88"/>
  <c r="L49" i="88"/>
  <c r="Q49" i="88"/>
  <c r="AU49" i="88" s="1"/>
  <c r="M49" i="88"/>
  <c r="AQ49" i="88" s="1"/>
  <c r="V171" i="88"/>
  <c r="Q171" i="88"/>
  <c r="AU171" i="88" s="1"/>
  <c r="L171" i="88"/>
  <c r="M171" i="88"/>
  <c r="AQ171" i="88" s="1"/>
  <c r="V92" i="88"/>
  <c r="M92" i="88"/>
  <c r="AQ92" i="88" s="1"/>
  <c r="Q92" i="88"/>
  <c r="AU92" i="88" s="1"/>
  <c r="L92" i="88"/>
  <c r="V146" i="88"/>
  <c r="L146" i="88"/>
  <c r="M146" i="88"/>
  <c r="AQ146" i="88" s="1"/>
  <c r="Q146" i="88"/>
  <c r="AU146" i="88" s="1"/>
  <c r="V68" i="88"/>
  <c r="L68" i="88"/>
  <c r="M68" i="88"/>
  <c r="AQ68" i="88" s="1"/>
  <c r="Q68" i="88"/>
  <c r="AU68" i="88" s="1"/>
  <c r="V40" i="88"/>
  <c r="Q40" i="88"/>
  <c r="AU40" i="88" s="1"/>
  <c r="L40" i="88"/>
  <c r="M40" i="88"/>
  <c r="AQ40" i="88" s="1"/>
  <c r="V145" i="88"/>
  <c r="L145" i="88"/>
  <c r="M145" i="88"/>
  <c r="AQ145" i="88" s="1"/>
  <c r="Q145" i="88"/>
  <c r="AU145" i="88" s="1"/>
  <c r="M119" i="88"/>
  <c r="AQ119" i="88" s="1"/>
  <c r="Q119" i="88"/>
  <c r="AU119" i="88" s="1"/>
  <c r="L119" i="88"/>
  <c r="V119" i="88"/>
  <c r="V85" i="88"/>
  <c r="Q85" i="88"/>
  <c r="AU85" i="88" s="1"/>
  <c r="L85" i="88"/>
  <c r="M85" i="88"/>
  <c r="AQ85" i="88" s="1"/>
  <c r="V60" i="88"/>
  <c r="Q60" i="88"/>
  <c r="AU60" i="88" s="1"/>
  <c r="M60" i="88"/>
  <c r="AQ60" i="88" s="1"/>
  <c r="L60" i="88"/>
  <c r="Q24" i="88"/>
  <c r="AU24" i="88" s="1"/>
  <c r="V24" i="88"/>
  <c r="L24" i="88"/>
  <c r="M24" i="88"/>
  <c r="AQ24" i="88" s="1"/>
  <c r="L15" i="88"/>
  <c r="V15" i="88"/>
  <c r="M15" i="88"/>
  <c r="AQ15" i="88" s="1"/>
  <c r="Q15" i="88"/>
  <c r="AU15" i="88" s="1"/>
  <c r="Q111" i="88"/>
  <c r="AU111" i="88" s="1"/>
  <c r="M111" i="88"/>
  <c r="AQ111" i="88" s="1"/>
  <c r="L111" i="88"/>
  <c r="V111" i="88"/>
  <c r="BE12" i="89"/>
  <c r="BE89" i="89" s="1"/>
  <c r="AF91" i="89"/>
  <c r="AF89" i="89"/>
  <c r="L82" i="88"/>
  <c r="M82" i="88"/>
  <c r="AQ82" i="88" s="1"/>
  <c r="V82" i="88"/>
  <c r="Q82" i="88"/>
  <c r="AU82" i="88" s="1"/>
  <c r="Q93" i="88"/>
  <c r="AU93" i="88" s="1"/>
  <c r="L93" i="88"/>
  <c r="M93" i="88"/>
  <c r="AQ93" i="88" s="1"/>
  <c r="V93" i="88"/>
  <c r="L22" i="88"/>
  <c r="M22" i="88"/>
  <c r="AQ22" i="88" s="1"/>
  <c r="V22" i="88"/>
  <c r="Q22" i="88"/>
  <c r="AU22" i="88" s="1"/>
  <c r="Q160" i="88"/>
  <c r="AU160" i="88" s="1"/>
  <c r="L160" i="88"/>
  <c r="V160" i="88"/>
  <c r="M160" i="88"/>
  <c r="AQ160" i="88" s="1"/>
  <c r="Q52" i="88"/>
  <c r="AU52" i="88" s="1"/>
  <c r="L52" i="88"/>
  <c r="M52" i="88"/>
  <c r="AQ52" i="88" s="1"/>
  <c r="V52" i="88"/>
  <c r="V61" i="88"/>
  <c r="Q61" i="88"/>
  <c r="AU61" i="88" s="1"/>
  <c r="AQ61" i="88"/>
  <c r="L61" i="88"/>
  <c r="Q31" i="88"/>
  <c r="AU31" i="88" s="1"/>
  <c r="L31" i="88"/>
  <c r="M31" i="88"/>
  <c r="AQ31" i="88" s="1"/>
  <c r="V31" i="88"/>
  <c r="V23" i="88"/>
  <c r="Q23" i="88"/>
  <c r="AU23" i="88" s="1"/>
  <c r="L23" i="88"/>
  <c r="M23" i="88"/>
  <c r="AQ23" i="88" s="1"/>
  <c r="Q175" i="88"/>
  <c r="AU175" i="88" s="1"/>
  <c r="M175" i="88"/>
  <c r="AQ175" i="88" s="1"/>
  <c r="L175" i="88"/>
  <c r="V175" i="88"/>
  <c r="Q95" i="88"/>
  <c r="AU95" i="88" s="1"/>
  <c r="L95" i="88"/>
  <c r="M95" i="88"/>
  <c r="AQ95" i="88" s="1"/>
  <c r="V95" i="88"/>
  <c r="Q102" i="88"/>
  <c r="AU102" i="88" s="1"/>
  <c r="L102" i="88"/>
  <c r="M102" i="88"/>
  <c r="AQ102" i="88" s="1"/>
  <c r="V102" i="88"/>
  <c r="Q43" i="88"/>
  <c r="AU43" i="88" s="1"/>
  <c r="L43" i="88"/>
  <c r="M43" i="88"/>
  <c r="AQ43" i="88" s="1"/>
  <c r="V43" i="88"/>
  <c r="V103" i="88"/>
  <c r="Q103" i="88"/>
  <c r="AU103" i="88" s="1"/>
  <c r="L103" i="88"/>
  <c r="M103" i="88"/>
  <c r="AQ103" i="88" s="1"/>
  <c r="Q35" i="88"/>
  <c r="AU35" i="88" s="1"/>
  <c r="L35" i="88"/>
  <c r="M35" i="88"/>
  <c r="AQ35" i="88" s="1"/>
  <c r="V35" i="88"/>
  <c r="V84" i="88"/>
  <c r="Q84" i="88"/>
  <c r="AU84" i="88" s="1"/>
  <c r="L84" i="88"/>
  <c r="M84" i="88"/>
  <c r="AQ84" i="88" s="1"/>
  <c r="V156" i="88"/>
  <c r="M156" i="88"/>
  <c r="AQ156" i="88" s="1"/>
  <c r="Q156" i="88"/>
  <c r="AU156" i="88" s="1"/>
  <c r="L156" i="88"/>
  <c r="L54" i="88"/>
  <c r="M54" i="88"/>
  <c r="AQ54" i="88" s="1"/>
  <c r="Q54" i="88"/>
  <c r="AU54" i="88" s="1"/>
  <c r="V54" i="88"/>
  <c r="Q46" i="88"/>
  <c r="AU46" i="88" s="1"/>
  <c r="L46" i="88"/>
  <c r="V46" i="88"/>
  <c r="M46" i="88"/>
  <c r="AQ46" i="88" s="1"/>
  <c r="Q164" i="88"/>
  <c r="AU164" i="88" s="1"/>
  <c r="L164" i="88"/>
  <c r="V164" i="88"/>
  <c r="M164" i="88"/>
  <c r="AQ164" i="88" s="1"/>
  <c r="Q79" i="88"/>
  <c r="AU79" i="88" s="1"/>
  <c r="L79" i="88"/>
  <c r="M79" i="88"/>
  <c r="AQ79" i="88" s="1"/>
  <c r="V79" i="88"/>
  <c r="V166" i="88"/>
  <c r="L166" i="88"/>
  <c r="M166" i="88"/>
  <c r="AQ166" i="88" s="1"/>
  <c r="Q166" i="88"/>
  <c r="AU166" i="88" s="1"/>
  <c r="L161" i="88"/>
  <c r="M161" i="88"/>
  <c r="AQ161" i="88" s="1"/>
  <c r="V161" i="88"/>
  <c r="Q161" i="88"/>
  <c r="AU161" i="88" s="1"/>
  <c r="M169" i="88"/>
  <c r="AQ169" i="88" s="1"/>
  <c r="Q169" i="88"/>
  <c r="AU169" i="88" s="1"/>
  <c r="V169" i="88"/>
  <c r="L169" i="88"/>
  <c r="V107" i="88"/>
  <c r="Q107" i="88"/>
  <c r="AU107" i="88" s="1"/>
  <c r="L107" i="88"/>
  <c r="M107" i="88"/>
  <c r="AQ107" i="88" s="1"/>
  <c r="V72" i="88"/>
  <c r="L72" i="88"/>
  <c r="M72" i="88"/>
  <c r="AQ72" i="88" s="1"/>
  <c r="Q72" i="88"/>
  <c r="AU72" i="88" s="1"/>
  <c r="M101" i="88"/>
  <c r="AQ101" i="88" s="1"/>
  <c r="V101" i="88"/>
  <c r="L101" i="88"/>
  <c r="Q101" i="88"/>
  <c r="AU101" i="88" s="1"/>
  <c r="M53" i="88"/>
  <c r="AQ53" i="88" s="1"/>
  <c r="V53" i="88"/>
  <c r="Q53" i="88"/>
  <c r="AU53" i="88" s="1"/>
  <c r="L53" i="88"/>
  <c r="V108" i="88"/>
  <c r="Q108" i="88"/>
  <c r="AU108" i="88" s="1"/>
  <c r="L108" i="88"/>
  <c r="M108" i="88"/>
  <c r="AQ108" i="88" s="1"/>
  <c r="V130" i="88"/>
  <c r="L130" i="88"/>
  <c r="M130" i="88"/>
  <c r="AQ130" i="88" s="1"/>
  <c r="Q130" i="88"/>
  <c r="AU130" i="88" s="1"/>
  <c r="M97" i="88"/>
  <c r="AQ97" i="88" s="1"/>
  <c r="V97" i="88"/>
  <c r="L97" i="88"/>
  <c r="Q97" i="88"/>
  <c r="AU97" i="88" s="1"/>
  <c r="V71" i="88"/>
  <c r="Q71" i="88"/>
  <c r="AU71" i="88" s="1"/>
  <c r="L71" i="88"/>
  <c r="M71" i="88"/>
  <c r="AQ71" i="88" s="1"/>
  <c r="L25" i="88"/>
  <c r="M25" i="88"/>
  <c r="AQ25" i="88" s="1"/>
  <c r="V25" i="88"/>
  <c r="Q25" i="88"/>
  <c r="AU25" i="88" s="1"/>
  <c r="V34" i="88"/>
  <c r="Q34" i="88"/>
  <c r="AU34" i="88" s="1"/>
  <c r="L34" i="88"/>
  <c r="M34" i="88"/>
  <c r="AQ34" i="88" s="1"/>
  <c r="Q100" i="88"/>
  <c r="AU100" i="88" s="1"/>
  <c r="L100" i="88"/>
  <c r="M100" i="88"/>
  <c r="AQ100" i="88" s="1"/>
  <c r="V100" i="88"/>
  <c r="Q105" i="88"/>
  <c r="AU105" i="88" s="1"/>
  <c r="M105" i="88"/>
  <c r="AQ105" i="88" s="1"/>
  <c r="L105" i="88"/>
  <c r="V105" i="88"/>
  <c r="M51" i="88"/>
  <c r="AQ51" i="88" s="1"/>
  <c r="V51" i="88"/>
  <c r="Q51" i="88"/>
  <c r="AU51" i="88" s="1"/>
  <c r="L51" i="88"/>
  <c r="Q13" i="88"/>
  <c r="AU13" i="88" s="1"/>
  <c r="L13" i="88"/>
  <c r="M13" i="88"/>
  <c r="AQ13" i="88" s="1"/>
  <c r="V13" i="88"/>
  <c r="V117" i="88"/>
  <c r="Q117" i="88"/>
  <c r="AU117" i="88" s="1"/>
  <c r="L117" i="88"/>
  <c r="M117" i="88"/>
  <c r="AQ117" i="88" s="1"/>
  <c r="Q76" i="88"/>
  <c r="AU76" i="88" s="1"/>
  <c r="L76" i="88"/>
  <c r="M76" i="88"/>
  <c r="AQ76" i="88" s="1"/>
  <c r="V76" i="88"/>
  <c r="V90" i="88"/>
  <c r="Q90" i="88"/>
  <c r="AU90" i="88" s="1"/>
  <c r="L90" i="88"/>
  <c r="M90" i="88"/>
  <c r="AQ90" i="88" s="1"/>
  <c r="Q88" i="88"/>
  <c r="AU88" i="88" s="1"/>
  <c r="L88" i="88"/>
  <c r="M88" i="88"/>
  <c r="AQ88" i="88" s="1"/>
  <c r="V88" i="88"/>
  <c r="V153" i="88"/>
  <c r="Q153" i="88"/>
  <c r="AU153" i="88" s="1"/>
  <c r="L153" i="88"/>
  <c r="M153" i="88"/>
  <c r="AQ153" i="88" s="1"/>
  <c r="M151" i="88"/>
  <c r="AQ151" i="88" s="1"/>
  <c r="Q151" i="88"/>
  <c r="AU151" i="88" s="1"/>
  <c r="L151" i="88"/>
  <c r="V151" i="88"/>
  <c r="Q134" i="88"/>
  <c r="AU134" i="88" s="1"/>
  <c r="V134" i="88"/>
  <c r="L134" i="88"/>
  <c r="M134" i="88"/>
  <c r="AQ134" i="88" s="1"/>
  <c r="M128" i="88"/>
  <c r="AQ128" i="88" s="1"/>
  <c r="Q128" i="88"/>
  <c r="AU128" i="88" s="1"/>
  <c r="L128" i="88"/>
  <c r="V128" i="88"/>
  <c r="L36" i="88"/>
  <c r="M36" i="88"/>
  <c r="AQ36" i="88" s="1"/>
  <c r="V36" i="88"/>
  <c r="Q36" i="88"/>
  <c r="AU36" i="88" s="1"/>
  <c r="V16" i="88"/>
  <c r="Q16" i="88"/>
  <c r="AU16" i="88" s="1"/>
  <c r="M16" i="88"/>
  <c r="AQ16" i="88" s="1"/>
  <c r="L16" i="88"/>
  <c r="V116" i="88"/>
  <c r="L116" i="88"/>
  <c r="M116" i="88"/>
  <c r="AQ116" i="88" s="1"/>
  <c r="Q116" i="88"/>
  <c r="AU116" i="88" s="1"/>
  <c r="V149" i="88"/>
  <c r="Q149" i="88"/>
  <c r="AU149" i="88" s="1"/>
  <c r="L149" i="88"/>
  <c r="M149" i="88"/>
  <c r="AQ149" i="88" s="1"/>
  <c r="V44" i="88"/>
  <c r="Q44" i="88"/>
  <c r="AU44" i="88" s="1"/>
  <c r="L44" i="88"/>
  <c r="M44" i="88"/>
  <c r="AQ44" i="88" s="1"/>
  <c r="L124" i="88"/>
  <c r="M124" i="88"/>
  <c r="AQ124" i="88" s="1"/>
  <c r="Q124" i="88"/>
  <c r="AU124" i="88" s="1"/>
  <c r="V124" i="88"/>
  <c r="L63" i="88"/>
  <c r="M63" i="88"/>
  <c r="AQ63" i="88" s="1"/>
  <c r="V63" i="88"/>
  <c r="Q63" i="88"/>
  <c r="AU63" i="88" s="1"/>
  <c r="M47" i="88"/>
  <c r="AQ47" i="88" s="1"/>
  <c r="V47" i="88"/>
  <c r="Q47" i="88"/>
  <c r="AU47" i="88" s="1"/>
  <c r="L47" i="88"/>
  <c r="M142" i="88"/>
  <c r="AQ142" i="88" s="1"/>
  <c r="V142" i="88"/>
  <c r="L142" i="88"/>
  <c r="Q142" i="88"/>
  <c r="AU142" i="88" s="1"/>
  <c r="L135" i="88"/>
  <c r="M135" i="88"/>
  <c r="AQ135" i="88" s="1"/>
  <c r="V135" i="88"/>
  <c r="Q135" i="88"/>
  <c r="AU135" i="88" s="1"/>
  <c r="V158" i="88"/>
  <c r="Q158" i="88"/>
  <c r="AU158" i="88" s="1"/>
  <c r="L158" i="88"/>
  <c r="M158" i="88"/>
  <c r="AQ158" i="88" s="1"/>
  <c r="M37" i="88"/>
  <c r="AQ37" i="88" s="1"/>
  <c r="V37" i="88"/>
  <c r="L37" i="88"/>
  <c r="Q37" i="88"/>
  <c r="AU37" i="88" s="1"/>
  <c r="M163" i="88"/>
  <c r="AQ163" i="88" s="1"/>
  <c r="V163" i="88"/>
  <c r="Q163" i="88"/>
  <c r="AU163" i="88" s="1"/>
  <c r="L163" i="88"/>
  <c r="L112" i="88"/>
  <c r="M112" i="88"/>
  <c r="AQ112" i="88" s="1"/>
  <c r="V112" i="88"/>
  <c r="Q112" i="88"/>
  <c r="AU112" i="88" s="1"/>
  <c r="M67" i="88"/>
  <c r="AQ67" i="88" s="1"/>
  <c r="L67" i="88"/>
  <c r="Q67" i="88"/>
  <c r="AU67" i="88" s="1"/>
  <c r="V67" i="88"/>
  <c r="L147" i="88"/>
  <c r="M147" i="88"/>
  <c r="AQ147" i="88" s="1"/>
  <c r="V147" i="88"/>
  <c r="Q147" i="88"/>
  <c r="AU147" i="88" s="1"/>
  <c r="M69" i="88"/>
  <c r="AQ69" i="88" s="1"/>
  <c r="V69" i="88"/>
  <c r="L69" i="88"/>
  <c r="Q69" i="88"/>
  <c r="AU69" i="88" s="1"/>
  <c r="L59" i="88"/>
  <c r="M59" i="88"/>
  <c r="AQ59" i="88" s="1"/>
  <c r="Q59" i="88"/>
  <c r="AU59" i="88" s="1"/>
  <c r="V59" i="88"/>
  <c r="M14" i="88"/>
  <c r="V14" i="88"/>
  <c r="L14" i="88"/>
  <c r="Q14" i="88"/>
  <c r="J184" i="88"/>
  <c r="L18" i="88"/>
  <c r="M18" i="88"/>
  <c r="AQ18" i="88" s="1"/>
  <c r="V18" i="88"/>
  <c r="Q18" i="88"/>
  <c r="AU18" i="88" s="1"/>
  <c r="M115" i="88"/>
  <c r="AQ115" i="88" s="1"/>
  <c r="Q115" i="88"/>
  <c r="AU115" i="88" s="1"/>
  <c r="L115" i="88"/>
  <c r="V115" i="88"/>
  <c r="Q89" i="88"/>
  <c r="AU89" i="88" s="1"/>
  <c r="L89" i="88"/>
  <c r="M89" i="88"/>
  <c r="AQ89" i="88" s="1"/>
  <c r="V89" i="88"/>
  <c r="V28" i="88"/>
  <c r="Q28" i="88"/>
  <c r="AU28" i="88" s="1"/>
  <c r="L28" i="88"/>
  <c r="M28" i="88"/>
  <c r="AQ28" i="88" s="1"/>
  <c r="Q137" i="88"/>
  <c r="AU137" i="88" s="1"/>
  <c r="V137" i="88"/>
  <c r="L137" i="88"/>
  <c r="M137" i="88"/>
  <c r="AQ137" i="88" s="1"/>
  <c r="M77" i="88"/>
  <c r="AQ77" i="88" s="1"/>
  <c r="Q77" i="88"/>
  <c r="AU77" i="88" s="1"/>
  <c r="V77" i="88"/>
  <c r="L77" i="88"/>
  <c r="V143" i="88"/>
  <c r="Q143" i="88"/>
  <c r="AU143" i="88" s="1"/>
  <c r="L143" i="88"/>
  <c r="M143" i="88"/>
  <c r="AQ143" i="88" s="1"/>
  <c r="V96" i="88"/>
  <c r="Q96" i="88"/>
  <c r="AU96" i="88" s="1"/>
  <c r="L96" i="88"/>
  <c r="M96" i="88"/>
  <c r="AQ96" i="88" s="1"/>
  <c r="Q167" i="88"/>
  <c r="AU167" i="88" s="1"/>
  <c r="M167" i="88"/>
  <c r="AQ167" i="88" s="1"/>
  <c r="L167" i="88"/>
  <c r="V167" i="88"/>
  <c r="M141" i="88"/>
  <c r="AQ141" i="88" s="1"/>
  <c r="Q141" i="88"/>
  <c r="AU141" i="88" s="1"/>
  <c r="L141" i="88"/>
  <c r="V141" i="88"/>
  <c r="Q177" i="88"/>
  <c r="AU177" i="88" s="1"/>
  <c r="L177" i="88"/>
  <c r="V177" i="88"/>
  <c r="M177" i="88"/>
  <c r="AQ177" i="88" s="1"/>
  <c r="V65" i="88"/>
  <c r="Q65" i="88"/>
  <c r="AU65" i="88" s="1"/>
  <c r="L65" i="88"/>
  <c r="M65" i="88"/>
  <c r="AQ65" i="88" s="1"/>
  <c r="BE14" i="88"/>
  <c r="BE184" i="88" s="1"/>
  <c r="AF184" i="88"/>
  <c r="AF186" i="88"/>
  <c r="V30" i="88"/>
  <c r="Q30" i="88"/>
  <c r="AU30" i="88" s="1"/>
  <c r="L30" i="88"/>
  <c r="M30" i="88"/>
  <c r="AQ30" i="88" s="1"/>
  <c r="Q138" i="88"/>
  <c r="AU138" i="88" s="1"/>
  <c r="L138" i="88"/>
  <c r="V138" i="88"/>
  <c r="M138" i="88"/>
  <c r="AQ138" i="88" s="1"/>
  <c r="Q148" i="88"/>
  <c r="AU148" i="88" s="1"/>
  <c r="M148" i="88"/>
  <c r="AQ148" i="88" s="1"/>
  <c r="L148" i="88"/>
  <c r="V148" i="88"/>
  <c r="V74" i="88"/>
  <c r="Q74" i="88"/>
  <c r="AU74" i="88" s="1"/>
  <c r="L74" i="88"/>
  <c r="M74" i="88"/>
  <c r="AQ74" i="88" s="1"/>
  <c r="J12" i="89"/>
  <c r="J16" i="89"/>
  <c r="J18" i="89"/>
  <c r="J19" i="89"/>
  <c r="J33" i="89"/>
  <c r="J13" i="89"/>
  <c r="J32" i="89"/>
  <c r="J25" i="89"/>
  <c r="J24" i="89"/>
  <c r="J35" i="89"/>
  <c r="J23" i="89"/>
  <c r="J44" i="89"/>
  <c r="J42" i="89"/>
  <c r="J48" i="89"/>
  <c r="J47" i="89"/>
  <c r="J51" i="89"/>
  <c r="J57" i="89"/>
  <c r="J40" i="89"/>
  <c r="J38" i="89"/>
  <c r="J54" i="89"/>
  <c r="J63" i="89"/>
  <c r="J72" i="89"/>
  <c r="J69" i="89"/>
  <c r="J75" i="89"/>
  <c r="J64" i="89"/>
  <c r="J71" i="89"/>
  <c r="J79" i="89"/>
  <c r="J78" i="89"/>
  <c r="J77" i="89"/>
  <c r="J82" i="89"/>
  <c r="J59" i="89"/>
  <c r="J68" i="89"/>
  <c r="J22" i="89"/>
  <c r="J83" i="89"/>
  <c r="J81" i="89"/>
  <c r="J62" i="89"/>
  <c r="J84" i="89"/>
  <c r="J26" i="89"/>
  <c r="J70" i="89"/>
  <c r="J85" i="89"/>
  <c r="J65" i="89"/>
  <c r="J34" i="89"/>
  <c r="J20" i="89"/>
  <c r="J28" i="89"/>
  <c r="J67" i="89"/>
  <c r="J73" i="89"/>
  <c r="J46" i="89"/>
  <c r="J74" i="89"/>
  <c r="J80" i="89"/>
  <c r="J14" i="89"/>
  <c r="J76" i="89"/>
  <c r="J36" i="89"/>
  <c r="J29" i="89"/>
  <c r="J55" i="89"/>
  <c r="J31" i="89"/>
  <c r="J53" i="89"/>
  <c r="J43" i="89"/>
  <c r="J45" i="89"/>
  <c r="J86" i="89"/>
  <c r="J58" i="89"/>
  <c r="J50" i="89"/>
  <c r="J30" i="89"/>
  <c r="J27" i="89"/>
  <c r="J66" i="89"/>
  <c r="J39" i="89"/>
  <c r="J41" i="89"/>
  <c r="J15" i="89"/>
  <c r="J49" i="89"/>
  <c r="J60" i="89"/>
  <c r="J17" i="89"/>
  <c r="J61" i="89"/>
  <c r="J37" i="89"/>
  <c r="M110" i="88"/>
  <c r="AQ110" i="88" s="1"/>
  <c r="Q110" i="88"/>
  <c r="AU110" i="88" s="1"/>
  <c r="V110" i="88"/>
  <c r="L110" i="88"/>
  <c r="M123" i="88"/>
  <c r="AQ123" i="88" s="1"/>
  <c r="V123" i="88"/>
  <c r="Q123" i="88"/>
  <c r="AU123" i="88" s="1"/>
  <c r="L123" i="88"/>
  <c r="Q27" i="88"/>
  <c r="AU27" i="88" s="1"/>
  <c r="L27" i="88"/>
  <c r="M27" i="88"/>
  <c r="AQ27" i="88" s="1"/>
  <c r="V27" i="88"/>
  <c r="V64" i="88"/>
  <c r="M64" i="88"/>
  <c r="AQ64" i="88" s="1"/>
  <c r="L64" i="88"/>
  <c r="Q64" i="88"/>
  <c r="AU64" i="88" s="1"/>
  <c r="V173" i="88"/>
  <c r="Q173" i="88"/>
  <c r="AU173" i="88" s="1"/>
  <c r="L173" i="88"/>
  <c r="M173" i="88"/>
  <c r="AQ173" i="88" s="1"/>
  <c r="M57" i="88"/>
  <c r="AQ57" i="88" s="1"/>
  <c r="Q57" i="88"/>
  <c r="AU57" i="88" s="1"/>
  <c r="V57" i="88"/>
  <c r="L57" i="88"/>
  <c r="V120" i="88"/>
  <c r="Q120" i="88"/>
  <c r="AU120" i="88" s="1"/>
  <c r="M120" i="88"/>
  <c r="AQ120" i="88" s="1"/>
  <c r="L120" i="88"/>
  <c r="M154" i="88"/>
  <c r="AQ154" i="88" s="1"/>
  <c r="V154" i="88"/>
  <c r="L154" i="88"/>
  <c r="Q154" i="88"/>
  <c r="AU154" i="88" s="1"/>
  <c r="M98" i="88"/>
  <c r="AQ98" i="88" s="1"/>
  <c r="V98" i="88"/>
  <c r="L98" i="88"/>
  <c r="Q98" i="88"/>
  <c r="AU98" i="88" s="1"/>
  <c r="M75" i="88"/>
  <c r="AQ75" i="88" s="1"/>
  <c r="V75" i="88"/>
  <c r="L75" i="88"/>
  <c r="Q75" i="88"/>
  <c r="AU75" i="88" s="1"/>
  <c r="V17" i="88"/>
  <c r="M17" i="88"/>
  <c r="AQ17" i="88" s="1"/>
  <c r="Q17" i="88"/>
  <c r="AU17" i="88" s="1"/>
  <c r="L17" i="88"/>
  <c r="V168" i="88"/>
  <c r="L168" i="88"/>
  <c r="M168" i="88"/>
  <c r="AQ168" i="88" s="1"/>
  <c r="Q168" i="88"/>
  <c r="AU168" i="88" s="1"/>
  <c r="M55" i="88"/>
  <c r="AQ55" i="88" s="1"/>
  <c r="V55" i="88"/>
  <c r="Q55" i="88"/>
  <c r="AU55" i="88" s="1"/>
  <c r="L55" i="88"/>
  <c r="V121" i="88"/>
  <c r="L121" i="88"/>
  <c r="M121" i="88"/>
  <c r="AQ121" i="88" s="1"/>
  <c r="Q121" i="88"/>
  <c r="AU121" i="88" s="1"/>
  <c r="M181" i="88"/>
  <c r="AQ181" i="88" s="1"/>
  <c r="L181" i="88"/>
  <c r="Q181" i="88"/>
  <c r="AU181" i="88" s="1"/>
  <c r="V181" i="88"/>
  <c r="L127" i="88"/>
  <c r="M127" i="88"/>
  <c r="AQ127" i="88" s="1"/>
  <c r="V127" i="88"/>
  <c r="Q127" i="88"/>
  <c r="AU127" i="88" s="1"/>
  <c r="L50" i="88"/>
  <c r="M50" i="88"/>
  <c r="AQ50" i="88" s="1"/>
  <c r="Q50" i="88"/>
  <c r="AU50" i="88" s="1"/>
  <c r="V50" i="88"/>
  <c r="M38" i="88"/>
  <c r="AQ38" i="88" s="1"/>
  <c r="V38" i="88"/>
  <c r="L38" i="88"/>
  <c r="Q38" i="88"/>
  <c r="AU38" i="88" s="1"/>
  <c r="Q58" i="88"/>
  <c r="AU58" i="88" s="1"/>
  <c r="L58" i="88"/>
  <c r="M58" i="88"/>
  <c r="AQ58" i="88" s="1"/>
  <c r="V58" i="88"/>
  <c r="Q41" i="88"/>
  <c r="AU41" i="88" s="1"/>
  <c r="L41" i="88"/>
  <c r="M41" i="88"/>
  <c r="AQ41" i="88" s="1"/>
  <c r="V41" i="88"/>
  <c r="Q70" i="88"/>
  <c r="AU70" i="88" s="1"/>
  <c r="L70" i="88"/>
  <c r="M70" i="88"/>
  <c r="AQ70" i="88" s="1"/>
  <c r="V70" i="88"/>
  <c r="Q48" i="88"/>
  <c r="AU48" i="88" s="1"/>
  <c r="L48" i="88"/>
  <c r="M48" i="88"/>
  <c r="AQ48" i="88" s="1"/>
  <c r="V48" i="88"/>
  <c r="Q122" i="88"/>
  <c r="AU122" i="88" s="1"/>
  <c r="M122" i="88"/>
  <c r="AQ122" i="88" s="1"/>
  <c r="L122" i="88"/>
  <c r="V122" i="88"/>
  <c r="Q19" i="88"/>
  <c r="AU19" i="88" s="1"/>
  <c r="L19" i="88"/>
  <c r="M19" i="88"/>
  <c r="AQ19" i="88" s="1"/>
  <c r="V19" i="88"/>
  <c r="Q179" i="88"/>
  <c r="AU179" i="88" s="1"/>
  <c r="L179" i="88"/>
  <c r="V179" i="88"/>
  <c r="M179" i="88"/>
  <c r="AQ179" i="88" s="1"/>
  <c r="Q118" i="88"/>
  <c r="AU118" i="88" s="1"/>
  <c r="L118" i="88"/>
  <c r="V118" i="88"/>
  <c r="M118" i="88"/>
  <c r="AQ118" i="88" s="1"/>
  <c r="Q62" i="88"/>
  <c r="AU62" i="88" s="1"/>
  <c r="L62" i="88"/>
  <c r="M62" i="88"/>
  <c r="AQ62" i="88" s="1"/>
  <c r="V62" i="88"/>
  <c r="Q12" i="88"/>
  <c r="AU12" i="88" s="1"/>
  <c r="M12" i="88"/>
  <c r="AQ12" i="88" s="1"/>
  <c r="L12" i="88"/>
  <c r="V12" i="88"/>
  <c r="Q132" i="88"/>
  <c r="AU132" i="88" s="1"/>
  <c r="L132" i="88"/>
  <c r="V132" i="88"/>
  <c r="M132" i="88"/>
  <c r="AQ132" i="88" s="1"/>
  <c r="L99" i="88"/>
  <c r="M99" i="88"/>
  <c r="AQ99" i="88" s="1"/>
  <c r="V99" i="88"/>
  <c r="Q99" i="88"/>
  <c r="AU99" i="88" s="1"/>
  <c r="V165" i="88"/>
  <c r="Q165" i="88"/>
  <c r="AU165" i="88" s="1"/>
  <c r="M165" i="88"/>
  <c r="AQ165" i="88" s="1"/>
  <c r="L165" i="88"/>
  <c r="M33" i="88"/>
  <c r="AQ33" i="88" s="1"/>
  <c r="V33" i="88"/>
  <c r="Q33" i="88"/>
  <c r="AU33" i="88" s="1"/>
  <c r="L33" i="88"/>
  <c r="AT20" i="87"/>
  <c r="BJ20" i="87"/>
  <c r="AY24" i="87"/>
  <c r="AT27" i="87"/>
  <c r="AT24" i="87"/>
  <c r="AT18" i="87"/>
  <c r="AT23" i="87"/>
  <c r="AX23" i="76"/>
  <c r="BJ28" i="76"/>
  <c r="BI28" i="76"/>
  <c r="BK28" i="76" s="1"/>
  <c r="BG28" i="76"/>
  <c r="BF28" i="76"/>
  <c r="BE28" i="76"/>
  <c r="BD28" i="76"/>
  <c r="BC28" i="76"/>
  <c r="BB28" i="76"/>
  <c r="BH28" i="76" s="1"/>
  <c r="AY28" i="76"/>
  <c r="AX28" i="76"/>
  <c r="AZ28" i="76" s="1"/>
  <c r="AW28" i="76"/>
  <c r="AU28" i="76"/>
  <c r="AT28" i="76"/>
  <c r="AV28" i="76" s="1"/>
  <c r="AR28" i="76"/>
  <c r="BJ27" i="76"/>
  <c r="BI27" i="76"/>
  <c r="BK27" i="76" s="1"/>
  <c r="BG27" i="76"/>
  <c r="BF27" i="76"/>
  <c r="BE27" i="76"/>
  <c r="BD27" i="76"/>
  <c r="BC27" i="76"/>
  <c r="BB27" i="76"/>
  <c r="BH27" i="76" s="1"/>
  <c r="AZ27" i="76"/>
  <c r="AY27" i="76"/>
  <c r="AX27" i="76"/>
  <c r="AW27" i="76"/>
  <c r="AV27" i="76"/>
  <c r="AU27" i="76"/>
  <c r="AT27" i="76"/>
  <c r="AR27" i="76"/>
  <c r="BJ26" i="76"/>
  <c r="BK26" i="76" s="1"/>
  <c r="BI26" i="76"/>
  <c r="BG26" i="76"/>
  <c r="BF26" i="76"/>
  <c r="BE26" i="76"/>
  <c r="BD26" i="76"/>
  <c r="BC26" i="76"/>
  <c r="BB26" i="76"/>
  <c r="BH26" i="76" s="1"/>
  <c r="AY26" i="76"/>
  <c r="AX26" i="76"/>
  <c r="AZ26" i="76" s="1"/>
  <c r="AW26" i="76"/>
  <c r="AU26" i="76"/>
  <c r="AT26" i="76"/>
  <c r="AV26" i="76" s="1"/>
  <c r="AR26" i="76"/>
  <c r="BK25" i="76"/>
  <c r="BJ25" i="76"/>
  <c r="BI25" i="76"/>
  <c r="BG25" i="76"/>
  <c r="BF25" i="76"/>
  <c r="BE25" i="76"/>
  <c r="BD25" i="76"/>
  <c r="BC25" i="76"/>
  <c r="BB25" i="76"/>
  <c r="BH25" i="76" s="1"/>
  <c r="AY25" i="76"/>
  <c r="AX25" i="76"/>
  <c r="AZ25" i="76" s="1"/>
  <c r="AW25" i="76"/>
  <c r="AV25" i="76"/>
  <c r="AU25" i="76"/>
  <c r="AT25" i="76"/>
  <c r="AR25" i="76"/>
  <c r="BJ24" i="76"/>
  <c r="BI24" i="76"/>
  <c r="BK24" i="76" s="1"/>
  <c r="BG24" i="76"/>
  <c r="BF24" i="76"/>
  <c r="BE24" i="76"/>
  <c r="BD24" i="76"/>
  <c r="BC24" i="76"/>
  <c r="BB24" i="76"/>
  <c r="BH24" i="76" s="1"/>
  <c r="AY24" i="76"/>
  <c r="AZ24" i="76" s="1"/>
  <c r="AX24" i="76"/>
  <c r="AW24" i="76"/>
  <c r="AU24" i="76"/>
  <c r="AT24" i="76"/>
  <c r="AV24" i="76" s="1"/>
  <c r="AR24" i="76"/>
  <c r="BK23" i="76"/>
  <c r="BJ23" i="76"/>
  <c r="BI23" i="76"/>
  <c r="BG23" i="76"/>
  <c r="BF23" i="76"/>
  <c r="BE23" i="76"/>
  <c r="BD23" i="76"/>
  <c r="BC23" i="76"/>
  <c r="BB23" i="76"/>
  <c r="BH23" i="76" s="1"/>
  <c r="AZ23" i="76"/>
  <c r="AY23" i="76"/>
  <c r="AW23" i="76"/>
  <c r="AU23" i="76"/>
  <c r="AT23" i="76"/>
  <c r="AV23" i="76" s="1"/>
  <c r="AR23" i="76"/>
  <c r="BJ22" i="76"/>
  <c r="BI22" i="76"/>
  <c r="BK22" i="76" s="1"/>
  <c r="BG22" i="76"/>
  <c r="BF22" i="76"/>
  <c r="BE22" i="76"/>
  <c r="BD22" i="76"/>
  <c r="BC22" i="76"/>
  <c r="BB22" i="76"/>
  <c r="BH22" i="76" s="1"/>
  <c r="AY22" i="76"/>
  <c r="AX22" i="76"/>
  <c r="AZ22" i="76" s="1"/>
  <c r="AW22" i="76"/>
  <c r="AU22" i="76"/>
  <c r="AV22" i="76" s="1"/>
  <c r="AT22" i="76"/>
  <c r="AR22" i="76"/>
  <c r="BJ21" i="76"/>
  <c r="BI21" i="76"/>
  <c r="BK21" i="76" s="1"/>
  <c r="BG21" i="76"/>
  <c r="BF21" i="76"/>
  <c r="BE21" i="76"/>
  <c r="BD21" i="76"/>
  <c r="BC21" i="76"/>
  <c r="BB21" i="76"/>
  <c r="BH21" i="76" s="1"/>
  <c r="AZ21" i="76"/>
  <c r="AY21" i="76"/>
  <c r="AX21" i="76"/>
  <c r="AW21" i="76"/>
  <c r="AV21" i="76"/>
  <c r="AU21" i="76"/>
  <c r="AT21" i="76"/>
  <c r="AR21" i="76"/>
  <c r="BJ20" i="76"/>
  <c r="BK20" i="76" s="1"/>
  <c r="BI20" i="76"/>
  <c r="BG20" i="76"/>
  <c r="BF20" i="76"/>
  <c r="BE20" i="76"/>
  <c r="BD20" i="76"/>
  <c r="BC20" i="76"/>
  <c r="BB20" i="76"/>
  <c r="BH20" i="76" s="1"/>
  <c r="AY20" i="76"/>
  <c r="AX20" i="76"/>
  <c r="AZ20" i="76" s="1"/>
  <c r="AW20" i="76"/>
  <c r="AU20" i="76"/>
  <c r="AT20" i="76"/>
  <c r="AV20" i="76" s="1"/>
  <c r="AR20" i="76"/>
  <c r="BK19" i="76"/>
  <c r="BJ19" i="76"/>
  <c r="BI19" i="76"/>
  <c r="BG19" i="76"/>
  <c r="BF19" i="76"/>
  <c r="BE19" i="76"/>
  <c r="BD19" i="76"/>
  <c r="BC19" i="76"/>
  <c r="BB19" i="76"/>
  <c r="BH19" i="76" s="1"/>
  <c r="AY19" i="76"/>
  <c r="AX19" i="76"/>
  <c r="AZ19" i="76" s="1"/>
  <c r="AW19" i="76"/>
  <c r="AU19" i="76"/>
  <c r="AV19" i="76" s="1"/>
  <c r="AT19" i="76"/>
  <c r="AR19" i="76"/>
  <c r="BJ18" i="76"/>
  <c r="BI18" i="76"/>
  <c r="BK18" i="76" s="1"/>
  <c r="BG18" i="76"/>
  <c r="BF18" i="76"/>
  <c r="BE18" i="76"/>
  <c r="BD18" i="76"/>
  <c r="BC18" i="76"/>
  <c r="BB18" i="76"/>
  <c r="BH18" i="76" s="1"/>
  <c r="AY18" i="76"/>
  <c r="AZ18" i="76" s="1"/>
  <c r="AX18" i="76"/>
  <c r="AW18" i="76"/>
  <c r="AV18" i="76"/>
  <c r="AU18" i="76"/>
  <c r="AT18" i="76"/>
  <c r="AR18" i="76"/>
  <c r="K186" i="88" l="1"/>
  <c r="AO61" i="88"/>
  <c r="L56" i="89"/>
  <c r="V56" i="89"/>
  <c r="Q56" i="89"/>
  <c r="AU56" i="89" s="1"/>
  <c r="L75" i="89"/>
  <c r="V75" i="89"/>
  <c r="Q75" i="89"/>
  <c r="AU75" i="89" s="1"/>
  <c r="L13" i="89"/>
  <c r="V13" i="89"/>
  <c r="Q13" i="89"/>
  <c r="AU13" i="89" s="1"/>
  <c r="N138" i="88"/>
  <c r="AP138" i="88"/>
  <c r="AR138" i="88" s="1"/>
  <c r="N71" i="88"/>
  <c r="AP71" i="88"/>
  <c r="AR71" i="88" s="1"/>
  <c r="N169" i="88"/>
  <c r="AP169" i="88"/>
  <c r="AR169" i="88" s="1"/>
  <c r="N15" i="88"/>
  <c r="AP15" i="88"/>
  <c r="AR15" i="88" s="1"/>
  <c r="N133" i="88"/>
  <c r="AP133" i="88"/>
  <c r="AR133" i="88" s="1"/>
  <c r="N56" i="88"/>
  <c r="AP56" i="88"/>
  <c r="AR56" i="88" s="1"/>
  <c r="N87" i="88"/>
  <c r="AP87" i="88"/>
  <c r="AR87" i="88" s="1"/>
  <c r="N177" i="88"/>
  <c r="AP177" i="88"/>
  <c r="AR177" i="88" s="1"/>
  <c r="AP158" i="88"/>
  <c r="AR158" i="88" s="1"/>
  <c r="N158" i="88"/>
  <c r="N149" i="88"/>
  <c r="AP149" i="88"/>
  <c r="AR149" i="88" s="1"/>
  <c r="N76" i="88"/>
  <c r="AP76" i="88"/>
  <c r="AR76" i="88" s="1"/>
  <c r="N72" i="88"/>
  <c r="AP72" i="88"/>
  <c r="AR72" i="88" s="1"/>
  <c r="N166" i="88"/>
  <c r="AP166" i="88"/>
  <c r="AR166" i="88" s="1"/>
  <c r="N162" i="88"/>
  <c r="AP162" i="88"/>
  <c r="AR162" i="88" s="1"/>
  <c r="N91" i="88"/>
  <c r="AP91" i="88"/>
  <c r="AR91" i="88" s="1"/>
  <c r="N131" i="88"/>
  <c r="AP131" i="88"/>
  <c r="AR131" i="88" s="1"/>
  <c r="AP42" i="88"/>
  <c r="AR42" i="88" s="1"/>
  <c r="N42" i="88"/>
  <c r="N118" i="88"/>
  <c r="AP118" i="88"/>
  <c r="AR118" i="88" s="1"/>
  <c r="N122" i="88"/>
  <c r="AP122" i="88"/>
  <c r="AR122" i="88" s="1"/>
  <c r="AP55" i="88"/>
  <c r="AR55" i="88" s="1"/>
  <c r="N55" i="88"/>
  <c r="AP17" i="88"/>
  <c r="AR17" i="88" s="1"/>
  <c r="N17" i="88"/>
  <c r="N120" i="88"/>
  <c r="AP120" i="88"/>
  <c r="AR120" i="88" s="1"/>
  <c r="N57" i="88"/>
  <c r="AP57" i="88"/>
  <c r="AR57" i="88" s="1"/>
  <c r="AP123" i="88"/>
  <c r="AR123" i="88" s="1"/>
  <c r="N123" i="88"/>
  <c r="AP110" i="88"/>
  <c r="AR110" i="88" s="1"/>
  <c r="N110" i="88"/>
  <c r="V49" i="89"/>
  <c r="L49" i="89"/>
  <c r="Q49" i="89"/>
  <c r="AU49" i="89" s="1"/>
  <c r="V30" i="89"/>
  <c r="L30" i="89"/>
  <c r="Q30" i="89"/>
  <c r="AU30" i="89" s="1"/>
  <c r="V53" i="89"/>
  <c r="L53" i="89"/>
  <c r="Q53" i="89"/>
  <c r="AU53" i="89" s="1"/>
  <c r="V14" i="89"/>
  <c r="L14" i="89"/>
  <c r="Q14" i="89"/>
  <c r="AU14" i="89" s="1"/>
  <c r="V67" i="89"/>
  <c r="L67" i="89"/>
  <c r="Q67" i="89"/>
  <c r="AU67" i="89" s="1"/>
  <c r="V85" i="89"/>
  <c r="L85" i="89"/>
  <c r="Q85" i="89"/>
  <c r="AU85" i="89" s="1"/>
  <c r="L83" i="89"/>
  <c r="Q83" i="89"/>
  <c r="AU83" i="89" s="1"/>
  <c r="V83" i="89"/>
  <c r="L78" i="89"/>
  <c r="V78" i="89"/>
  <c r="Q78" i="89"/>
  <c r="AU78" i="89" s="1"/>
  <c r="L72" i="89"/>
  <c r="V72" i="89"/>
  <c r="Q72" i="89"/>
  <c r="AU72" i="89" s="1"/>
  <c r="V51" i="89"/>
  <c r="L51" i="89"/>
  <c r="Q51" i="89"/>
  <c r="AU51" i="89" s="1"/>
  <c r="V35" i="89"/>
  <c r="L35" i="89"/>
  <c r="Q35" i="89"/>
  <c r="AU35" i="89" s="1"/>
  <c r="L19" i="89"/>
  <c r="V19" i="89"/>
  <c r="Q19" i="89"/>
  <c r="AU19" i="89" s="1"/>
  <c r="N148" i="88"/>
  <c r="AP148" i="88"/>
  <c r="AR148" i="88" s="1"/>
  <c r="N14" i="88"/>
  <c r="AP14" i="88"/>
  <c r="L186" i="88"/>
  <c r="N116" i="88"/>
  <c r="AP116" i="88"/>
  <c r="AR116" i="88" s="1"/>
  <c r="N90" i="88"/>
  <c r="AP90" i="88"/>
  <c r="AR90" i="88" s="1"/>
  <c r="N84" i="88"/>
  <c r="AP84" i="88"/>
  <c r="AR84" i="88" s="1"/>
  <c r="N103" i="88"/>
  <c r="AP103" i="88"/>
  <c r="AR103" i="88" s="1"/>
  <c r="AP23" i="88"/>
  <c r="AR23" i="88" s="1"/>
  <c r="N23" i="88"/>
  <c r="N60" i="88"/>
  <c r="AP60" i="88"/>
  <c r="AR60" i="88" s="1"/>
  <c r="AP92" i="88"/>
  <c r="AR92" i="88" s="1"/>
  <c r="N92" i="88"/>
  <c r="N136" i="88"/>
  <c r="AP136" i="88"/>
  <c r="AR136" i="88" s="1"/>
  <c r="N66" i="88"/>
  <c r="AP66" i="88"/>
  <c r="AR66" i="88" s="1"/>
  <c r="L45" i="89"/>
  <c r="V45" i="89"/>
  <c r="Q45" i="89"/>
  <c r="AU45" i="89" s="1"/>
  <c r="V34" i="89"/>
  <c r="L34" i="89"/>
  <c r="Q34" i="89"/>
  <c r="AU34" i="89" s="1"/>
  <c r="L44" i="89"/>
  <c r="V44" i="89"/>
  <c r="Q44" i="89"/>
  <c r="AU44" i="89" s="1"/>
  <c r="AP163" i="88"/>
  <c r="AR163" i="88" s="1"/>
  <c r="N163" i="88"/>
  <c r="AP53" i="88"/>
  <c r="AR53" i="88" s="1"/>
  <c r="N53" i="88"/>
  <c r="N82" i="88"/>
  <c r="AP82" i="88"/>
  <c r="AR82" i="88" s="1"/>
  <c r="AP176" i="88"/>
  <c r="AR176" i="88" s="1"/>
  <c r="N176" i="88"/>
  <c r="V27" i="89"/>
  <c r="L27" i="89"/>
  <c r="Q27" i="89"/>
  <c r="AU27" i="89" s="1"/>
  <c r="L76" i="89"/>
  <c r="Q76" i="89"/>
  <c r="AU76" i="89" s="1"/>
  <c r="V76" i="89"/>
  <c r="V65" i="89"/>
  <c r="L65" i="89"/>
  <c r="Q65" i="89"/>
  <c r="AU65" i="89" s="1"/>
  <c r="V77" i="89"/>
  <c r="L77" i="89"/>
  <c r="Q77" i="89"/>
  <c r="AU77" i="89" s="1"/>
  <c r="L23" i="89"/>
  <c r="V23" i="89"/>
  <c r="Q23" i="89"/>
  <c r="AU23" i="89" s="1"/>
  <c r="N69" i="88"/>
  <c r="AP69" i="88"/>
  <c r="AR69" i="88" s="1"/>
  <c r="AP37" i="88"/>
  <c r="AR37" i="88" s="1"/>
  <c r="N37" i="88"/>
  <c r="AP142" i="88"/>
  <c r="AR142" i="88" s="1"/>
  <c r="N142" i="88"/>
  <c r="AP130" i="88"/>
  <c r="AR130" i="88" s="1"/>
  <c r="N130" i="88"/>
  <c r="N78" i="88"/>
  <c r="AP78" i="88"/>
  <c r="AR78" i="88" s="1"/>
  <c r="N45" i="88"/>
  <c r="AP45" i="88"/>
  <c r="AR45" i="88" s="1"/>
  <c r="AP132" i="88"/>
  <c r="AR132" i="88" s="1"/>
  <c r="N132" i="88"/>
  <c r="N75" i="88"/>
  <c r="AP75" i="88"/>
  <c r="AR75" i="88" s="1"/>
  <c r="L80" i="89"/>
  <c r="V80" i="89"/>
  <c r="Q80" i="89"/>
  <c r="AU80" i="89" s="1"/>
  <c r="AP67" i="88"/>
  <c r="AR67" i="88" s="1"/>
  <c r="N67" i="88"/>
  <c r="N151" i="88"/>
  <c r="AP151" i="88"/>
  <c r="AR151" i="88" s="1"/>
  <c r="N51" i="88"/>
  <c r="AP51" i="88"/>
  <c r="AR51" i="88" s="1"/>
  <c r="AP100" i="88"/>
  <c r="AR100" i="88" s="1"/>
  <c r="N100" i="88"/>
  <c r="N175" i="88"/>
  <c r="AP175" i="88"/>
  <c r="AR175" i="88" s="1"/>
  <c r="N24" i="88"/>
  <c r="AP24" i="88"/>
  <c r="AR24" i="88" s="1"/>
  <c r="AP85" i="88"/>
  <c r="AR85" i="88" s="1"/>
  <c r="N85" i="88"/>
  <c r="AP40" i="88"/>
  <c r="AR40" i="88" s="1"/>
  <c r="N40" i="88"/>
  <c r="AP171" i="88"/>
  <c r="AR171" i="88" s="1"/>
  <c r="N171" i="88"/>
  <c r="AP174" i="88"/>
  <c r="AR174" i="88" s="1"/>
  <c r="N174" i="88"/>
  <c r="N172" i="88"/>
  <c r="AP172" i="88"/>
  <c r="AR172" i="88" s="1"/>
  <c r="AP94" i="88"/>
  <c r="AR94" i="88" s="1"/>
  <c r="N94" i="88"/>
  <c r="N155" i="88"/>
  <c r="AP155" i="88"/>
  <c r="AR155" i="88" s="1"/>
  <c r="AP104" i="88"/>
  <c r="AR104" i="88" s="1"/>
  <c r="N104" i="88"/>
  <c r="N39" i="88"/>
  <c r="AP39" i="88"/>
  <c r="AR39" i="88" s="1"/>
  <c r="N170" i="88"/>
  <c r="AP170" i="88"/>
  <c r="AR170" i="88" s="1"/>
  <c r="N21" i="88"/>
  <c r="AP21" i="88"/>
  <c r="AR21" i="88" s="1"/>
  <c r="AP144" i="88"/>
  <c r="AR144" i="88" s="1"/>
  <c r="N144" i="88"/>
  <c r="N109" i="88"/>
  <c r="AP109" i="88"/>
  <c r="AR109" i="88" s="1"/>
  <c r="L66" i="89"/>
  <c r="V66" i="89"/>
  <c r="Q66" i="89"/>
  <c r="AU66" i="89" s="1"/>
  <c r="L82" i="89"/>
  <c r="V82" i="89"/>
  <c r="Q82" i="89"/>
  <c r="AU82" i="89" s="1"/>
  <c r="AP137" i="88"/>
  <c r="AR137" i="88" s="1"/>
  <c r="N137" i="88"/>
  <c r="AP89" i="88"/>
  <c r="AR89" i="88" s="1"/>
  <c r="N89" i="88"/>
  <c r="AU14" i="88"/>
  <c r="AU184" i="88" s="1"/>
  <c r="Q186" i="88"/>
  <c r="N34" i="88"/>
  <c r="AP34" i="88"/>
  <c r="AR34" i="88" s="1"/>
  <c r="N97" i="88"/>
  <c r="AP97" i="88"/>
  <c r="AR97" i="88" s="1"/>
  <c r="N108" i="88"/>
  <c r="AP108" i="88"/>
  <c r="AR108" i="88" s="1"/>
  <c r="N107" i="88"/>
  <c r="AP107" i="88"/>
  <c r="AR107" i="88" s="1"/>
  <c r="N22" i="88"/>
  <c r="AP22" i="88"/>
  <c r="AR22" i="88" s="1"/>
  <c r="N111" i="88"/>
  <c r="AP111" i="88"/>
  <c r="AR111" i="88" s="1"/>
  <c r="N73" i="88"/>
  <c r="AP73" i="88"/>
  <c r="AR73" i="88" s="1"/>
  <c r="N20" i="88"/>
  <c r="AP20" i="88"/>
  <c r="AR20" i="88" s="1"/>
  <c r="N127" i="88"/>
  <c r="AP127" i="88"/>
  <c r="AR127" i="88" s="1"/>
  <c r="V60" i="89"/>
  <c r="L60" i="89"/>
  <c r="Q60" i="89"/>
  <c r="AU60" i="89" s="1"/>
  <c r="L43" i="89"/>
  <c r="V43" i="89"/>
  <c r="Q43" i="89"/>
  <c r="AU43" i="89" s="1"/>
  <c r="L73" i="89"/>
  <c r="V73" i="89"/>
  <c r="Q73" i="89"/>
  <c r="AU73" i="89" s="1"/>
  <c r="L81" i="89"/>
  <c r="V81" i="89"/>
  <c r="Q81" i="89"/>
  <c r="AU81" i="89" s="1"/>
  <c r="L69" i="89"/>
  <c r="V69" i="89"/>
  <c r="Q69" i="89"/>
  <c r="AU69" i="89" s="1"/>
  <c r="L33" i="89"/>
  <c r="V33" i="89"/>
  <c r="Q33" i="89"/>
  <c r="AU33" i="89" s="1"/>
  <c r="AP74" i="88"/>
  <c r="AR74" i="88" s="1"/>
  <c r="N74" i="88"/>
  <c r="N44" i="88"/>
  <c r="AP44" i="88"/>
  <c r="AR44" i="88" s="1"/>
  <c r="N128" i="88"/>
  <c r="AP128" i="88"/>
  <c r="AR128" i="88" s="1"/>
  <c r="AP13" i="88"/>
  <c r="AR13" i="88" s="1"/>
  <c r="N13" i="88"/>
  <c r="AP156" i="88"/>
  <c r="AR156" i="88" s="1"/>
  <c r="N156" i="88"/>
  <c r="AP12" i="88"/>
  <c r="AR12" i="88" s="1"/>
  <c r="N12" i="88"/>
  <c r="AP179" i="88"/>
  <c r="AR179" i="88" s="1"/>
  <c r="N179" i="88"/>
  <c r="N38" i="88"/>
  <c r="AP38" i="88"/>
  <c r="AR38" i="88" s="1"/>
  <c r="AP98" i="88"/>
  <c r="AR98" i="88" s="1"/>
  <c r="N98" i="88"/>
  <c r="L15" i="89"/>
  <c r="V15" i="89"/>
  <c r="Q15" i="89"/>
  <c r="AU15" i="89" s="1"/>
  <c r="L31" i="89"/>
  <c r="V31" i="89"/>
  <c r="Q31" i="89"/>
  <c r="AU31" i="89" s="1"/>
  <c r="L70" i="89"/>
  <c r="Q70" i="89"/>
  <c r="AU70" i="89" s="1"/>
  <c r="V70" i="89"/>
  <c r="V79" i="89"/>
  <c r="L79" i="89"/>
  <c r="Q79" i="89"/>
  <c r="AU79" i="89" s="1"/>
  <c r="L24" i="89"/>
  <c r="V24" i="89"/>
  <c r="Q24" i="89"/>
  <c r="AU24" i="89" s="1"/>
  <c r="N30" i="88"/>
  <c r="AP30" i="88"/>
  <c r="AR30" i="88" s="1"/>
  <c r="N18" i="88"/>
  <c r="AP18" i="88"/>
  <c r="AR18" i="88" s="1"/>
  <c r="N62" i="88"/>
  <c r="AP62" i="88"/>
  <c r="AR62" i="88" s="1"/>
  <c r="N19" i="88"/>
  <c r="AP19" i="88"/>
  <c r="AR19" i="88" s="1"/>
  <c r="N70" i="88"/>
  <c r="AP70" i="88"/>
  <c r="AR70" i="88" s="1"/>
  <c r="N121" i="88"/>
  <c r="AP121" i="88"/>
  <c r="AR121" i="88" s="1"/>
  <c r="AP168" i="88"/>
  <c r="AR168" i="88" s="1"/>
  <c r="N168" i="88"/>
  <c r="N173" i="88"/>
  <c r="AP173" i="88"/>
  <c r="AR173" i="88" s="1"/>
  <c r="AP64" i="88"/>
  <c r="AR64" i="88" s="1"/>
  <c r="N64" i="88"/>
  <c r="L37" i="89"/>
  <c r="V37" i="89"/>
  <c r="Q37" i="89"/>
  <c r="AU37" i="89" s="1"/>
  <c r="V41" i="89"/>
  <c r="L41" i="89"/>
  <c r="Q41" i="89"/>
  <c r="AU41" i="89" s="1"/>
  <c r="L58" i="89"/>
  <c r="V58" i="89"/>
  <c r="Q58" i="89"/>
  <c r="AU58" i="89" s="1"/>
  <c r="L55" i="89"/>
  <c r="V55" i="89"/>
  <c r="Q55" i="89"/>
  <c r="AU55" i="89" s="1"/>
  <c r="V74" i="89"/>
  <c r="L74" i="89"/>
  <c r="Q74" i="89"/>
  <c r="AU74" i="89" s="1"/>
  <c r="L52" i="89"/>
  <c r="V52" i="89"/>
  <c r="Q52" i="89"/>
  <c r="AU52" i="89" s="1"/>
  <c r="L26" i="89"/>
  <c r="V26" i="89"/>
  <c r="Q26" i="89"/>
  <c r="AU26" i="89" s="1"/>
  <c r="V68" i="89"/>
  <c r="L68" i="89"/>
  <c r="Q68" i="89"/>
  <c r="AU68" i="89" s="1"/>
  <c r="V71" i="89"/>
  <c r="L71" i="89"/>
  <c r="Q71" i="89"/>
  <c r="AU71" i="89" s="1"/>
  <c r="V54" i="89"/>
  <c r="L54" i="89"/>
  <c r="Q54" i="89"/>
  <c r="AU54" i="89" s="1"/>
  <c r="V48" i="89"/>
  <c r="L48" i="89"/>
  <c r="Q48" i="89"/>
  <c r="AU48" i="89" s="1"/>
  <c r="L25" i="89"/>
  <c r="V25" i="89"/>
  <c r="Q25" i="89"/>
  <c r="AU25" i="89" s="1"/>
  <c r="V16" i="89"/>
  <c r="L16" i="89"/>
  <c r="Q16" i="89"/>
  <c r="AU16" i="89" s="1"/>
  <c r="N96" i="88"/>
  <c r="AP96" i="88"/>
  <c r="AR96" i="88" s="1"/>
  <c r="N77" i="88"/>
  <c r="AP77" i="88"/>
  <c r="AR77" i="88" s="1"/>
  <c r="N28" i="88"/>
  <c r="AP28" i="88"/>
  <c r="AR28" i="88" s="1"/>
  <c r="N153" i="88"/>
  <c r="AP153" i="88"/>
  <c r="AR153" i="88" s="1"/>
  <c r="N25" i="88"/>
  <c r="AP25" i="88"/>
  <c r="AR25" i="88" s="1"/>
  <c r="N161" i="88"/>
  <c r="AP161" i="88"/>
  <c r="AR161" i="88" s="1"/>
  <c r="N79" i="88"/>
  <c r="AP79" i="88"/>
  <c r="AR79" i="88" s="1"/>
  <c r="N46" i="88"/>
  <c r="AP46" i="88"/>
  <c r="AR46" i="88" s="1"/>
  <c r="N35" i="88"/>
  <c r="AP35" i="88"/>
  <c r="AR35" i="88" s="1"/>
  <c r="N95" i="88"/>
  <c r="AP95" i="88"/>
  <c r="AR95" i="88" s="1"/>
  <c r="N119" i="88"/>
  <c r="AP119" i="88"/>
  <c r="AR119" i="88" s="1"/>
  <c r="AP145" i="88"/>
  <c r="AR145" i="88" s="1"/>
  <c r="N145" i="88"/>
  <c r="AP68" i="88"/>
  <c r="AR68" i="88" s="1"/>
  <c r="N68" i="88"/>
  <c r="N146" i="88"/>
  <c r="AP146" i="88"/>
  <c r="AR146" i="88" s="1"/>
  <c r="AP49" i="88"/>
  <c r="AR49" i="88" s="1"/>
  <c r="N49" i="88"/>
  <c r="N129" i="88"/>
  <c r="AP129" i="88"/>
  <c r="AR129" i="88" s="1"/>
  <c r="N126" i="88"/>
  <c r="AP126" i="88"/>
  <c r="AR126" i="88" s="1"/>
  <c r="N83" i="88"/>
  <c r="AP83" i="88"/>
  <c r="AR83" i="88" s="1"/>
  <c r="N81" i="88"/>
  <c r="AP81" i="88"/>
  <c r="AR81" i="88" s="1"/>
  <c r="AP152" i="88"/>
  <c r="AR152" i="88" s="1"/>
  <c r="N152" i="88"/>
  <c r="AP157" i="88"/>
  <c r="AR157" i="88" s="1"/>
  <c r="N157" i="88"/>
  <c r="AP114" i="88"/>
  <c r="AR114" i="88" s="1"/>
  <c r="N114" i="88"/>
  <c r="N165" i="88"/>
  <c r="AP165" i="88"/>
  <c r="AR165" i="88" s="1"/>
  <c r="L17" i="89"/>
  <c r="V17" i="89"/>
  <c r="Q17" i="89"/>
  <c r="AU17" i="89" s="1"/>
  <c r="V36" i="89"/>
  <c r="L36" i="89"/>
  <c r="Q36" i="89"/>
  <c r="AU36" i="89" s="1"/>
  <c r="L62" i="89"/>
  <c r="V62" i="89"/>
  <c r="Q62" i="89"/>
  <c r="AU62" i="89" s="1"/>
  <c r="V40" i="89"/>
  <c r="L40" i="89"/>
  <c r="Q40" i="89"/>
  <c r="AU40" i="89" s="1"/>
  <c r="N65" i="88"/>
  <c r="AP65" i="88"/>
  <c r="AR65" i="88" s="1"/>
  <c r="AP47" i="88"/>
  <c r="AR47" i="88" s="1"/>
  <c r="N47" i="88"/>
  <c r="N16" i="88"/>
  <c r="AP16" i="88"/>
  <c r="AR16" i="88" s="1"/>
  <c r="N101" i="88"/>
  <c r="AP101" i="88"/>
  <c r="AR101" i="88" s="1"/>
  <c r="N54" i="88"/>
  <c r="AP54" i="88"/>
  <c r="AR54" i="88" s="1"/>
  <c r="N106" i="88"/>
  <c r="AP106" i="88"/>
  <c r="AR106" i="88" s="1"/>
  <c r="N150" i="88"/>
  <c r="AP150" i="88"/>
  <c r="AR150" i="88" s="1"/>
  <c r="N80" i="88"/>
  <c r="AP80" i="88"/>
  <c r="AR80" i="88" s="1"/>
  <c r="N139" i="88"/>
  <c r="AP139" i="88"/>
  <c r="AR139" i="88" s="1"/>
  <c r="N159" i="88"/>
  <c r="AP159" i="88"/>
  <c r="AR159" i="88" s="1"/>
  <c r="N50" i="88"/>
  <c r="AP50" i="88"/>
  <c r="AR50" i="88" s="1"/>
  <c r="V57" i="89"/>
  <c r="L57" i="89"/>
  <c r="Q57" i="89"/>
  <c r="AU57" i="89" s="1"/>
  <c r="AP48" i="88"/>
  <c r="AR48" i="88" s="1"/>
  <c r="N48" i="88"/>
  <c r="AP154" i="88"/>
  <c r="AR154" i="88" s="1"/>
  <c r="N154" i="88"/>
  <c r="L50" i="89"/>
  <c r="V50" i="89"/>
  <c r="Q50" i="89"/>
  <c r="AU50" i="89" s="1"/>
  <c r="L28" i="89"/>
  <c r="V28" i="89"/>
  <c r="Q28" i="89"/>
  <c r="AU28" i="89" s="1"/>
  <c r="L22" i="89"/>
  <c r="V22" i="89"/>
  <c r="Q22" i="89"/>
  <c r="AU22" i="89" s="1"/>
  <c r="L63" i="89"/>
  <c r="V63" i="89"/>
  <c r="Q63" i="89"/>
  <c r="AU63" i="89" s="1"/>
  <c r="V47" i="89"/>
  <c r="L47" i="89"/>
  <c r="Q47" i="89"/>
  <c r="AU47" i="89" s="1"/>
  <c r="V18" i="89"/>
  <c r="L18" i="89"/>
  <c r="Q18" i="89"/>
  <c r="AU18" i="89" s="1"/>
  <c r="V184" i="88"/>
  <c r="N33" i="88"/>
  <c r="AP33" i="88"/>
  <c r="AR33" i="88" s="1"/>
  <c r="V21" i="89"/>
  <c r="L21" i="89"/>
  <c r="Q21" i="89"/>
  <c r="AU21" i="89" s="1"/>
  <c r="N99" i="88"/>
  <c r="AP99" i="88"/>
  <c r="AR99" i="88" s="1"/>
  <c r="AP41" i="88"/>
  <c r="AR41" i="88" s="1"/>
  <c r="N41" i="88"/>
  <c r="N58" i="88"/>
  <c r="AP58" i="88"/>
  <c r="AR58" i="88" s="1"/>
  <c r="N181" i="88"/>
  <c r="AP181" i="88"/>
  <c r="AR181" i="88" s="1"/>
  <c r="AP27" i="88"/>
  <c r="AR27" i="88" s="1"/>
  <c r="N27" i="88"/>
  <c r="V61" i="89"/>
  <c r="L61" i="89"/>
  <c r="Q61" i="89"/>
  <c r="AU61" i="89" s="1"/>
  <c r="L39" i="89"/>
  <c r="V39" i="89"/>
  <c r="Q39" i="89"/>
  <c r="AU39" i="89" s="1"/>
  <c r="L86" i="89"/>
  <c r="V86" i="89"/>
  <c r="Q86" i="89"/>
  <c r="AU86" i="89" s="1"/>
  <c r="V29" i="89"/>
  <c r="L29" i="89"/>
  <c r="Q29" i="89"/>
  <c r="AU29" i="89" s="1"/>
  <c r="L46" i="89"/>
  <c r="V46" i="89"/>
  <c r="Q46" i="89"/>
  <c r="AU46" i="89" s="1"/>
  <c r="L20" i="89"/>
  <c r="V20" i="89"/>
  <c r="Q20" i="89"/>
  <c r="AU20" i="89" s="1"/>
  <c r="V84" i="89"/>
  <c r="Q84" i="89"/>
  <c r="AU84" i="89" s="1"/>
  <c r="L84" i="89"/>
  <c r="V59" i="89"/>
  <c r="L59" i="89"/>
  <c r="Q59" i="89"/>
  <c r="AU59" i="89" s="1"/>
  <c r="V64" i="89"/>
  <c r="L64" i="89"/>
  <c r="Q64" i="89"/>
  <c r="AU64" i="89" s="1"/>
  <c r="V38" i="89"/>
  <c r="L38" i="89"/>
  <c r="Q38" i="89"/>
  <c r="AU38" i="89" s="1"/>
  <c r="V42" i="89"/>
  <c r="L42" i="89"/>
  <c r="Q42" i="89"/>
  <c r="AU42" i="89" s="1"/>
  <c r="L32" i="89"/>
  <c r="V32" i="89"/>
  <c r="Q32" i="89"/>
  <c r="AU32" i="89" s="1"/>
  <c r="L12" i="89"/>
  <c r="V12" i="89"/>
  <c r="J89" i="89"/>
  <c r="Q12" i="89"/>
  <c r="N141" i="88"/>
  <c r="AP141" i="88"/>
  <c r="AR141" i="88" s="1"/>
  <c r="N167" i="88"/>
  <c r="AP167" i="88"/>
  <c r="AR167" i="88" s="1"/>
  <c r="N143" i="88"/>
  <c r="AP143" i="88"/>
  <c r="AR143" i="88" s="1"/>
  <c r="N115" i="88"/>
  <c r="AP115" i="88"/>
  <c r="AR115" i="88" s="1"/>
  <c r="AQ14" i="88"/>
  <c r="AQ184" i="88" s="1"/>
  <c r="M186" i="88"/>
  <c r="N59" i="88"/>
  <c r="AP59" i="88"/>
  <c r="AR59" i="88" s="1"/>
  <c r="N147" i="88"/>
  <c r="AP147" i="88"/>
  <c r="AR147" i="88" s="1"/>
  <c r="AP112" i="88"/>
  <c r="AR112" i="88" s="1"/>
  <c r="N112" i="88"/>
  <c r="AP135" i="88"/>
  <c r="AR135" i="88" s="1"/>
  <c r="N135" i="88"/>
  <c r="N63" i="88"/>
  <c r="AP63" i="88"/>
  <c r="AR63" i="88" s="1"/>
  <c r="N124" i="88"/>
  <c r="AP124" i="88"/>
  <c r="AR124" i="88" s="1"/>
  <c r="N36" i="88"/>
  <c r="AP36" i="88"/>
  <c r="AR36" i="88" s="1"/>
  <c r="AP134" i="88"/>
  <c r="AR134" i="88" s="1"/>
  <c r="N134" i="88"/>
  <c r="N88" i="88"/>
  <c r="AP88" i="88"/>
  <c r="AR88" i="88" s="1"/>
  <c r="N117" i="88"/>
  <c r="AP117" i="88"/>
  <c r="AR117" i="88" s="1"/>
  <c r="N105" i="88"/>
  <c r="AP105" i="88"/>
  <c r="AR105" i="88" s="1"/>
  <c r="N164" i="88"/>
  <c r="AP164" i="88"/>
  <c r="AR164" i="88" s="1"/>
  <c r="N43" i="88"/>
  <c r="AP43" i="88"/>
  <c r="AR43" i="88" s="1"/>
  <c r="AP102" i="88"/>
  <c r="AR102" i="88" s="1"/>
  <c r="N102" i="88"/>
  <c r="AP31" i="88"/>
  <c r="AR31" i="88" s="1"/>
  <c r="N31" i="88"/>
  <c r="N61" i="88"/>
  <c r="AP61" i="88"/>
  <c r="AR61" i="88" s="1"/>
  <c r="N52" i="88"/>
  <c r="AP52" i="88"/>
  <c r="AR52" i="88" s="1"/>
  <c r="N160" i="88"/>
  <c r="AP160" i="88"/>
  <c r="AR160" i="88" s="1"/>
  <c r="N93" i="88"/>
  <c r="AP93" i="88"/>
  <c r="AR93" i="88" s="1"/>
  <c r="AP125" i="88"/>
  <c r="AR125" i="88" s="1"/>
  <c r="N125" i="88"/>
  <c r="N113" i="88"/>
  <c r="AP113" i="88"/>
  <c r="AR113" i="88" s="1"/>
  <c r="AP32" i="88"/>
  <c r="AR32" i="88" s="1"/>
  <c r="N32" i="88"/>
  <c r="N86" i="88"/>
  <c r="AP86" i="88"/>
  <c r="AR86" i="88" s="1"/>
  <c r="N26" i="88"/>
  <c r="AP26" i="88"/>
  <c r="AR26" i="88" s="1"/>
  <c r="N29" i="88"/>
  <c r="AP29" i="88"/>
  <c r="AR29" i="88" s="1"/>
  <c r="N140" i="88"/>
  <c r="AP140" i="88"/>
  <c r="AR140" i="88" s="1"/>
  <c r="AP178" i="88"/>
  <c r="AR178" i="88" s="1"/>
  <c r="N178" i="88"/>
  <c r="E55" i="87"/>
  <c r="D55" i="87"/>
  <c r="D50" i="87" s="1"/>
  <c r="AP19" i="89" l="1"/>
  <c r="AP78" i="89"/>
  <c r="AP83" i="89"/>
  <c r="AP12" i="89"/>
  <c r="L91" i="89"/>
  <c r="AP86" i="89"/>
  <c r="AP62" i="89"/>
  <c r="AP17" i="89"/>
  <c r="AP52" i="89"/>
  <c r="AP37" i="89"/>
  <c r="AP73" i="89"/>
  <c r="AP32" i="89"/>
  <c r="AP22" i="89"/>
  <c r="AP28" i="89"/>
  <c r="AP25" i="89"/>
  <c r="AP26" i="89"/>
  <c r="AP74" i="89"/>
  <c r="AP79" i="89"/>
  <c r="AU12" i="89"/>
  <c r="AU89" i="89" s="1"/>
  <c r="Q91" i="89"/>
  <c r="AP20" i="89"/>
  <c r="AP18" i="89"/>
  <c r="AP55" i="89"/>
  <c r="AP33" i="89"/>
  <c r="AP69" i="89"/>
  <c r="AP80" i="89"/>
  <c r="AP77" i="89"/>
  <c r="AP65" i="89"/>
  <c r="AP53" i="89"/>
  <c r="AP50" i="89"/>
  <c r="AP46" i="89"/>
  <c r="AP21" i="89"/>
  <c r="AP24" i="89"/>
  <c r="AP70" i="89"/>
  <c r="AP31" i="89"/>
  <c r="AP15" i="89"/>
  <c r="AP81" i="89"/>
  <c r="AP43" i="89"/>
  <c r="AP82" i="89"/>
  <c r="AP27" i="89"/>
  <c r="AP34" i="89"/>
  <c r="AR14" i="88"/>
  <c r="AR184" i="88" s="1"/>
  <c r="AP184" i="88"/>
  <c r="AP35" i="89"/>
  <c r="AP51" i="89"/>
  <c r="AP85" i="89"/>
  <c r="AP14" i="89"/>
  <c r="AP45" i="89"/>
  <c r="AP39" i="89"/>
  <c r="AP84" i="89"/>
  <c r="AP47" i="89"/>
  <c r="AP59" i="89"/>
  <c r="AP40" i="89"/>
  <c r="AP66" i="89"/>
  <c r="AP44" i="89"/>
  <c r="N184" i="88"/>
  <c r="AP67" i="89"/>
  <c r="AP30" i="89"/>
  <c r="AP49" i="89"/>
  <c r="AP75" i="89"/>
  <c r="V89" i="89"/>
  <c r="AP42" i="89"/>
  <c r="AP38" i="89"/>
  <c r="AP64" i="89"/>
  <c r="AP29" i="89"/>
  <c r="AP61" i="89"/>
  <c r="AP63" i="89"/>
  <c r="AP57" i="89"/>
  <c r="AP36" i="89"/>
  <c r="AP16" i="89"/>
  <c r="AP48" i="89"/>
  <c r="AP54" i="89"/>
  <c r="AP71" i="89"/>
  <c r="AP68" i="89"/>
  <c r="AP58" i="89"/>
  <c r="AP41" i="89"/>
  <c r="AP60" i="89"/>
  <c r="AP23" i="89"/>
  <c r="AP76" i="89"/>
  <c r="AP72" i="89"/>
  <c r="AP13" i="89"/>
  <c r="AP56" i="89"/>
  <c r="AN52" i="87"/>
  <c r="AM49" i="87"/>
  <c r="AM46" i="87"/>
  <c r="AO45" i="87"/>
  <c r="AH38" i="87"/>
  <c r="G38" i="87"/>
  <c r="BA31" i="87"/>
  <c r="AQ31" i="87"/>
  <c r="AP31" i="87"/>
  <c r="AN31" i="87"/>
  <c r="AH31" i="87"/>
  <c r="AG31" i="87"/>
  <c r="AE31" i="87"/>
  <c r="AD31" i="87"/>
  <c r="AC31" i="87"/>
  <c r="AB31" i="87"/>
  <c r="AA31" i="87"/>
  <c r="Y31" i="87"/>
  <c r="X31" i="87"/>
  <c r="T31" i="87"/>
  <c r="P31" i="87"/>
  <c r="O31" i="87"/>
  <c r="O28" i="87" s="1"/>
  <c r="N31" i="87"/>
  <c r="AW38" i="87" s="1"/>
  <c r="L31" i="87"/>
  <c r="M38" i="87" s="1"/>
  <c r="G31" i="87"/>
  <c r="F31" i="87"/>
  <c r="U28" i="87"/>
  <c r="K28" i="87"/>
  <c r="H28" i="87"/>
  <c r="H27" i="87"/>
  <c r="H26" i="87"/>
  <c r="H25" i="87"/>
  <c r="H24" i="87"/>
  <c r="H23" i="87"/>
  <c r="H22" i="87"/>
  <c r="H21" i="87"/>
  <c r="H20" i="87"/>
  <c r="H19" i="87"/>
  <c r="H18" i="87"/>
  <c r="H17" i="87"/>
  <c r="H16" i="87"/>
  <c r="H15" i="87"/>
  <c r="H14" i="87"/>
  <c r="H13" i="87"/>
  <c r="H12" i="87"/>
  <c r="AP89" i="89" l="1"/>
  <c r="N28" i="87"/>
  <c r="Q28" i="87"/>
  <c r="L28" i="87"/>
  <c r="AD28" i="87"/>
  <c r="AB28" i="87"/>
  <c r="AK31" i="87"/>
  <c r="AH42" i="87"/>
  <c r="BJ38" i="87"/>
  <c r="AY38" i="87"/>
  <c r="P38" i="87"/>
  <c r="P42" i="87" s="1"/>
  <c r="G42" i="87"/>
  <c r="AR38" i="87"/>
  <c r="H31" i="87"/>
  <c r="I16" i="87" s="1"/>
  <c r="AM52" i="87"/>
  <c r="AO49" i="87"/>
  <c r="AO52" i="87" s="1"/>
  <c r="Y28" i="87"/>
  <c r="AC28" i="87"/>
  <c r="AG28" i="87"/>
  <c r="AL31" i="87"/>
  <c r="F34" i="87"/>
  <c r="AN34" i="87"/>
  <c r="AN53" i="87" s="1"/>
  <c r="AX38" i="87"/>
  <c r="BI38" i="87"/>
  <c r="AA28" i="87"/>
  <c r="AE28" i="87"/>
  <c r="Q38" i="87"/>
  <c r="X28" i="87"/>
  <c r="H38" i="87"/>
  <c r="AC31" i="86"/>
  <c r="AB31" i="86"/>
  <c r="AN31" i="86"/>
  <c r="AN34" i="86" s="1"/>
  <c r="AG31" i="86"/>
  <c r="BI38" i="86" s="1"/>
  <c r="AE31" i="86"/>
  <c r="AD31" i="86"/>
  <c r="AD28" i="86" s="1"/>
  <c r="BF28" i="86" s="1"/>
  <c r="AA31" i="86"/>
  <c r="Y31" i="86"/>
  <c r="X31" i="86"/>
  <c r="O31" i="86"/>
  <c r="AX38" i="86" s="1"/>
  <c r="N31" i="86"/>
  <c r="N28" i="86" s="1"/>
  <c r="AW28" i="86" s="1"/>
  <c r="AW28" i="87" s="1"/>
  <c r="L31" i="86"/>
  <c r="M38" i="86" s="1"/>
  <c r="AN52" i="86"/>
  <c r="AM49" i="86"/>
  <c r="AO49" i="86" s="1"/>
  <c r="AM46" i="86"/>
  <c r="AO45" i="86"/>
  <c r="AH38" i="86"/>
  <c r="G38" i="86"/>
  <c r="BA31" i="86"/>
  <c r="AQ31" i="86"/>
  <c r="AP31" i="86"/>
  <c r="AH31" i="86"/>
  <c r="BJ38" i="86" s="1"/>
  <c r="T31" i="86"/>
  <c r="P31" i="86"/>
  <c r="G31" i="86"/>
  <c r="AR38" i="86" s="1"/>
  <c r="F31" i="86"/>
  <c r="U28" i="86"/>
  <c r="K28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3" i="86"/>
  <c r="H12" i="86"/>
  <c r="O28" i="86" l="1"/>
  <c r="Q28" i="86" s="1"/>
  <c r="Q38" i="86"/>
  <c r="BF28" i="87"/>
  <c r="AW38" i="86"/>
  <c r="L28" i="86"/>
  <c r="AU28" i="86" s="1"/>
  <c r="AE28" i="86"/>
  <c r="BG28" i="86" s="1"/>
  <c r="BG28" i="87" s="1"/>
  <c r="AG28" i="86"/>
  <c r="AL31" i="86"/>
  <c r="M28" i="87"/>
  <c r="R28" i="87" s="1"/>
  <c r="Y28" i="86"/>
  <c r="AC28" i="86"/>
  <c r="BE28" i="86" s="1"/>
  <c r="BE28" i="87" s="1"/>
  <c r="F34" i="86"/>
  <c r="AK31" i="86"/>
  <c r="Z28" i="87"/>
  <c r="I27" i="87"/>
  <c r="K27" i="87" s="1"/>
  <c r="I25" i="87"/>
  <c r="N25" i="87" s="1"/>
  <c r="I18" i="87"/>
  <c r="N18" i="87" s="1"/>
  <c r="I21" i="87"/>
  <c r="K21" i="87" s="1"/>
  <c r="I22" i="87"/>
  <c r="I15" i="87"/>
  <c r="O15" i="87" s="1"/>
  <c r="I23" i="87"/>
  <c r="U23" i="87" s="1"/>
  <c r="I19" i="87"/>
  <c r="N19" i="87" s="1"/>
  <c r="I14" i="87"/>
  <c r="L14" i="87" s="1"/>
  <c r="O16" i="87"/>
  <c r="L16" i="87"/>
  <c r="U16" i="87"/>
  <c r="K16" i="87"/>
  <c r="N16" i="87"/>
  <c r="AI28" i="87"/>
  <c r="I24" i="87"/>
  <c r="I26" i="87"/>
  <c r="I20" i="87"/>
  <c r="N14" i="87"/>
  <c r="K14" i="87"/>
  <c r="O14" i="87"/>
  <c r="U14" i="87"/>
  <c r="N22" i="87"/>
  <c r="L22" i="87"/>
  <c r="U22" i="87"/>
  <c r="O22" i="87"/>
  <c r="K22" i="87"/>
  <c r="H42" i="87"/>
  <c r="I12" i="87"/>
  <c r="I17" i="87"/>
  <c r="I13" i="87"/>
  <c r="AB28" i="86"/>
  <c r="BD28" i="86" s="1"/>
  <c r="BD28" i="87" s="1"/>
  <c r="AO52" i="86"/>
  <c r="AM52" i="86"/>
  <c r="G42" i="86"/>
  <c r="H31" i="86"/>
  <c r="I23" i="86" s="1"/>
  <c r="X28" i="86"/>
  <c r="AN53" i="86"/>
  <c r="AH42" i="86"/>
  <c r="P38" i="86"/>
  <c r="P42" i="86" s="1"/>
  <c r="AY38" i="86"/>
  <c r="AA28" i="86"/>
  <c r="BC28" i="86" s="1"/>
  <c r="BC28" i="87" s="1"/>
  <c r="H38" i="86"/>
  <c r="Y31" i="85"/>
  <c r="X31" i="85"/>
  <c r="AK31" i="85" s="1"/>
  <c r="AN51" i="85"/>
  <c r="AM49" i="85"/>
  <c r="AO49" i="85" s="1"/>
  <c r="AM46" i="85"/>
  <c r="AO45" i="85"/>
  <c r="BI38" i="85"/>
  <c r="AX38" i="85"/>
  <c r="AW38" i="85"/>
  <c r="AH38" i="85"/>
  <c r="M38" i="85"/>
  <c r="G38" i="85"/>
  <c r="BA31" i="85"/>
  <c r="AQ31" i="85"/>
  <c r="AP31" i="85"/>
  <c r="AN31" i="85"/>
  <c r="AN34" i="85" s="1"/>
  <c r="AH31" i="85"/>
  <c r="AL31" i="85" s="1"/>
  <c r="T31" i="85"/>
  <c r="P31" i="85"/>
  <c r="Q38" i="85" s="1"/>
  <c r="G31" i="85"/>
  <c r="G42" i="85" s="1"/>
  <c r="F31" i="85"/>
  <c r="AG28" i="85"/>
  <c r="AD28" i="85"/>
  <c r="U28" i="85"/>
  <c r="AB28" i="85" s="1"/>
  <c r="O28" i="85"/>
  <c r="N28" i="85"/>
  <c r="L28" i="85"/>
  <c r="K28" i="85"/>
  <c r="H28" i="85"/>
  <c r="H27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3" i="85"/>
  <c r="H12" i="85"/>
  <c r="AX28" i="86" l="1"/>
  <c r="AU28" i="87"/>
  <c r="AV28" i="87" s="1"/>
  <c r="AV28" i="86"/>
  <c r="M28" i="86"/>
  <c r="R28" i="86" s="1"/>
  <c r="AI28" i="86"/>
  <c r="BI28" i="86"/>
  <c r="AX28" i="87"/>
  <c r="AZ28" i="87" s="1"/>
  <c r="AZ28" i="86"/>
  <c r="Z28" i="86"/>
  <c r="BB28" i="86" s="1"/>
  <c r="Y28" i="85"/>
  <c r="AC28" i="85"/>
  <c r="N23" i="87"/>
  <c r="AF28" i="87"/>
  <c r="AJ28" i="87" s="1"/>
  <c r="AM28" i="87" s="1"/>
  <c r="O25" i="87"/>
  <c r="O27" i="87"/>
  <c r="U27" i="87"/>
  <c r="AG27" i="87" s="1"/>
  <c r="L27" i="87"/>
  <c r="N27" i="87"/>
  <c r="N21" i="87"/>
  <c r="K25" i="87"/>
  <c r="U25" i="87"/>
  <c r="AE25" i="87" s="1"/>
  <c r="L25" i="87"/>
  <c r="L23" i="87"/>
  <c r="U18" i="87"/>
  <c r="AG18" i="87" s="1"/>
  <c r="K18" i="87"/>
  <c r="O23" i="87"/>
  <c r="L18" i="87"/>
  <c r="K23" i="87"/>
  <c r="O18" i="87"/>
  <c r="L21" i="87"/>
  <c r="U21" i="87"/>
  <c r="AE21" i="87" s="1"/>
  <c r="O19" i="87"/>
  <c r="Q19" i="87" s="1"/>
  <c r="O21" i="87"/>
  <c r="U19" i="87"/>
  <c r="AE19" i="87" s="1"/>
  <c r="K19" i="87"/>
  <c r="L19" i="87"/>
  <c r="K15" i="87"/>
  <c r="U15" i="87"/>
  <c r="AA15" i="87" s="1"/>
  <c r="L15" i="87"/>
  <c r="N15" i="87"/>
  <c r="AD27" i="87"/>
  <c r="AE27" i="87"/>
  <c r="L13" i="87"/>
  <c r="K13" i="87"/>
  <c r="O13" i="87"/>
  <c r="N13" i="87"/>
  <c r="U13" i="87"/>
  <c r="M14" i="87"/>
  <c r="O17" i="87"/>
  <c r="L17" i="87"/>
  <c r="U17" i="87"/>
  <c r="K17" i="87"/>
  <c r="N17" i="87"/>
  <c r="AD22" i="87"/>
  <c r="AA22" i="87"/>
  <c r="AG22" i="87"/>
  <c r="AB22" i="87"/>
  <c r="Y22" i="87"/>
  <c r="AE22" i="87"/>
  <c r="AC22" i="87"/>
  <c r="X22" i="87"/>
  <c r="AD18" i="87"/>
  <c r="AA18" i="87"/>
  <c r="Y18" i="87"/>
  <c r="X18" i="87"/>
  <c r="N26" i="87"/>
  <c r="U26" i="87"/>
  <c r="O26" i="87"/>
  <c r="K26" i="87"/>
  <c r="L26" i="87"/>
  <c r="AD23" i="87"/>
  <c r="AC23" i="87"/>
  <c r="AG23" i="87"/>
  <c r="AB23" i="87"/>
  <c r="AE23" i="87"/>
  <c r="Y23" i="87"/>
  <c r="X23" i="87"/>
  <c r="AA23" i="87"/>
  <c r="M16" i="87"/>
  <c r="AB14" i="87"/>
  <c r="X14" i="87"/>
  <c r="Y14" i="87"/>
  <c r="AG14" i="87"/>
  <c r="AC14" i="87"/>
  <c r="AA14" i="87"/>
  <c r="AE14" i="87"/>
  <c r="AD14" i="87"/>
  <c r="N24" i="87"/>
  <c r="U24" i="87"/>
  <c r="O24" i="87"/>
  <c r="K24" i="87"/>
  <c r="L24" i="87"/>
  <c r="Q15" i="87"/>
  <c r="AE16" i="87"/>
  <c r="AA16" i="87"/>
  <c r="AB16" i="87"/>
  <c r="X16" i="87"/>
  <c r="Y16" i="87"/>
  <c r="AD16" i="87"/>
  <c r="AC16" i="87"/>
  <c r="AG16" i="87"/>
  <c r="M22" i="87"/>
  <c r="Q14" i="87"/>
  <c r="I31" i="87"/>
  <c r="I42" i="87" s="1"/>
  <c r="L12" i="87"/>
  <c r="K12" i="87"/>
  <c r="U12" i="87"/>
  <c r="N12" i="87"/>
  <c r="O12" i="87"/>
  <c r="Q22" i="87"/>
  <c r="N20" i="87"/>
  <c r="U20" i="87"/>
  <c r="L20" i="87"/>
  <c r="K20" i="87"/>
  <c r="O20" i="87"/>
  <c r="X15" i="87"/>
  <c r="Q16" i="87"/>
  <c r="I17" i="86"/>
  <c r="O17" i="86" s="1"/>
  <c r="I12" i="86"/>
  <c r="K12" i="86" s="1"/>
  <c r="I18" i="86"/>
  <c r="N18" i="86" s="1"/>
  <c r="AW18" i="86" s="1"/>
  <c r="AW18" i="87" s="1"/>
  <c r="I15" i="86"/>
  <c r="N15" i="86" s="1"/>
  <c r="I19" i="86"/>
  <c r="N19" i="86" s="1"/>
  <c r="AW19" i="86" s="1"/>
  <c r="AW19" i="87" s="1"/>
  <c r="I16" i="86"/>
  <c r="O16" i="86" s="1"/>
  <c r="I13" i="86"/>
  <c r="U13" i="86" s="1"/>
  <c r="I14" i="86"/>
  <c r="L14" i="86" s="1"/>
  <c r="I20" i="86"/>
  <c r="N20" i="86" s="1"/>
  <c r="AW20" i="86" s="1"/>
  <c r="AW20" i="87" s="1"/>
  <c r="I21" i="86"/>
  <c r="U21" i="86" s="1"/>
  <c r="I22" i="86"/>
  <c r="L22" i="86" s="1"/>
  <c r="AU22" i="86" s="1"/>
  <c r="AF28" i="86"/>
  <c r="L12" i="86"/>
  <c r="H42" i="86"/>
  <c r="I27" i="86"/>
  <c r="I26" i="86"/>
  <c r="I25" i="86"/>
  <c r="I24" i="86"/>
  <c r="L24" i="86" s="1"/>
  <c r="AU24" i="86" s="1"/>
  <c r="L17" i="86"/>
  <c r="K17" i="86"/>
  <c r="U23" i="86"/>
  <c r="O23" i="86"/>
  <c r="AX23" i="86" s="1"/>
  <c r="K23" i="86"/>
  <c r="N23" i="86"/>
  <c r="AW23" i="86" s="1"/>
  <c r="L23" i="86"/>
  <c r="AU23" i="86" s="1"/>
  <c r="AN52" i="85"/>
  <c r="AI28" i="85"/>
  <c r="AO51" i="85"/>
  <c r="Q28" i="85"/>
  <c r="AH42" i="85"/>
  <c r="AY38" i="85"/>
  <c r="H31" i="85"/>
  <c r="I14" i="85" s="1"/>
  <c r="M28" i="85"/>
  <c r="R28" i="85" s="1"/>
  <c r="H38" i="85"/>
  <c r="F34" i="85"/>
  <c r="P38" i="85"/>
  <c r="P42" i="85" s="1"/>
  <c r="AM51" i="85"/>
  <c r="AR38" i="85"/>
  <c r="BJ38" i="85"/>
  <c r="AA28" i="85"/>
  <c r="AE28" i="85"/>
  <c r="X28" i="85"/>
  <c r="Z28" i="85" s="1"/>
  <c r="Y31" i="84"/>
  <c r="AL31" i="84" s="1"/>
  <c r="AD31" i="84"/>
  <c r="AK31" i="84" s="1"/>
  <c r="X31" i="84"/>
  <c r="AN51" i="84"/>
  <c r="AM49" i="84"/>
  <c r="AO49" i="84" s="1"/>
  <c r="AM46" i="84"/>
  <c r="AO45" i="84"/>
  <c r="AX38" i="84"/>
  <c r="AW38" i="84"/>
  <c r="AH38" i="84"/>
  <c r="M38" i="84"/>
  <c r="G38" i="84"/>
  <c r="BA31" i="84"/>
  <c r="AQ31" i="84"/>
  <c r="AP31" i="84"/>
  <c r="AN31" i="84"/>
  <c r="AH31" i="84"/>
  <c r="T31" i="84"/>
  <c r="P31" i="84"/>
  <c r="Q38" i="84" s="1"/>
  <c r="G31" i="84"/>
  <c r="F31" i="84"/>
  <c r="AA28" i="84"/>
  <c r="U28" i="84"/>
  <c r="O28" i="84"/>
  <c r="Q28" i="84" s="1"/>
  <c r="N28" i="84"/>
  <c r="L28" i="84"/>
  <c r="K28" i="84"/>
  <c r="H28" i="84"/>
  <c r="H27" i="84"/>
  <c r="H26" i="84"/>
  <c r="H25" i="84"/>
  <c r="H24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AJ28" i="86" l="1"/>
  <c r="AW23" i="87"/>
  <c r="AU23" i="87"/>
  <c r="AV23" i="87" s="1"/>
  <c r="AV23" i="86"/>
  <c r="AU24" i="87"/>
  <c r="AV24" i="87" s="1"/>
  <c r="AV24" i="86"/>
  <c r="AV22" i="86"/>
  <c r="AU22" i="87"/>
  <c r="AV22" i="87" s="1"/>
  <c r="BI28" i="87"/>
  <c r="BK28" i="87" s="1"/>
  <c r="BK28" i="86"/>
  <c r="AX23" i="87"/>
  <c r="AZ23" i="87" s="1"/>
  <c r="AZ23" i="86"/>
  <c r="BB28" i="87"/>
  <c r="BH28" i="87" s="1"/>
  <c r="BH28" i="86"/>
  <c r="Q25" i="87"/>
  <c r="AD15" i="87"/>
  <c r="AD28" i="84"/>
  <c r="N17" i="86"/>
  <c r="AC15" i="87"/>
  <c r="AE15" i="87"/>
  <c r="Y15" i="87"/>
  <c r="Z15" i="87" s="1"/>
  <c r="Y21" i="87"/>
  <c r="Q18" i="87"/>
  <c r="AB15" i="87"/>
  <c r="AG15" i="87"/>
  <c r="Q23" i="87"/>
  <c r="L15" i="86"/>
  <c r="X24" i="87"/>
  <c r="AC24" i="87"/>
  <c r="AB24" i="87"/>
  <c r="AE24" i="87"/>
  <c r="AD24" i="87"/>
  <c r="Y24" i="87"/>
  <c r="Q21" i="87"/>
  <c r="I24" i="85"/>
  <c r="Q27" i="87"/>
  <c r="AD21" i="87"/>
  <c r="AG25" i="87"/>
  <c r="AI25" i="87" s="1"/>
  <c r="AB27" i="87"/>
  <c r="AD25" i="87"/>
  <c r="Y27" i="87"/>
  <c r="AG21" i="87"/>
  <c r="X21" i="87"/>
  <c r="M15" i="87"/>
  <c r="AA21" i="87"/>
  <c r="AC21" i="87"/>
  <c r="M23" i="87"/>
  <c r="AB21" i="87"/>
  <c r="AC19" i="87"/>
  <c r="AD19" i="87"/>
  <c r="M25" i="87"/>
  <c r="R25" i="87" s="1"/>
  <c r="AC25" i="87"/>
  <c r="AC18" i="87"/>
  <c r="AB18" i="87"/>
  <c r="AB25" i="87"/>
  <c r="M27" i="87"/>
  <c r="X27" i="87"/>
  <c r="AC27" i="87"/>
  <c r="M19" i="87"/>
  <c r="R19" i="87" s="1"/>
  <c r="AE18" i="87"/>
  <c r="X25" i="87"/>
  <c r="AA25" i="87"/>
  <c r="AA27" i="87"/>
  <c r="Y25" i="87"/>
  <c r="AB19" i="87"/>
  <c r="X19" i="87"/>
  <c r="AA19" i="87"/>
  <c r="Y19" i="87"/>
  <c r="AG19" i="87"/>
  <c r="M21" i="87"/>
  <c r="M18" i="87"/>
  <c r="R18" i="87" s="1"/>
  <c r="Z18" i="87"/>
  <c r="R22" i="87"/>
  <c r="Z14" i="87"/>
  <c r="Z22" i="87"/>
  <c r="Z23" i="87"/>
  <c r="L38" i="87"/>
  <c r="L42" i="87" s="1"/>
  <c r="N38" i="87"/>
  <c r="N42" i="87" s="1"/>
  <c r="M20" i="87"/>
  <c r="U31" i="87"/>
  <c r="U42" i="87" s="1"/>
  <c r="AB12" i="87"/>
  <c r="X12" i="87"/>
  <c r="AG12" i="87"/>
  <c r="AA12" i="87"/>
  <c r="AD12" i="87"/>
  <c r="Y12" i="87"/>
  <c r="AC12" i="87"/>
  <c r="AE12" i="87"/>
  <c r="R15" i="87"/>
  <c r="AI16" i="87"/>
  <c r="Z16" i="87"/>
  <c r="Q24" i="87"/>
  <c r="M26" i="87"/>
  <c r="Q17" i="87"/>
  <c r="M13" i="87"/>
  <c r="AD20" i="87"/>
  <c r="AG20" i="87"/>
  <c r="AB20" i="87"/>
  <c r="AA20" i="87"/>
  <c r="AE20" i="87"/>
  <c r="Y20" i="87"/>
  <c r="X20" i="87"/>
  <c r="AC20" i="87"/>
  <c r="K38" i="87"/>
  <c r="K42" i="87" s="1"/>
  <c r="M12" i="87"/>
  <c r="AA24" i="87"/>
  <c r="AG24" i="87"/>
  <c r="Q26" i="87"/>
  <c r="AI18" i="87"/>
  <c r="M17" i="87"/>
  <c r="AB13" i="87"/>
  <c r="X13" i="87"/>
  <c r="AC13" i="87"/>
  <c r="Y13" i="87"/>
  <c r="AG13" i="87"/>
  <c r="AA13" i="87"/>
  <c r="AE13" i="87"/>
  <c r="AD13" i="87"/>
  <c r="AI23" i="87"/>
  <c r="AD26" i="87"/>
  <c r="AG26" i="87"/>
  <c r="AC26" i="87"/>
  <c r="Y26" i="87"/>
  <c r="AE26" i="87"/>
  <c r="AA26" i="87"/>
  <c r="X26" i="87"/>
  <c r="AB26" i="87"/>
  <c r="AB17" i="87"/>
  <c r="X17" i="87"/>
  <c r="AE17" i="87"/>
  <c r="AA17" i="87"/>
  <c r="AD17" i="87"/>
  <c r="AC17" i="87"/>
  <c r="AG17" i="87"/>
  <c r="Y17" i="87"/>
  <c r="AI27" i="87"/>
  <c r="O38" i="87"/>
  <c r="O42" i="87" s="1"/>
  <c r="Q12" i="87"/>
  <c r="Q20" i="87"/>
  <c r="M24" i="87"/>
  <c r="R24" i="87" s="1"/>
  <c r="AI14" i="87"/>
  <c r="R16" i="87"/>
  <c r="AI22" i="87"/>
  <c r="R14" i="87"/>
  <c r="Q13" i="87"/>
  <c r="K16" i="86"/>
  <c r="U18" i="86"/>
  <c r="K18" i="86"/>
  <c r="N13" i="86"/>
  <c r="L18" i="86"/>
  <c r="AU18" i="86" s="1"/>
  <c r="O18" i="86"/>
  <c r="AX18" i="86" s="1"/>
  <c r="U22" i="86"/>
  <c r="K13" i="86"/>
  <c r="O13" i="86"/>
  <c r="U15" i="86"/>
  <c r="O15" i="86"/>
  <c r="N22" i="86"/>
  <c r="AW22" i="86" s="1"/>
  <c r="AW22" i="87" s="1"/>
  <c r="K15" i="86"/>
  <c r="L16" i="86"/>
  <c r="U12" i="86"/>
  <c r="AD12" i="86" s="1"/>
  <c r="U17" i="86"/>
  <c r="AC17" i="86" s="1"/>
  <c r="U16" i="86"/>
  <c r="AE16" i="86" s="1"/>
  <c r="N16" i="86"/>
  <c r="O21" i="86"/>
  <c r="AX21" i="86" s="1"/>
  <c r="O12" i="86"/>
  <c r="L21" i="86"/>
  <c r="AU21" i="86" s="1"/>
  <c r="K21" i="86"/>
  <c r="N12" i="86"/>
  <c r="N21" i="86"/>
  <c r="AW21" i="86" s="1"/>
  <c r="AW21" i="87" s="1"/>
  <c r="O14" i="86"/>
  <c r="K22" i="86"/>
  <c r="K19" i="86"/>
  <c r="L13" i="86"/>
  <c r="O19" i="86"/>
  <c r="AX19" i="86" s="1"/>
  <c r="L19" i="86"/>
  <c r="AU19" i="86" s="1"/>
  <c r="U19" i="86"/>
  <c r="U20" i="86"/>
  <c r="AA20" i="86" s="1"/>
  <c r="BC20" i="86" s="1"/>
  <c r="K14" i="86"/>
  <c r="O22" i="86"/>
  <c r="AX22" i="86" s="1"/>
  <c r="K20" i="86"/>
  <c r="L20" i="86"/>
  <c r="AU20" i="86" s="1"/>
  <c r="U14" i="86"/>
  <c r="AA14" i="86" s="1"/>
  <c r="N14" i="86"/>
  <c r="O20" i="86"/>
  <c r="AX20" i="86" s="1"/>
  <c r="I31" i="86"/>
  <c r="I42" i="86" s="1"/>
  <c r="AE23" i="86"/>
  <c r="BG23" i="86" s="1"/>
  <c r="BG23" i="87" s="1"/>
  <c r="AA23" i="86"/>
  <c r="BC23" i="86" s="1"/>
  <c r="BC23" i="87" s="1"/>
  <c r="AB23" i="86"/>
  <c r="BD23" i="86" s="1"/>
  <c r="BD23" i="87" s="1"/>
  <c r="AD23" i="86"/>
  <c r="BF23" i="86" s="1"/>
  <c r="BF23" i="87" s="1"/>
  <c r="Y23" i="86"/>
  <c r="AC23" i="86"/>
  <c r="BE23" i="86" s="1"/>
  <c r="BE23" i="87" s="1"/>
  <c r="X23" i="86"/>
  <c r="AG23" i="86"/>
  <c r="BI23" i="86" s="1"/>
  <c r="L27" i="86"/>
  <c r="AU27" i="86" s="1"/>
  <c r="U27" i="86"/>
  <c r="O27" i="86"/>
  <c r="AX27" i="86" s="1"/>
  <c r="K27" i="86"/>
  <c r="N27" i="86"/>
  <c r="AW27" i="86" s="1"/>
  <c r="AW27" i="87" s="1"/>
  <c r="M22" i="86"/>
  <c r="AD13" i="86"/>
  <c r="AC13" i="86"/>
  <c r="X13" i="86"/>
  <c r="AG13" i="86"/>
  <c r="AB13" i="86"/>
  <c r="AA13" i="86"/>
  <c r="AE13" i="86"/>
  <c r="Y13" i="86"/>
  <c r="Q23" i="86"/>
  <c r="AC15" i="86"/>
  <c r="AG15" i="86"/>
  <c r="L26" i="86"/>
  <c r="AU26" i="86" s="1"/>
  <c r="U26" i="86"/>
  <c r="O26" i="86"/>
  <c r="AX26" i="86" s="1"/>
  <c r="K26" i="86"/>
  <c r="N26" i="86"/>
  <c r="AW26" i="86" s="1"/>
  <c r="AW26" i="87" s="1"/>
  <c r="Q16" i="86"/>
  <c r="AM28" i="86"/>
  <c r="Q17" i="86"/>
  <c r="U24" i="86"/>
  <c r="O24" i="86"/>
  <c r="AX24" i="86" s="1"/>
  <c r="K24" i="86"/>
  <c r="N24" i="86"/>
  <c r="AW24" i="86" s="1"/>
  <c r="AW24" i="87" s="1"/>
  <c r="AD22" i="86"/>
  <c r="BF22" i="86" s="1"/>
  <c r="BF22" i="87" s="1"/>
  <c r="AB21" i="86"/>
  <c r="BD21" i="86" s="1"/>
  <c r="X21" i="86"/>
  <c r="AD21" i="86"/>
  <c r="BF21" i="86" s="1"/>
  <c r="AC21" i="86"/>
  <c r="BE21" i="86" s="1"/>
  <c r="BE21" i="87" s="1"/>
  <c r="AA21" i="86"/>
  <c r="BC21" i="86" s="1"/>
  <c r="AG21" i="86"/>
  <c r="BI21" i="86" s="1"/>
  <c r="Y21" i="86"/>
  <c r="AE21" i="86"/>
  <c r="BG21" i="86" s="1"/>
  <c r="BG21" i="87" s="1"/>
  <c r="AE12" i="86"/>
  <c r="AG12" i="86"/>
  <c r="X19" i="86"/>
  <c r="M12" i="86"/>
  <c r="M23" i="86"/>
  <c r="M17" i="86"/>
  <c r="AB18" i="86"/>
  <c r="BD18" i="86" s="1"/>
  <c r="X18" i="86"/>
  <c r="AD18" i="86"/>
  <c r="BF18" i="86" s="1"/>
  <c r="BF18" i="87" s="1"/>
  <c r="AE18" i="86"/>
  <c r="BG18" i="86" s="1"/>
  <c r="AC18" i="86"/>
  <c r="BE18" i="86" s="1"/>
  <c r="AA18" i="86"/>
  <c r="BC18" i="86" s="1"/>
  <c r="BC18" i="87" s="1"/>
  <c r="AG18" i="86"/>
  <c r="BI18" i="86" s="1"/>
  <c r="Y18" i="86"/>
  <c r="L25" i="86"/>
  <c r="AU25" i="86" s="1"/>
  <c r="U25" i="86"/>
  <c r="O25" i="86"/>
  <c r="AX25" i="86" s="1"/>
  <c r="K25" i="86"/>
  <c r="N25" i="86"/>
  <c r="AW25" i="86" s="1"/>
  <c r="AW25" i="87" s="1"/>
  <c r="I21" i="85"/>
  <c r="I25" i="85"/>
  <c r="L25" i="85" s="1"/>
  <c r="I19" i="85"/>
  <c r="U19" i="85" s="1"/>
  <c r="I27" i="85"/>
  <c r="I16" i="85"/>
  <c r="I13" i="85"/>
  <c r="L13" i="85" s="1"/>
  <c r="I20" i="85"/>
  <c r="O20" i="85" s="1"/>
  <c r="I15" i="85"/>
  <c r="N24" i="85"/>
  <c r="I22" i="85"/>
  <c r="N22" i="85" s="1"/>
  <c r="I26" i="85"/>
  <c r="L26" i="85" s="1"/>
  <c r="I17" i="85"/>
  <c r="L17" i="85" s="1"/>
  <c r="I12" i="85"/>
  <c r="I23" i="85"/>
  <c r="N23" i="85" s="1"/>
  <c r="I18" i="85"/>
  <c r="K18" i="85" s="1"/>
  <c r="L21" i="85"/>
  <c r="U14" i="85"/>
  <c r="O14" i="85"/>
  <c r="K14" i="85"/>
  <c r="N14" i="85"/>
  <c r="L14" i="85"/>
  <c r="AF28" i="85"/>
  <c r="AJ28" i="85" s="1"/>
  <c r="AM28" i="85" s="1"/>
  <c r="N27" i="85"/>
  <c r="U27" i="85"/>
  <c r="K27" i="85"/>
  <c r="L27" i="85"/>
  <c r="O27" i="85"/>
  <c r="U17" i="85"/>
  <c r="O17" i="85"/>
  <c r="K17" i="85"/>
  <c r="N17" i="85"/>
  <c r="L24" i="85"/>
  <c r="K26" i="85"/>
  <c r="K19" i="85"/>
  <c r="U15" i="85"/>
  <c r="O15" i="85"/>
  <c r="N15" i="85"/>
  <c r="H42" i="85"/>
  <c r="AO51" i="84"/>
  <c r="M28" i="84"/>
  <c r="R28" i="84" s="1"/>
  <c r="AH42" i="84"/>
  <c r="H31" i="84"/>
  <c r="I14" i="84" s="1"/>
  <c r="BJ38" i="84"/>
  <c r="AN34" i="84"/>
  <c r="AN52" i="84" s="1"/>
  <c r="P38" i="84"/>
  <c r="P42" i="84" s="1"/>
  <c r="G42" i="84"/>
  <c r="AM51" i="84"/>
  <c r="AB28" i="84"/>
  <c r="X28" i="84"/>
  <c r="Z28" i="84" s="1"/>
  <c r="AG28" i="84"/>
  <c r="AC28" i="84"/>
  <c r="Y28" i="84"/>
  <c r="AE28" i="84"/>
  <c r="AR38" i="84"/>
  <c r="AY38" i="84"/>
  <c r="F34" i="84"/>
  <c r="BI38" i="84"/>
  <c r="H38" i="84"/>
  <c r="AN31" i="83"/>
  <c r="AH31" i="83"/>
  <c r="Y31" i="83"/>
  <c r="AG31" i="83"/>
  <c r="AK31" i="83"/>
  <c r="X31" i="83"/>
  <c r="AN51" i="83"/>
  <c r="AM49" i="83"/>
  <c r="AM46" i="83"/>
  <c r="AO45" i="83"/>
  <c r="BJ38" i="83"/>
  <c r="AX38" i="83"/>
  <c r="AW38" i="83"/>
  <c r="AH38" i="83"/>
  <c r="G38" i="83"/>
  <c r="BA31" i="83"/>
  <c r="AQ31" i="83"/>
  <c r="AP31" i="83"/>
  <c r="T31" i="83"/>
  <c r="P31" i="83"/>
  <c r="Q38" i="83" s="1"/>
  <c r="M38" i="83"/>
  <c r="G31" i="83"/>
  <c r="F31" i="83"/>
  <c r="U28" i="83"/>
  <c r="AE28" i="83" s="1"/>
  <c r="O28" i="83"/>
  <c r="N28" i="83"/>
  <c r="M28" i="83"/>
  <c r="L28" i="83"/>
  <c r="K28" i="83"/>
  <c r="H28" i="83"/>
  <c r="H27" i="83"/>
  <c r="H26" i="83"/>
  <c r="H25" i="83"/>
  <c r="H24" i="83"/>
  <c r="H23" i="83"/>
  <c r="H22" i="83"/>
  <c r="H21" i="83"/>
  <c r="H20" i="83"/>
  <c r="H19" i="83"/>
  <c r="H18" i="83"/>
  <c r="H17" i="83"/>
  <c r="H16" i="83"/>
  <c r="H15" i="83"/>
  <c r="H14" i="83"/>
  <c r="H13" i="83"/>
  <c r="H12" i="83"/>
  <c r="BE18" i="87" l="1"/>
  <c r="R21" i="87"/>
  <c r="S186" i="88" s="1"/>
  <c r="BM28" i="87"/>
  <c r="BD21" i="87"/>
  <c r="Z184" i="88" s="1"/>
  <c r="BG18" i="87"/>
  <c r="BD18" i="87"/>
  <c r="BC20" i="87"/>
  <c r="BC21" i="87"/>
  <c r="Y184" i="88" s="1"/>
  <c r="Z21" i="87"/>
  <c r="AF21" i="87" s="1"/>
  <c r="BF21" i="87"/>
  <c r="AA184" i="88" s="1"/>
  <c r="R27" i="87"/>
  <c r="AU20" i="87"/>
  <c r="AV20" i="87" s="1"/>
  <c r="AV20" i="86"/>
  <c r="AU25" i="87"/>
  <c r="AV25" i="87" s="1"/>
  <c r="AV25" i="86"/>
  <c r="AU18" i="87"/>
  <c r="AV18" i="87" s="1"/>
  <c r="AV18" i="86"/>
  <c r="AU26" i="87"/>
  <c r="AV26" i="87" s="1"/>
  <c r="AV26" i="86"/>
  <c r="AU21" i="87"/>
  <c r="AV21" i="87" s="1"/>
  <c r="AV21" i="86"/>
  <c r="AU19" i="87"/>
  <c r="AV19" i="87" s="1"/>
  <c r="AV19" i="86"/>
  <c r="AU27" i="87"/>
  <c r="AV27" i="87" s="1"/>
  <c r="AV27" i="86"/>
  <c r="BI21" i="87"/>
  <c r="AC184" i="88" s="1"/>
  <c r="BK21" i="86"/>
  <c r="BI23" i="87"/>
  <c r="BK23" i="87" s="1"/>
  <c r="BK23" i="86"/>
  <c r="AZ18" i="86"/>
  <c r="AX18" i="87"/>
  <c r="AZ18" i="87" s="1"/>
  <c r="AZ19" i="86"/>
  <c r="AX19" i="87"/>
  <c r="AZ19" i="87" s="1"/>
  <c r="AZ22" i="86"/>
  <c r="AX22" i="87"/>
  <c r="AZ22" i="87" s="1"/>
  <c r="AX24" i="87"/>
  <c r="AZ24" i="87" s="1"/>
  <c r="AZ24" i="86"/>
  <c r="AX27" i="87"/>
  <c r="AZ27" i="87" s="1"/>
  <c r="AZ27" i="86"/>
  <c r="AX20" i="87"/>
  <c r="AZ20" i="87" s="1"/>
  <c r="AZ20" i="86"/>
  <c r="BK18" i="86"/>
  <c r="BI18" i="87"/>
  <c r="BK18" i="87" s="1"/>
  <c r="AZ26" i="86"/>
  <c r="AX26" i="87"/>
  <c r="AZ26" i="87" s="1"/>
  <c r="AX25" i="87"/>
  <c r="AZ25" i="87" s="1"/>
  <c r="AZ25" i="86"/>
  <c r="AX21" i="87"/>
  <c r="AZ21" i="87" s="1"/>
  <c r="AZ21" i="86"/>
  <c r="R23" i="87"/>
  <c r="AI15" i="87"/>
  <c r="K15" i="85"/>
  <c r="L15" i="85"/>
  <c r="K12" i="85"/>
  <c r="U12" i="85"/>
  <c r="U21" i="85"/>
  <c r="K21" i="85"/>
  <c r="AG19" i="86"/>
  <c r="BI19" i="86" s="1"/>
  <c r="AE19" i="86"/>
  <c r="BG19" i="86" s="1"/>
  <c r="BG19" i="87" s="1"/>
  <c r="M15" i="86"/>
  <c r="AB22" i="86"/>
  <c r="BD22" i="86" s="1"/>
  <c r="BD22" i="87" s="1"/>
  <c r="AG22" i="86"/>
  <c r="AB28" i="83"/>
  <c r="N21" i="85"/>
  <c r="K16" i="85"/>
  <c r="O16" i="85"/>
  <c r="AD28" i="83"/>
  <c r="O21" i="85"/>
  <c r="X15" i="86"/>
  <c r="AA15" i="86"/>
  <c r="Y15" i="86"/>
  <c r="AD15" i="86"/>
  <c r="AF22" i="87"/>
  <c r="AJ22" i="87" s="1"/>
  <c r="AM22" i="87" s="1"/>
  <c r="AL31" i="83"/>
  <c r="AC24" i="86"/>
  <c r="BE24" i="86" s="1"/>
  <c r="BE24" i="87" s="1"/>
  <c r="AB24" i="86"/>
  <c r="BD24" i="86" s="1"/>
  <c r="BD24" i="87" s="1"/>
  <c r="AA24" i="86"/>
  <c r="BC24" i="86" s="1"/>
  <c r="BC24" i="87" s="1"/>
  <c r="AE24" i="86"/>
  <c r="BG24" i="86" s="1"/>
  <c r="BG24" i="87" s="1"/>
  <c r="X24" i="86"/>
  <c r="AG24" i="86"/>
  <c r="BI24" i="86" s="1"/>
  <c r="Z27" i="87"/>
  <c r="AI19" i="87"/>
  <c r="AI21" i="87"/>
  <c r="AF23" i="87"/>
  <c r="AJ23" i="87" s="1"/>
  <c r="AF18" i="87"/>
  <c r="AJ18" i="87" s="1"/>
  <c r="AM18" i="87" s="1"/>
  <c r="Z19" i="87"/>
  <c r="AF19" i="87" s="1"/>
  <c r="Z25" i="87"/>
  <c r="Z20" i="87"/>
  <c r="R17" i="87"/>
  <c r="Z17" i="87"/>
  <c r="AF17" i="87" s="1"/>
  <c r="AF14" i="87"/>
  <c r="AJ14" i="87" s="1"/>
  <c r="AM14" i="87" s="1"/>
  <c r="Q31" i="87"/>
  <c r="AI26" i="87"/>
  <c r="Z13" i="87"/>
  <c r="Z24" i="87"/>
  <c r="Y38" i="87"/>
  <c r="Y42" i="87" s="1"/>
  <c r="X38" i="87"/>
  <c r="X42" i="87" s="1"/>
  <c r="Z12" i="87"/>
  <c r="R20" i="87"/>
  <c r="AI17" i="87"/>
  <c r="AI13" i="87"/>
  <c r="R13" i="87"/>
  <c r="AF16" i="87"/>
  <c r="AJ16" i="87" s="1"/>
  <c r="AM16" i="87" s="1"/>
  <c r="AD38" i="87"/>
  <c r="AD42" i="87" s="1"/>
  <c r="AB38" i="87"/>
  <c r="AB42" i="87" s="1"/>
  <c r="AF15" i="87"/>
  <c r="M31" i="87"/>
  <c r="R12" i="87"/>
  <c r="S91" i="89" s="1"/>
  <c r="R26" i="87"/>
  <c r="AE38" i="87"/>
  <c r="AE42" i="87" s="1"/>
  <c r="AA38" i="87"/>
  <c r="AA42" i="87" s="1"/>
  <c r="Z26" i="87"/>
  <c r="AI24" i="87"/>
  <c r="AI20" i="87"/>
  <c r="AC38" i="87"/>
  <c r="AC42" i="87" s="1"/>
  <c r="AG38" i="87"/>
  <c r="AI12" i="87"/>
  <c r="Q20" i="86"/>
  <c r="Q21" i="86"/>
  <c r="Q22" i="86"/>
  <c r="R22" i="86" s="1"/>
  <c r="Q18" i="86"/>
  <c r="Q15" i="86"/>
  <c r="M19" i="86"/>
  <c r="AC19" i="86"/>
  <c r="BE19" i="86" s="1"/>
  <c r="BE19" i="87" s="1"/>
  <c r="AD19" i="86"/>
  <c r="BF19" i="86" s="1"/>
  <c r="BF19" i="87" s="1"/>
  <c r="AB12" i="86"/>
  <c r="Y12" i="86"/>
  <c r="Y22" i="86"/>
  <c r="AE22" i="86"/>
  <c r="BG22" i="86" s="1"/>
  <c r="BG22" i="87" s="1"/>
  <c r="Y19" i="86"/>
  <c r="Z19" i="86" s="1"/>
  <c r="BB19" i="86" s="1"/>
  <c r="AB19" i="86"/>
  <c r="BD19" i="86" s="1"/>
  <c r="BD19" i="87" s="1"/>
  <c r="X12" i="86"/>
  <c r="AA12" i="86"/>
  <c r="AA22" i="86"/>
  <c r="BC22" i="86" s="1"/>
  <c r="BC22" i="87" s="1"/>
  <c r="X22" i="86"/>
  <c r="AA19" i="86"/>
  <c r="BC19" i="86" s="1"/>
  <c r="BC19" i="87" s="1"/>
  <c r="AC12" i="86"/>
  <c r="AC22" i="86"/>
  <c r="BE22" i="86" s="1"/>
  <c r="BE22" i="87" s="1"/>
  <c r="AB15" i="86"/>
  <c r="M16" i="86"/>
  <c r="R16" i="86" s="1"/>
  <c r="AE15" i="86"/>
  <c r="X20" i="86"/>
  <c r="AG17" i="86"/>
  <c r="AI17" i="86" s="1"/>
  <c r="Q14" i="86"/>
  <c r="M13" i="86"/>
  <c r="Y20" i="86"/>
  <c r="Y17" i="86"/>
  <c r="Q12" i="86"/>
  <c r="R12" i="86" s="1"/>
  <c r="AE20" i="86"/>
  <c r="BG20" i="86" s="1"/>
  <c r="BG20" i="87" s="1"/>
  <c r="AD20" i="86"/>
  <c r="BF20" i="86" s="1"/>
  <c r="BF20" i="87" s="1"/>
  <c r="AB17" i="86"/>
  <c r="AD17" i="86"/>
  <c r="AG20" i="86"/>
  <c r="AB20" i="86"/>
  <c r="BD20" i="86" s="1"/>
  <c r="BD20" i="87" s="1"/>
  <c r="AE17" i="86"/>
  <c r="X17" i="86"/>
  <c r="AC20" i="86"/>
  <c r="BE20" i="86" s="1"/>
  <c r="BE20" i="87" s="1"/>
  <c r="AA17" i="86"/>
  <c r="AA16" i="86"/>
  <c r="R23" i="86"/>
  <c r="Q13" i="86"/>
  <c r="M18" i="86"/>
  <c r="X16" i="86"/>
  <c r="AC16" i="86"/>
  <c r="AD16" i="86"/>
  <c r="M14" i="86"/>
  <c r="AB14" i="86"/>
  <c r="AB16" i="86"/>
  <c r="Y16" i="86"/>
  <c r="M21" i="86"/>
  <c r="Q19" i="86"/>
  <c r="Y14" i="86"/>
  <c r="AG16" i="86"/>
  <c r="AG14" i="86"/>
  <c r="AE14" i="86"/>
  <c r="Z13" i="86"/>
  <c r="AC14" i="86"/>
  <c r="AD14" i="86"/>
  <c r="X14" i="86"/>
  <c r="M20" i="86"/>
  <c r="Z23" i="86"/>
  <c r="BB23" i="86" s="1"/>
  <c r="M24" i="86"/>
  <c r="AG27" i="86"/>
  <c r="BI27" i="86" s="1"/>
  <c r="AC27" i="86"/>
  <c r="BE27" i="86" s="1"/>
  <c r="BE27" i="87" s="1"/>
  <c r="Y27" i="86"/>
  <c r="AB27" i="86"/>
  <c r="BD27" i="86" s="1"/>
  <c r="BD27" i="87" s="1"/>
  <c r="X27" i="86"/>
  <c r="AE27" i="86"/>
  <c r="BG27" i="86" s="1"/>
  <c r="BG27" i="87" s="1"/>
  <c r="AA27" i="86"/>
  <c r="BC27" i="86" s="1"/>
  <c r="BC27" i="87" s="1"/>
  <c r="AD27" i="86"/>
  <c r="BF27" i="86" s="1"/>
  <c r="BF27" i="87" s="1"/>
  <c r="AI23" i="86"/>
  <c r="Q26" i="86"/>
  <c r="O38" i="86"/>
  <c r="O42" i="86" s="1"/>
  <c r="M25" i="86"/>
  <c r="L38" i="86"/>
  <c r="L42" i="86" s="1"/>
  <c r="AI21" i="86"/>
  <c r="Z21" i="86"/>
  <c r="BB21" i="86" s="1"/>
  <c r="Q24" i="86"/>
  <c r="AG26" i="86"/>
  <c r="BI26" i="86" s="1"/>
  <c r="AC26" i="86"/>
  <c r="BE26" i="86" s="1"/>
  <c r="BE26" i="87" s="1"/>
  <c r="Y26" i="86"/>
  <c r="AB26" i="86"/>
  <c r="BD26" i="86" s="1"/>
  <c r="BD26" i="87" s="1"/>
  <c r="X26" i="86"/>
  <c r="AE26" i="86"/>
  <c r="BG26" i="86" s="1"/>
  <c r="BG26" i="87" s="1"/>
  <c r="AA26" i="86"/>
  <c r="BC26" i="86" s="1"/>
  <c r="BC26" i="87" s="1"/>
  <c r="AD26" i="86"/>
  <c r="BF26" i="86" s="1"/>
  <c r="BF26" i="87" s="1"/>
  <c r="N38" i="86"/>
  <c r="N42" i="86" s="1"/>
  <c r="Q25" i="86"/>
  <c r="AI18" i="86"/>
  <c r="R17" i="86"/>
  <c r="U31" i="86"/>
  <c r="U42" i="86" s="1"/>
  <c r="Y24" i="86"/>
  <c r="AD24" i="86"/>
  <c r="BF24" i="86" s="1"/>
  <c r="BF24" i="87" s="1"/>
  <c r="AI15" i="86"/>
  <c r="M27" i="86"/>
  <c r="AG25" i="86"/>
  <c r="BI25" i="86" s="1"/>
  <c r="AC25" i="86"/>
  <c r="BE25" i="86" s="1"/>
  <c r="BE25" i="87" s="1"/>
  <c r="Y25" i="86"/>
  <c r="AB25" i="86"/>
  <c r="BD25" i="86" s="1"/>
  <c r="BD25" i="87" s="1"/>
  <c r="X25" i="86"/>
  <c r="AE25" i="86"/>
  <c r="BG25" i="86" s="1"/>
  <c r="BG25" i="87" s="1"/>
  <c r="AA25" i="86"/>
  <c r="BC25" i="86" s="1"/>
  <c r="BC25" i="87" s="1"/>
  <c r="AD25" i="86"/>
  <c r="BF25" i="86" s="1"/>
  <c r="BF25" i="87" s="1"/>
  <c r="Z18" i="86"/>
  <c r="BB18" i="86" s="1"/>
  <c r="K38" i="86"/>
  <c r="K42" i="86" s="1"/>
  <c r="AI12" i="86"/>
  <c r="M26" i="86"/>
  <c r="AI13" i="86"/>
  <c r="Q27" i="86"/>
  <c r="K25" i="85"/>
  <c r="N25" i="85"/>
  <c r="O13" i="85"/>
  <c r="U23" i="85"/>
  <c r="U18" i="85"/>
  <c r="L20" i="85"/>
  <c r="O25" i="85"/>
  <c r="K13" i="85"/>
  <c r="U25" i="85"/>
  <c r="AC25" i="85" s="1"/>
  <c r="N13" i="85"/>
  <c r="U13" i="85"/>
  <c r="L19" i="85"/>
  <c r="O26" i="85"/>
  <c r="N26" i="85"/>
  <c r="O18" i="85"/>
  <c r="K20" i="85"/>
  <c r="U20" i="85"/>
  <c r="O19" i="85"/>
  <c r="U26" i="85"/>
  <c r="AC26" i="85" s="1"/>
  <c r="N20" i="85"/>
  <c r="N19" i="85"/>
  <c r="N18" i="85"/>
  <c r="L12" i="85"/>
  <c r="O24" i="85"/>
  <c r="N16" i="85"/>
  <c r="U16" i="85"/>
  <c r="N12" i="85"/>
  <c r="O12" i="85"/>
  <c r="K24" i="85"/>
  <c r="L16" i="85"/>
  <c r="U24" i="85"/>
  <c r="L22" i="85"/>
  <c r="U22" i="85"/>
  <c r="AB22" i="85" s="1"/>
  <c r="K22" i="85"/>
  <c r="I31" i="85"/>
  <c r="I42" i="85" s="1"/>
  <c r="K23" i="85"/>
  <c r="O22" i="85"/>
  <c r="O23" i="85"/>
  <c r="L18" i="85"/>
  <c r="L23" i="85"/>
  <c r="Q15" i="85"/>
  <c r="M26" i="85"/>
  <c r="AE22" i="85"/>
  <c r="Q17" i="85"/>
  <c r="AD25" i="85"/>
  <c r="AA25" i="85"/>
  <c r="AA13" i="85"/>
  <c r="AE19" i="85"/>
  <c r="AA19" i="85"/>
  <c r="AG19" i="85"/>
  <c r="AC19" i="85"/>
  <c r="Y19" i="85"/>
  <c r="AB19" i="85"/>
  <c r="X19" i="85"/>
  <c r="AD19" i="85"/>
  <c r="Q24" i="85"/>
  <c r="Q27" i="85"/>
  <c r="AE18" i="85"/>
  <c r="AG18" i="85"/>
  <c r="X18" i="85"/>
  <c r="AE21" i="85"/>
  <c r="AA21" i="85"/>
  <c r="AD21" i="85"/>
  <c r="AB21" i="85"/>
  <c r="X21" i="85"/>
  <c r="AG21" i="85"/>
  <c r="AC21" i="85"/>
  <c r="Y21" i="85"/>
  <c r="M13" i="85"/>
  <c r="M27" i="85"/>
  <c r="Q14" i="85"/>
  <c r="Q16" i="85"/>
  <c r="AA12" i="85"/>
  <c r="AB12" i="85"/>
  <c r="X12" i="85"/>
  <c r="AE12" i="85"/>
  <c r="AD12" i="85"/>
  <c r="Y12" i="85"/>
  <c r="AG12" i="85"/>
  <c r="AC12" i="85"/>
  <c r="M17" i="85"/>
  <c r="M14" i="85"/>
  <c r="AE23" i="85"/>
  <c r="AA23" i="85"/>
  <c r="AD23" i="85"/>
  <c r="AB23" i="85"/>
  <c r="X23" i="85"/>
  <c r="Y23" i="85"/>
  <c r="AG23" i="85"/>
  <c r="AC23" i="85"/>
  <c r="M16" i="85"/>
  <c r="M25" i="85"/>
  <c r="M19" i="85"/>
  <c r="M21" i="85"/>
  <c r="Q20" i="85"/>
  <c r="AE15" i="85"/>
  <c r="AA15" i="85"/>
  <c r="AD15" i="85"/>
  <c r="AC15" i="85"/>
  <c r="AG15" i="85"/>
  <c r="AB15" i="85"/>
  <c r="X15" i="85"/>
  <c r="Y15" i="85"/>
  <c r="Q19" i="85"/>
  <c r="AD26" i="85"/>
  <c r="X26" i="85"/>
  <c r="Q12" i="85"/>
  <c r="AE17" i="85"/>
  <c r="AA17" i="85"/>
  <c r="AD17" i="85"/>
  <c r="AC17" i="85"/>
  <c r="AG17" i="85"/>
  <c r="AB17" i="85"/>
  <c r="X17" i="85"/>
  <c r="Y17" i="85"/>
  <c r="AD27" i="85"/>
  <c r="AG27" i="85"/>
  <c r="AC27" i="85"/>
  <c r="Y27" i="85"/>
  <c r="AE27" i="85"/>
  <c r="AB27" i="85"/>
  <c r="X27" i="85"/>
  <c r="AA27" i="85"/>
  <c r="AE14" i="85"/>
  <c r="AA14" i="85"/>
  <c r="AG14" i="85"/>
  <c r="Y14" i="85"/>
  <c r="AB14" i="85"/>
  <c r="X14" i="85"/>
  <c r="AD14" i="85"/>
  <c r="AC14" i="85"/>
  <c r="M23" i="85"/>
  <c r="AA16" i="85"/>
  <c r="AB16" i="85"/>
  <c r="AC16" i="85"/>
  <c r="M20" i="85"/>
  <c r="I26" i="84"/>
  <c r="O26" i="84" s="1"/>
  <c r="I25" i="84"/>
  <c r="K25" i="84" s="1"/>
  <c r="I18" i="84"/>
  <c r="K18" i="84" s="1"/>
  <c r="I12" i="84"/>
  <c r="N12" i="84" s="1"/>
  <c r="I24" i="84"/>
  <c r="I22" i="84"/>
  <c r="N22" i="84" s="1"/>
  <c r="I17" i="84"/>
  <c r="O17" i="84" s="1"/>
  <c r="I23" i="84"/>
  <c r="L23" i="84" s="1"/>
  <c r="I15" i="84"/>
  <c r="K15" i="84" s="1"/>
  <c r="I20" i="84"/>
  <c r="O20" i="84" s="1"/>
  <c r="H42" i="84"/>
  <c r="I27" i="84"/>
  <c r="U27" i="84" s="1"/>
  <c r="I19" i="84"/>
  <c r="O19" i="84" s="1"/>
  <c r="I13" i="84"/>
  <c r="N13" i="84" s="1"/>
  <c r="K14" i="84"/>
  <c r="O14" i="84"/>
  <c r="I21" i="84"/>
  <c r="K21" i="84" s="1"/>
  <c r="I16" i="84"/>
  <c r="K16" i="84" s="1"/>
  <c r="L14" i="84"/>
  <c r="N14" i="84"/>
  <c r="K20" i="84"/>
  <c r="U14" i="84"/>
  <c r="AA14" i="84" s="1"/>
  <c r="AF28" i="84"/>
  <c r="AI28" i="84"/>
  <c r="N26" i="84"/>
  <c r="U26" i="84"/>
  <c r="L26" i="84"/>
  <c r="L22" i="84"/>
  <c r="K22" i="84"/>
  <c r="AH42" i="83"/>
  <c r="X28" i="83"/>
  <c r="AY38" i="83"/>
  <c r="P38" i="83"/>
  <c r="P42" i="83" s="1"/>
  <c r="H31" i="83"/>
  <c r="I12" i="83" s="1"/>
  <c r="U12" i="83" s="1"/>
  <c r="AB12" i="83" s="1"/>
  <c r="H38" i="83"/>
  <c r="G42" i="83"/>
  <c r="AR38" i="83"/>
  <c r="AM51" i="83"/>
  <c r="AO49" i="83"/>
  <c r="AO51" i="83" s="1"/>
  <c r="Q28" i="83"/>
  <c r="R28" i="83" s="1"/>
  <c r="Y28" i="83"/>
  <c r="Z28" i="83" s="1"/>
  <c r="AC28" i="83"/>
  <c r="AG28" i="83"/>
  <c r="F34" i="83"/>
  <c r="AN34" i="83"/>
  <c r="AN52" i="83" s="1"/>
  <c r="BI38" i="83"/>
  <c r="AA28" i="83"/>
  <c r="AN31" i="82"/>
  <c r="AG31" i="82"/>
  <c r="AL31" i="82" s="1"/>
  <c r="Y31" i="82"/>
  <c r="L31" i="82"/>
  <c r="AK31" i="82"/>
  <c r="X31" i="82"/>
  <c r="AN51" i="82"/>
  <c r="AM49" i="82"/>
  <c r="AO49" i="82" s="1"/>
  <c r="AM46" i="82"/>
  <c r="AO45" i="82"/>
  <c r="BJ38" i="82"/>
  <c r="AX38" i="82"/>
  <c r="AW38" i="82"/>
  <c r="AH38" i="82"/>
  <c r="AH42" i="82" s="1"/>
  <c r="M38" i="82"/>
  <c r="G38" i="82"/>
  <c r="BA31" i="82"/>
  <c r="AQ31" i="82"/>
  <c r="AP31" i="82"/>
  <c r="T31" i="82"/>
  <c r="P31" i="82"/>
  <c r="Q38" i="82" s="1"/>
  <c r="G31" i="82"/>
  <c r="AR38" i="82" s="1"/>
  <c r="F31" i="82"/>
  <c r="AG28" i="82"/>
  <c r="AD28" i="82"/>
  <c r="AC28" i="82"/>
  <c r="Y28" i="82"/>
  <c r="U28" i="82"/>
  <c r="AB28" i="82" s="1"/>
  <c r="Q28" i="82"/>
  <c r="O28" i="82"/>
  <c r="N28" i="82"/>
  <c r="L28" i="82"/>
  <c r="K28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3" i="82"/>
  <c r="H12" i="82"/>
  <c r="Z180" i="88" l="1"/>
  <c r="BA180" i="88" s="1"/>
  <c r="Z121" i="88"/>
  <c r="BA121" i="88" s="1"/>
  <c r="Z132" i="88"/>
  <c r="BA132" i="88" s="1"/>
  <c r="Z135" i="88"/>
  <c r="BA135" i="88" s="1"/>
  <c r="Z164" i="88"/>
  <c r="BA164" i="88" s="1"/>
  <c r="Z95" i="88"/>
  <c r="BA95" i="88" s="1"/>
  <c r="Z126" i="88"/>
  <c r="BA126" i="88" s="1"/>
  <c r="Z73" i="88"/>
  <c r="BA73" i="88" s="1"/>
  <c r="Z159" i="88"/>
  <c r="BA159" i="88" s="1"/>
  <c r="Z154" i="88"/>
  <c r="BA154" i="88" s="1"/>
  <c r="Z59" i="88"/>
  <c r="BA59" i="88" s="1"/>
  <c r="Z105" i="88"/>
  <c r="BA105" i="88" s="1"/>
  <c r="Z108" i="88"/>
  <c r="BA108" i="88" s="1"/>
  <c r="Z120" i="88"/>
  <c r="BA120" i="88" s="1"/>
  <c r="Z155" i="88"/>
  <c r="BA155" i="88" s="1"/>
  <c r="Z144" i="88"/>
  <c r="BA144" i="88" s="1"/>
  <c r="Z143" i="88"/>
  <c r="BA143" i="88" s="1"/>
  <c r="Z175" i="88"/>
  <c r="BA175" i="88" s="1"/>
  <c r="Z127" i="88"/>
  <c r="BA127" i="88" s="1"/>
  <c r="Z44" i="88"/>
  <c r="BA44" i="88" s="1"/>
  <c r="Z13" i="88"/>
  <c r="BA13" i="88" s="1"/>
  <c r="Z150" i="88"/>
  <c r="BA150" i="88" s="1"/>
  <c r="Z140" i="88"/>
  <c r="BA140" i="88" s="1"/>
  <c r="Z48" i="88"/>
  <c r="BA48" i="88" s="1"/>
  <c r="Z39" i="88"/>
  <c r="BA39" i="88" s="1"/>
  <c r="Z65" i="88"/>
  <c r="BA65" i="88" s="1"/>
  <c r="Z156" i="88"/>
  <c r="BA156" i="88" s="1"/>
  <c r="Z15" i="88"/>
  <c r="BA15" i="88" s="1"/>
  <c r="Z84" i="88"/>
  <c r="BA84" i="88" s="1"/>
  <c r="Z106" i="88"/>
  <c r="BA106" i="88" s="1"/>
  <c r="Z100" i="88"/>
  <c r="BA100" i="88" s="1"/>
  <c r="Z173" i="88"/>
  <c r="BA173" i="88" s="1"/>
  <c r="Z153" i="88"/>
  <c r="BA153" i="88" s="1"/>
  <c r="Z12" i="88"/>
  <c r="BA12" i="88" s="1"/>
  <c r="Z58" i="88"/>
  <c r="BA58" i="88" s="1"/>
  <c r="Z63" i="88"/>
  <c r="BA63" i="88" s="1"/>
  <c r="Z56" i="88"/>
  <c r="BA56" i="88" s="1"/>
  <c r="Z131" i="88"/>
  <c r="BA131" i="88" s="1"/>
  <c r="Z123" i="88"/>
  <c r="BA123" i="88" s="1"/>
  <c r="Z67" i="88"/>
  <c r="BA67" i="88" s="1"/>
  <c r="Z96" i="88"/>
  <c r="BA96" i="88" s="1"/>
  <c r="Z54" i="88"/>
  <c r="BA54" i="88" s="1"/>
  <c r="Z167" i="88"/>
  <c r="BA167" i="88" s="1"/>
  <c r="Z72" i="88"/>
  <c r="BA72" i="88" s="1"/>
  <c r="Z61" i="88"/>
  <c r="BA61" i="88" s="1"/>
  <c r="Z30" i="88"/>
  <c r="BA30" i="88" s="1"/>
  <c r="Z104" i="88"/>
  <c r="BA104" i="88" s="1"/>
  <c r="Z122" i="88"/>
  <c r="BA122" i="88" s="1"/>
  <c r="Z28" i="88"/>
  <c r="BA28" i="88" s="1"/>
  <c r="Z52" i="88"/>
  <c r="BA52" i="88" s="1"/>
  <c r="Z74" i="88"/>
  <c r="BA74" i="88" s="1"/>
  <c r="Z149" i="88"/>
  <c r="BA149" i="88" s="1"/>
  <c r="Z111" i="88"/>
  <c r="BA111" i="88" s="1"/>
  <c r="Z78" i="88"/>
  <c r="BA78" i="88" s="1"/>
  <c r="Z45" i="88"/>
  <c r="BA45" i="88" s="1"/>
  <c r="Z91" i="88"/>
  <c r="BA91" i="88" s="1"/>
  <c r="Z42" i="88"/>
  <c r="BA42" i="88" s="1"/>
  <c r="Z64" i="88"/>
  <c r="BA64" i="88" s="1"/>
  <c r="Z85" i="88"/>
  <c r="BA85" i="88" s="1"/>
  <c r="Z41" i="88"/>
  <c r="BA41" i="88" s="1"/>
  <c r="Z141" i="88"/>
  <c r="BA141" i="88" s="1"/>
  <c r="Z23" i="88"/>
  <c r="BA23" i="88" s="1"/>
  <c r="Z51" i="88"/>
  <c r="BA51" i="88" s="1"/>
  <c r="Z137" i="88"/>
  <c r="BA137" i="88" s="1"/>
  <c r="Z43" i="88"/>
  <c r="BA43" i="88" s="1"/>
  <c r="Z26" i="88"/>
  <c r="BA26" i="88" s="1"/>
  <c r="Z181" i="88"/>
  <c r="BA181" i="88" s="1"/>
  <c r="Z97" i="88"/>
  <c r="BA97" i="88" s="1"/>
  <c r="Z119" i="88"/>
  <c r="BA119" i="88" s="1"/>
  <c r="Z139" i="88"/>
  <c r="BA139" i="88" s="1"/>
  <c r="Z109" i="88"/>
  <c r="BA109" i="88" s="1"/>
  <c r="Z18" i="88"/>
  <c r="BA18" i="88" s="1"/>
  <c r="Z69" i="88"/>
  <c r="BA69" i="88" s="1"/>
  <c r="Z88" i="88"/>
  <c r="BA88" i="88" s="1"/>
  <c r="Z107" i="88"/>
  <c r="BA107" i="88" s="1"/>
  <c r="Z22" i="88"/>
  <c r="BA22" i="88" s="1"/>
  <c r="Z124" i="88"/>
  <c r="BA124" i="88" s="1"/>
  <c r="Z169" i="88"/>
  <c r="BA169" i="88" s="1"/>
  <c r="Z138" i="88"/>
  <c r="BA138" i="88" s="1"/>
  <c r="Z116" i="88"/>
  <c r="BA116" i="88" s="1"/>
  <c r="Z24" i="88"/>
  <c r="BA24" i="88" s="1"/>
  <c r="Z125" i="88"/>
  <c r="BA125" i="88" s="1"/>
  <c r="Z170" i="88"/>
  <c r="BA170" i="88" s="1"/>
  <c r="Z87" i="88"/>
  <c r="BA87" i="88" s="1"/>
  <c r="Z148" i="88"/>
  <c r="BA148" i="88" s="1"/>
  <c r="Z40" i="88"/>
  <c r="BA40" i="88" s="1"/>
  <c r="Z50" i="88"/>
  <c r="BA50" i="88" s="1"/>
  <c r="Z115" i="88"/>
  <c r="BA115" i="88" s="1"/>
  <c r="Z55" i="88"/>
  <c r="BA55" i="88" s="1"/>
  <c r="Z103" i="88"/>
  <c r="BA103" i="88" s="1"/>
  <c r="Z20" i="88"/>
  <c r="BA20" i="88" s="1"/>
  <c r="Z145" i="88"/>
  <c r="BA145" i="88" s="1"/>
  <c r="Z83" i="88"/>
  <c r="BA83" i="88" s="1"/>
  <c r="Z29" i="88"/>
  <c r="BA29" i="88" s="1"/>
  <c r="Z147" i="88"/>
  <c r="BA147" i="88" s="1"/>
  <c r="Z53" i="88"/>
  <c r="BA53" i="88" s="1"/>
  <c r="Z31" i="88"/>
  <c r="BA31" i="88" s="1"/>
  <c r="Z32" i="88"/>
  <c r="BA32" i="88" s="1"/>
  <c r="Z157" i="88"/>
  <c r="BA157" i="88" s="1"/>
  <c r="Z60" i="88"/>
  <c r="BA60" i="88" s="1"/>
  <c r="Z62" i="88"/>
  <c r="BA62" i="88" s="1"/>
  <c r="Z117" i="88"/>
  <c r="BA117" i="88" s="1"/>
  <c r="Z76" i="88"/>
  <c r="BA76" i="88" s="1"/>
  <c r="Z34" i="88"/>
  <c r="BA34" i="88" s="1"/>
  <c r="Z166" i="88"/>
  <c r="BA166" i="88" s="1"/>
  <c r="Z82" i="88"/>
  <c r="BA82" i="88" s="1"/>
  <c r="Z118" i="88"/>
  <c r="BA118" i="88" s="1"/>
  <c r="Z134" i="88"/>
  <c r="BA134" i="88" s="1"/>
  <c r="Z89" i="88"/>
  <c r="BA89" i="88" s="1"/>
  <c r="Z110" i="88"/>
  <c r="BA110" i="88" s="1"/>
  <c r="Z163" i="88"/>
  <c r="BA163" i="88" s="1"/>
  <c r="Z16" i="88"/>
  <c r="BA16" i="88" s="1"/>
  <c r="Z21" i="88"/>
  <c r="BA21" i="88" s="1"/>
  <c r="Z146" i="88"/>
  <c r="BA146" i="88" s="1"/>
  <c r="Z14" i="88"/>
  <c r="Z75" i="88"/>
  <c r="BA75" i="88" s="1"/>
  <c r="Z171" i="88"/>
  <c r="BA171" i="88" s="1"/>
  <c r="Z81" i="88"/>
  <c r="BA81" i="88" s="1"/>
  <c r="Z33" i="88"/>
  <c r="BA33" i="88" s="1"/>
  <c r="Z179" i="88"/>
  <c r="BA179" i="88" s="1"/>
  <c r="Z112" i="88"/>
  <c r="BA112" i="88" s="1"/>
  <c r="Z36" i="88"/>
  <c r="BA36" i="88" s="1"/>
  <c r="Z101" i="88"/>
  <c r="BA101" i="88" s="1"/>
  <c r="Z160" i="88"/>
  <c r="BA160" i="88" s="1"/>
  <c r="Z162" i="88"/>
  <c r="BA162" i="88" s="1"/>
  <c r="Z176" i="88"/>
  <c r="BA176" i="88" s="1"/>
  <c r="Z178" i="88"/>
  <c r="BA178" i="88" s="1"/>
  <c r="Z128" i="88"/>
  <c r="BA128" i="88" s="1"/>
  <c r="Z68" i="88"/>
  <c r="BA68" i="88" s="1"/>
  <c r="Z25" i="88"/>
  <c r="BA25" i="88" s="1"/>
  <c r="Z71" i="88"/>
  <c r="BA71" i="88" s="1"/>
  <c r="Z46" i="88"/>
  <c r="BA46" i="88" s="1"/>
  <c r="Z80" i="88"/>
  <c r="BA80" i="88" s="1"/>
  <c r="Z70" i="88"/>
  <c r="BA70" i="88" s="1"/>
  <c r="Z92" i="88"/>
  <c r="BA92" i="88" s="1"/>
  <c r="Z158" i="88"/>
  <c r="BA158" i="88" s="1"/>
  <c r="Z136" i="88"/>
  <c r="BA136" i="88" s="1"/>
  <c r="Z49" i="88"/>
  <c r="BA49" i="88" s="1"/>
  <c r="Z66" i="88"/>
  <c r="BA66" i="88" s="1"/>
  <c r="Z98" i="88"/>
  <c r="BA98" i="88" s="1"/>
  <c r="Z90" i="88"/>
  <c r="BA90" i="88" s="1"/>
  <c r="Z174" i="88"/>
  <c r="BA174" i="88" s="1"/>
  <c r="Z161" i="88"/>
  <c r="BA161" i="88" s="1"/>
  <c r="Z152" i="88"/>
  <c r="BA152" i="88" s="1"/>
  <c r="Z99" i="88"/>
  <c r="BA99" i="88" s="1"/>
  <c r="Z27" i="88"/>
  <c r="BA27" i="88" s="1"/>
  <c r="Z37" i="88"/>
  <c r="BA37" i="88" s="1"/>
  <c r="Z151" i="88"/>
  <c r="BA151" i="88" s="1"/>
  <c r="Z79" i="88"/>
  <c r="BA79" i="88" s="1"/>
  <c r="Z102" i="88"/>
  <c r="BA102" i="88" s="1"/>
  <c r="Z93" i="88"/>
  <c r="BA93" i="88" s="1"/>
  <c r="Z113" i="88"/>
  <c r="BA113" i="88" s="1"/>
  <c r="Z86" i="88"/>
  <c r="BA86" i="88" s="1"/>
  <c r="Z114" i="88"/>
  <c r="BA114" i="88" s="1"/>
  <c r="Z168" i="88"/>
  <c r="BA168" i="88" s="1"/>
  <c r="Z177" i="88"/>
  <c r="BA177" i="88" s="1"/>
  <c r="Z94" i="88"/>
  <c r="BA94" i="88" s="1"/>
  <c r="Z142" i="88"/>
  <c r="BA142" i="88" s="1"/>
  <c r="Z130" i="88"/>
  <c r="BA130" i="88" s="1"/>
  <c r="Z17" i="88"/>
  <c r="BA17" i="88" s="1"/>
  <c r="Z172" i="88"/>
  <c r="BA172" i="88" s="1"/>
  <c r="Z35" i="88"/>
  <c r="BA35" i="88" s="1"/>
  <c r="Z47" i="88"/>
  <c r="BA47" i="88" s="1"/>
  <c r="Z133" i="88"/>
  <c r="BA133" i="88" s="1"/>
  <c r="Z19" i="88"/>
  <c r="BA19" i="88" s="1"/>
  <c r="Z129" i="88"/>
  <c r="BA129" i="88" s="1"/>
  <c r="Z57" i="88"/>
  <c r="BA57" i="88" s="1"/>
  <c r="Z165" i="88"/>
  <c r="BA165" i="88" s="1"/>
  <c r="Z38" i="88"/>
  <c r="BA38" i="88" s="1"/>
  <c r="Z77" i="88"/>
  <c r="BA77" i="88" s="1"/>
  <c r="Y180" i="88"/>
  <c r="AZ180" i="88" s="1"/>
  <c r="Y153" i="88"/>
  <c r="AZ153" i="88" s="1"/>
  <c r="Y171" i="88"/>
  <c r="AZ171" i="88" s="1"/>
  <c r="Y137" i="88"/>
  <c r="AZ137" i="88" s="1"/>
  <c r="Y29" i="88"/>
  <c r="AZ29" i="88" s="1"/>
  <c r="Y58" i="88"/>
  <c r="AZ58" i="88" s="1"/>
  <c r="Y27" i="88"/>
  <c r="AZ27" i="88" s="1"/>
  <c r="Y147" i="88"/>
  <c r="AZ147" i="88" s="1"/>
  <c r="Y135" i="88"/>
  <c r="AZ135" i="88" s="1"/>
  <c r="Y36" i="88"/>
  <c r="AZ36" i="88" s="1"/>
  <c r="Y139" i="88"/>
  <c r="AZ139" i="88" s="1"/>
  <c r="Y59" i="88"/>
  <c r="AZ59" i="88" s="1"/>
  <c r="Y54" i="88"/>
  <c r="AZ54" i="88" s="1"/>
  <c r="Y72" i="88"/>
  <c r="AZ72" i="88" s="1"/>
  <c r="Y22" i="88"/>
  <c r="AZ22" i="88" s="1"/>
  <c r="Y21" i="88"/>
  <c r="AZ21" i="88" s="1"/>
  <c r="Y38" i="88"/>
  <c r="AZ38" i="88" s="1"/>
  <c r="Y75" i="88"/>
  <c r="AZ75" i="88" s="1"/>
  <c r="Y103" i="88"/>
  <c r="AZ103" i="88" s="1"/>
  <c r="Y15" i="88"/>
  <c r="AZ15" i="88" s="1"/>
  <c r="Y20" i="88"/>
  <c r="AZ20" i="88" s="1"/>
  <c r="Y156" i="88"/>
  <c r="AZ156" i="88" s="1"/>
  <c r="Y121" i="88"/>
  <c r="AZ121" i="88" s="1"/>
  <c r="Y99" i="88"/>
  <c r="AZ99" i="88" s="1"/>
  <c r="Y151" i="88"/>
  <c r="AZ151" i="88" s="1"/>
  <c r="Y53" i="88"/>
  <c r="AZ53" i="88" s="1"/>
  <c r="Y164" i="88"/>
  <c r="AZ164" i="88" s="1"/>
  <c r="Y102" i="88"/>
  <c r="AZ102" i="88" s="1"/>
  <c r="Y31" i="88"/>
  <c r="AZ31" i="88" s="1"/>
  <c r="Y32" i="88"/>
  <c r="AZ32" i="88" s="1"/>
  <c r="Y73" i="88"/>
  <c r="AZ73" i="88" s="1"/>
  <c r="Y157" i="88"/>
  <c r="AZ157" i="88" s="1"/>
  <c r="Y123" i="88"/>
  <c r="AZ123" i="88" s="1"/>
  <c r="Y67" i="88"/>
  <c r="AZ67" i="88" s="1"/>
  <c r="Y96" i="88"/>
  <c r="AZ96" i="88" s="1"/>
  <c r="Y167" i="88"/>
  <c r="AZ167" i="88" s="1"/>
  <c r="Y76" i="88"/>
  <c r="AZ76" i="88" s="1"/>
  <c r="Y107" i="88"/>
  <c r="AZ107" i="88" s="1"/>
  <c r="Y17" i="88"/>
  <c r="AZ17" i="88" s="1"/>
  <c r="Y30" i="88"/>
  <c r="AZ30" i="88" s="1"/>
  <c r="Y92" i="88"/>
  <c r="AZ92" i="88" s="1"/>
  <c r="Y175" i="88"/>
  <c r="AZ175" i="88" s="1"/>
  <c r="Y110" i="88"/>
  <c r="AZ110" i="88" s="1"/>
  <c r="Y74" i="88"/>
  <c r="AZ74" i="88" s="1"/>
  <c r="Y158" i="88"/>
  <c r="AZ158" i="88" s="1"/>
  <c r="Y149" i="88"/>
  <c r="AZ149" i="88" s="1"/>
  <c r="Y24" i="88"/>
  <c r="AZ24" i="88" s="1"/>
  <c r="Y136" i="88"/>
  <c r="AZ136" i="88" s="1"/>
  <c r="Y87" i="88"/>
  <c r="AZ87" i="88" s="1"/>
  <c r="Y48" i="88"/>
  <c r="AZ48" i="88" s="1"/>
  <c r="Y39" i="88"/>
  <c r="AZ39" i="88" s="1"/>
  <c r="Y65" i="88"/>
  <c r="AZ65" i="88" s="1"/>
  <c r="Y14" i="88"/>
  <c r="Y23" i="88"/>
  <c r="AZ23" i="88" s="1"/>
  <c r="Y106" i="88"/>
  <c r="AZ106" i="88" s="1"/>
  <c r="Y173" i="88"/>
  <c r="AZ173" i="88" s="1"/>
  <c r="Y51" i="88"/>
  <c r="AZ51" i="88" s="1"/>
  <c r="Y43" i="88"/>
  <c r="AZ43" i="88" s="1"/>
  <c r="Y132" i="88"/>
  <c r="AZ132" i="88" s="1"/>
  <c r="Y179" i="88"/>
  <c r="AZ179" i="88" s="1"/>
  <c r="Y181" i="88"/>
  <c r="AZ181" i="88" s="1"/>
  <c r="Y112" i="88"/>
  <c r="AZ112" i="88" s="1"/>
  <c r="Y63" i="88"/>
  <c r="AZ63" i="88" s="1"/>
  <c r="Y113" i="88"/>
  <c r="AZ113" i="88" s="1"/>
  <c r="Y159" i="88"/>
  <c r="AZ159" i="88" s="1"/>
  <c r="Y178" i="88"/>
  <c r="AZ178" i="88" s="1"/>
  <c r="Y68" i="88"/>
  <c r="AZ68" i="88" s="1"/>
  <c r="Y109" i="88"/>
  <c r="AZ109" i="88" s="1"/>
  <c r="Y25" i="88"/>
  <c r="AZ25" i="88" s="1"/>
  <c r="Y142" i="88"/>
  <c r="AZ142" i="88" s="1"/>
  <c r="Y130" i="88"/>
  <c r="AZ130" i="88" s="1"/>
  <c r="Y82" i="88"/>
  <c r="AZ82" i="88" s="1"/>
  <c r="Y104" i="88"/>
  <c r="AZ104" i="88" s="1"/>
  <c r="Y144" i="88"/>
  <c r="AZ144" i="88" s="1"/>
  <c r="Y169" i="88"/>
  <c r="AZ169" i="88" s="1"/>
  <c r="Y78" i="88"/>
  <c r="AZ78" i="88" s="1"/>
  <c r="Y91" i="88"/>
  <c r="AZ91" i="88" s="1"/>
  <c r="Y146" i="88"/>
  <c r="AZ146" i="88" s="1"/>
  <c r="Y66" i="88"/>
  <c r="AZ66" i="88" s="1"/>
  <c r="Y50" i="88"/>
  <c r="AZ50" i="88" s="1"/>
  <c r="Y98" i="88"/>
  <c r="AZ98" i="88" s="1"/>
  <c r="Y174" i="88"/>
  <c r="AZ174" i="88" s="1"/>
  <c r="Y81" i="88"/>
  <c r="AZ81" i="88" s="1"/>
  <c r="Y37" i="88"/>
  <c r="AZ37" i="88" s="1"/>
  <c r="Y101" i="88"/>
  <c r="AZ101" i="88" s="1"/>
  <c r="Y95" i="88"/>
  <c r="AZ95" i="88" s="1"/>
  <c r="Y160" i="88"/>
  <c r="AZ160" i="88" s="1"/>
  <c r="Y119" i="88"/>
  <c r="AZ119" i="88" s="1"/>
  <c r="Y126" i="88"/>
  <c r="AZ126" i="88" s="1"/>
  <c r="Y162" i="88"/>
  <c r="AZ162" i="88" s="1"/>
  <c r="Y131" i="88"/>
  <c r="AZ131" i="88" s="1"/>
  <c r="Y177" i="88"/>
  <c r="AZ177" i="88" s="1"/>
  <c r="Y94" i="88"/>
  <c r="AZ94" i="88" s="1"/>
  <c r="Y62" i="88"/>
  <c r="AZ62" i="88" s="1"/>
  <c r="Y69" i="88"/>
  <c r="AZ69" i="88" s="1"/>
  <c r="Y34" i="88"/>
  <c r="AZ34" i="88" s="1"/>
  <c r="Y108" i="88"/>
  <c r="AZ108" i="88" s="1"/>
  <c r="Y80" i="88"/>
  <c r="AZ80" i="88" s="1"/>
  <c r="Y118" i="88"/>
  <c r="AZ118" i="88" s="1"/>
  <c r="Y120" i="88"/>
  <c r="AZ120" i="88" s="1"/>
  <c r="Y124" i="88"/>
  <c r="AZ124" i="88" s="1"/>
  <c r="Y172" i="88"/>
  <c r="AZ172" i="88" s="1"/>
  <c r="Y122" i="88"/>
  <c r="AZ122" i="88" s="1"/>
  <c r="Y143" i="88"/>
  <c r="AZ143" i="88" s="1"/>
  <c r="Y52" i="88"/>
  <c r="AZ52" i="88" s="1"/>
  <c r="Y138" i="88"/>
  <c r="AZ138" i="88" s="1"/>
  <c r="Y47" i="88"/>
  <c r="AZ47" i="88" s="1"/>
  <c r="Y13" i="88"/>
  <c r="AZ13" i="88" s="1"/>
  <c r="Y125" i="88"/>
  <c r="AZ125" i="88" s="1"/>
  <c r="Y45" i="88"/>
  <c r="AZ45" i="88" s="1"/>
  <c r="Y133" i="88"/>
  <c r="AZ133" i="88" s="1"/>
  <c r="Y170" i="88"/>
  <c r="AZ170" i="88" s="1"/>
  <c r="Y140" i="88"/>
  <c r="AZ140" i="88" s="1"/>
  <c r="Y64" i="88"/>
  <c r="AZ64" i="88" s="1"/>
  <c r="Y148" i="88"/>
  <c r="AZ148" i="88" s="1"/>
  <c r="Y85" i="88"/>
  <c r="AZ85" i="88" s="1"/>
  <c r="Y141" i="88"/>
  <c r="AZ141" i="88" s="1"/>
  <c r="Y83" i="88"/>
  <c r="AZ83" i="88" s="1"/>
  <c r="Y152" i="88"/>
  <c r="AZ152" i="88" s="1"/>
  <c r="Y33" i="88"/>
  <c r="AZ33" i="88" s="1"/>
  <c r="Y12" i="88"/>
  <c r="AZ12" i="88" s="1"/>
  <c r="Y56" i="88"/>
  <c r="AZ56" i="88" s="1"/>
  <c r="Y176" i="88"/>
  <c r="AZ176" i="88" s="1"/>
  <c r="Y168" i="88"/>
  <c r="AZ168" i="88" s="1"/>
  <c r="Y18" i="88"/>
  <c r="AZ18" i="88" s="1"/>
  <c r="Y166" i="88"/>
  <c r="AZ166" i="88" s="1"/>
  <c r="Y61" i="88"/>
  <c r="AZ61" i="88" s="1"/>
  <c r="Y127" i="88"/>
  <c r="AZ127" i="88" s="1"/>
  <c r="Y116" i="88"/>
  <c r="AZ116" i="88" s="1"/>
  <c r="Y49" i="88"/>
  <c r="AZ49" i="88" s="1"/>
  <c r="Y165" i="88"/>
  <c r="AZ165" i="88" s="1"/>
  <c r="Y55" i="88"/>
  <c r="AZ55" i="88" s="1"/>
  <c r="Y100" i="88"/>
  <c r="AZ100" i="88" s="1"/>
  <c r="Y145" i="88"/>
  <c r="AZ145" i="88" s="1"/>
  <c r="Y161" i="88"/>
  <c r="AZ161" i="88" s="1"/>
  <c r="Y26" i="88"/>
  <c r="AZ26" i="88" s="1"/>
  <c r="Y97" i="88"/>
  <c r="AZ97" i="88" s="1"/>
  <c r="Y79" i="88"/>
  <c r="AZ79" i="88" s="1"/>
  <c r="Y93" i="88"/>
  <c r="AZ93" i="88" s="1"/>
  <c r="Y86" i="88"/>
  <c r="AZ86" i="88" s="1"/>
  <c r="Y114" i="88"/>
  <c r="AZ114" i="88" s="1"/>
  <c r="Y154" i="88"/>
  <c r="AZ154" i="88" s="1"/>
  <c r="Y128" i="88"/>
  <c r="AZ128" i="88" s="1"/>
  <c r="Y60" i="88"/>
  <c r="AZ60" i="88" s="1"/>
  <c r="Y117" i="88"/>
  <c r="AZ117" i="88" s="1"/>
  <c r="Y88" i="88"/>
  <c r="AZ88" i="88" s="1"/>
  <c r="Y105" i="88"/>
  <c r="AZ105" i="88" s="1"/>
  <c r="Y71" i="88"/>
  <c r="AZ71" i="88" s="1"/>
  <c r="Y46" i="88"/>
  <c r="AZ46" i="88" s="1"/>
  <c r="Y70" i="88"/>
  <c r="AZ70" i="88" s="1"/>
  <c r="Y134" i="88"/>
  <c r="AZ134" i="88" s="1"/>
  <c r="Y155" i="88"/>
  <c r="AZ155" i="88" s="1"/>
  <c r="Y28" i="88"/>
  <c r="AZ28" i="88" s="1"/>
  <c r="Y35" i="88"/>
  <c r="AZ35" i="88" s="1"/>
  <c r="Y89" i="88"/>
  <c r="AZ89" i="88" s="1"/>
  <c r="Y163" i="88"/>
  <c r="AZ163" i="88" s="1"/>
  <c r="Y44" i="88"/>
  <c r="AZ44" i="88" s="1"/>
  <c r="Y16" i="88"/>
  <c r="AZ16" i="88" s="1"/>
  <c r="Y111" i="88"/>
  <c r="AZ111" i="88" s="1"/>
  <c r="Y150" i="88"/>
  <c r="AZ150" i="88" s="1"/>
  <c r="Y42" i="88"/>
  <c r="AZ42" i="88" s="1"/>
  <c r="Y19" i="88"/>
  <c r="AZ19" i="88" s="1"/>
  <c r="Y40" i="88"/>
  <c r="AZ40" i="88" s="1"/>
  <c r="Y129" i="88"/>
  <c r="AZ129" i="88" s="1"/>
  <c r="Y41" i="88"/>
  <c r="AZ41" i="88" s="1"/>
  <c r="Y57" i="88"/>
  <c r="AZ57" i="88" s="1"/>
  <c r="Y115" i="88"/>
  <c r="AZ115" i="88" s="1"/>
  <c r="Y77" i="88"/>
  <c r="AZ77" i="88" s="1"/>
  <c r="Y90" i="88"/>
  <c r="AZ90" i="88" s="1"/>
  <c r="Y84" i="88"/>
  <c r="AZ84" i="88" s="1"/>
  <c r="AA180" i="88"/>
  <c r="BB180" i="88" s="1"/>
  <c r="AA29" i="88"/>
  <c r="BB29" i="88" s="1"/>
  <c r="AA152" i="88"/>
  <c r="BB152" i="88" s="1"/>
  <c r="AA27" i="88"/>
  <c r="BB27" i="88" s="1"/>
  <c r="AA151" i="88"/>
  <c r="BB151" i="88" s="1"/>
  <c r="AA162" i="88"/>
  <c r="BB162" i="88" s="1"/>
  <c r="AA139" i="88"/>
  <c r="BB139" i="88" s="1"/>
  <c r="AA159" i="88"/>
  <c r="BB159" i="88" s="1"/>
  <c r="AA168" i="88"/>
  <c r="BB168" i="88" s="1"/>
  <c r="AA128" i="88"/>
  <c r="BB128" i="88" s="1"/>
  <c r="AA68" i="88"/>
  <c r="BB68" i="88" s="1"/>
  <c r="AA25" i="88"/>
  <c r="BB25" i="88" s="1"/>
  <c r="AA54" i="88"/>
  <c r="BB54" i="88" s="1"/>
  <c r="AA61" i="88"/>
  <c r="BB61" i="88" s="1"/>
  <c r="AA82" i="88"/>
  <c r="BB82" i="88" s="1"/>
  <c r="AA104" i="88"/>
  <c r="BB104" i="88" s="1"/>
  <c r="AA143" i="88"/>
  <c r="BB143" i="88" s="1"/>
  <c r="AA127" i="88"/>
  <c r="BB127" i="88" s="1"/>
  <c r="AA24" i="88"/>
  <c r="BB24" i="88" s="1"/>
  <c r="AA78" i="88"/>
  <c r="BB78" i="88" s="1"/>
  <c r="AA91" i="88"/>
  <c r="BB91" i="88" s="1"/>
  <c r="AA21" i="88"/>
  <c r="BB21" i="88" s="1"/>
  <c r="AA87" i="88"/>
  <c r="BB87" i="88" s="1"/>
  <c r="AA146" i="88"/>
  <c r="BB146" i="88" s="1"/>
  <c r="AA50" i="88"/>
  <c r="BB50" i="88" s="1"/>
  <c r="AA23" i="88"/>
  <c r="BB23" i="88" s="1"/>
  <c r="AA41" i="88"/>
  <c r="BB41" i="88" s="1"/>
  <c r="AA121" i="88"/>
  <c r="BB121" i="88" s="1"/>
  <c r="AA171" i="88"/>
  <c r="BB171" i="88" s="1"/>
  <c r="AA161" i="88"/>
  <c r="BB161" i="88" s="1"/>
  <c r="AA43" i="88"/>
  <c r="BB43" i="88" s="1"/>
  <c r="AA33" i="88"/>
  <c r="BB33" i="88" s="1"/>
  <c r="AA164" i="88"/>
  <c r="BB164" i="88" s="1"/>
  <c r="AA160" i="88"/>
  <c r="BB160" i="88" s="1"/>
  <c r="AA119" i="88"/>
  <c r="BB119" i="88" s="1"/>
  <c r="AA113" i="88"/>
  <c r="BB113" i="88" s="1"/>
  <c r="AA73" i="88"/>
  <c r="BB73" i="88" s="1"/>
  <c r="AA176" i="88"/>
  <c r="BB176" i="88" s="1"/>
  <c r="AA154" i="88"/>
  <c r="BB154" i="88" s="1"/>
  <c r="AA67" i="88"/>
  <c r="BB67" i="88" s="1"/>
  <c r="AA109" i="88"/>
  <c r="BB109" i="88" s="1"/>
  <c r="AA18" i="88"/>
  <c r="BB18" i="88" s="1"/>
  <c r="AA76" i="88"/>
  <c r="BB76" i="88" s="1"/>
  <c r="AA120" i="88"/>
  <c r="BB120" i="88" s="1"/>
  <c r="AA30" i="88"/>
  <c r="BB30" i="88" s="1"/>
  <c r="AA134" i="88"/>
  <c r="BB134" i="88" s="1"/>
  <c r="AA144" i="88"/>
  <c r="BB144" i="88" s="1"/>
  <c r="AA175" i="88"/>
  <c r="BB175" i="88" s="1"/>
  <c r="AA74" i="88"/>
  <c r="BB74" i="88" s="1"/>
  <c r="AA149" i="88"/>
  <c r="BB149" i="88" s="1"/>
  <c r="AA16" i="88"/>
  <c r="BB16" i="88" s="1"/>
  <c r="AA133" i="88"/>
  <c r="BB133" i="88" s="1"/>
  <c r="AA85" i="88"/>
  <c r="BB85" i="88" s="1"/>
  <c r="AA129" i="88"/>
  <c r="BB129" i="88" s="1"/>
  <c r="AA115" i="88"/>
  <c r="BB115" i="88" s="1"/>
  <c r="AA75" i="88"/>
  <c r="BB75" i="88" s="1"/>
  <c r="AA15" i="88"/>
  <c r="BB15" i="88" s="1"/>
  <c r="AA14" i="88"/>
  <c r="AA106" i="88"/>
  <c r="BB106" i="88" s="1"/>
  <c r="AA174" i="88"/>
  <c r="BB174" i="88" s="1"/>
  <c r="AA112" i="88"/>
  <c r="BB112" i="88" s="1"/>
  <c r="AA135" i="88"/>
  <c r="BB135" i="88" s="1"/>
  <c r="AA53" i="88"/>
  <c r="BB53" i="88" s="1"/>
  <c r="AA102" i="88"/>
  <c r="BB102" i="88" s="1"/>
  <c r="AA178" i="88"/>
  <c r="BB178" i="88" s="1"/>
  <c r="AA60" i="88"/>
  <c r="BB60" i="88" s="1"/>
  <c r="AA167" i="88"/>
  <c r="BB167" i="88" s="1"/>
  <c r="AA88" i="88"/>
  <c r="BB88" i="88" s="1"/>
  <c r="AA71" i="88"/>
  <c r="BB71" i="88" s="1"/>
  <c r="AA108" i="88"/>
  <c r="BB108" i="88" s="1"/>
  <c r="AA107" i="88"/>
  <c r="BB107" i="88" s="1"/>
  <c r="AA46" i="88"/>
  <c r="BB46" i="88" s="1"/>
  <c r="AA70" i="88"/>
  <c r="BB70" i="88" s="1"/>
  <c r="AA89" i="88"/>
  <c r="BB89" i="88" s="1"/>
  <c r="AA111" i="88"/>
  <c r="BB111" i="88" s="1"/>
  <c r="AA48" i="88"/>
  <c r="BB48" i="88" s="1"/>
  <c r="AA65" i="88"/>
  <c r="BB65" i="88" s="1"/>
  <c r="AA77" i="88"/>
  <c r="BB77" i="88" s="1"/>
  <c r="AA84" i="88"/>
  <c r="BB84" i="88" s="1"/>
  <c r="AA57" i="88"/>
  <c r="BB57" i="88" s="1"/>
  <c r="AA98" i="88"/>
  <c r="BB98" i="88" s="1"/>
  <c r="AA145" i="88"/>
  <c r="BB145" i="88" s="1"/>
  <c r="AA137" i="88"/>
  <c r="BB137" i="88" s="1"/>
  <c r="AA26" i="88"/>
  <c r="BB26" i="88" s="1"/>
  <c r="AA81" i="88"/>
  <c r="BB81" i="88" s="1"/>
  <c r="AA132" i="88"/>
  <c r="BB132" i="88" s="1"/>
  <c r="AA131" i="88"/>
  <c r="BB131" i="88" s="1"/>
  <c r="AA177" i="88"/>
  <c r="BB177" i="88" s="1"/>
  <c r="AA94" i="88"/>
  <c r="BB94" i="88" s="1"/>
  <c r="AA96" i="88"/>
  <c r="BB96" i="88" s="1"/>
  <c r="AA142" i="88"/>
  <c r="BB142" i="88" s="1"/>
  <c r="AA22" i="88"/>
  <c r="BB22" i="88" s="1"/>
  <c r="AA124" i="88"/>
  <c r="BB124" i="88" s="1"/>
  <c r="AA28" i="88"/>
  <c r="BB28" i="88" s="1"/>
  <c r="AA158" i="88"/>
  <c r="BB158" i="88" s="1"/>
  <c r="AA116" i="88"/>
  <c r="BB116" i="88" s="1"/>
  <c r="AA170" i="88"/>
  <c r="BB170" i="88" s="1"/>
  <c r="AA42" i="88"/>
  <c r="BB42" i="88" s="1"/>
  <c r="AA64" i="88"/>
  <c r="BB64" i="88" s="1"/>
  <c r="AA165" i="88"/>
  <c r="BB165" i="88" s="1"/>
  <c r="AA20" i="88"/>
  <c r="BB20" i="88" s="1"/>
  <c r="AA153" i="88"/>
  <c r="BB153" i="88" s="1"/>
  <c r="AA83" i="88"/>
  <c r="BB83" i="88" s="1"/>
  <c r="AA58" i="88"/>
  <c r="BB58" i="88" s="1"/>
  <c r="AA37" i="88"/>
  <c r="BB37" i="88" s="1"/>
  <c r="AA36" i="88"/>
  <c r="BB36" i="88" s="1"/>
  <c r="AA79" i="88"/>
  <c r="BB79" i="88" s="1"/>
  <c r="AA31" i="88"/>
  <c r="BB31" i="88" s="1"/>
  <c r="AA93" i="88"/>
  <c r="BB93" i="88" s="1"/>
  <c r="AA32" i="88"/>
  <c r="BB32" i="88" s="1"/>
  <c r="AA86" i="88"/>
  <c r="BB86" i="88" s="1"/>
  <c r="AA56" i="88"/>
  <c r="BB56" i="88" s="1"/>
  <c r="AA157" i="88"/>
  <c r="BB157" i="88" s="1"/>
  <c r="AA114" i="88"/>
  <c r="BB114" i="88" s="1"/>
  <c r="AA123" i="88"/>
  <c r="BB123" i="88" s="1"/>
  <c r="AA117" i="88"/>
  <c r="BB117" i="88" s="1"/>
  <c r="AA69" i="88"/>
  <c r="BB69" i="88" s="1"/>
  <c r="AA130" i="88"/>
  <c r="BB130" i="88" s="1"/>
  <c r="AA166" i="88"/>
  <c r="BB166" i="88" s="1"/>
  <c r="AA80" i="88"/>
  <c r="BB80" i="88" s="1"/>
  <c r="AA92" i="88"/>
  <c r="BB92" i="88" s="1"/>
  <c r="AA155" i="88"/>
  <c r="BB155" i="88" s="1"/>
  <c r="AA122" i="88"/>
  <c r="BB122" i="88" s="1"/>
  <c r="AA169" i="88"/>
  <c r="BB169" i="88" s="1"/>
  <c r="AA110" i="88"/>
  <c r="BB110" i="88" s="1"/>
  <c r="AA138" i="88"/>
  <c r="BB138" i="88" s="1"/>
  <c r="AA44" i="88"/>
  <c r="BB44" i="88" s="1"/>
  <c r="AA125" i="88"/>
  <c r="BB125" i="88" s="1"/>
  <c r="AA136" i="88"/>
  <c r="BB136" i="88" s="1"/>
  <c r="AA150" i="88"/>
  <c r="BB150" i="88" s="1"/>
  <c r="AA40" i="88"/>
  <c r="BB40" i="88" s="1"/>
  <c r="AA49" i="88"/>
  <c r="BB49" i="88" s="1"/>
  <c r="AA39" i="88"/>
  <c r="BB39" i="88" s="1"/>
  <c r="AA66" i="88"/>
  <c r="BB66" i="88" s="1"/>
  <c r="AA141" i="88"/>
  <c r="BB141" i="88" s="1"/>
  <c r="AA55" i="88"/>
  <c r="BB55" i="88" s="1"/>
  <c r="AA173" i="88"/>
  <c r="BB173" i="88" s="1"/>
  <c r="AA51" i="88"/>
  <c r="BB51" i="88" s="1"/>
  <c r="AA99" i="88"/>
  <c r="BB99" i="88" s="1"/>
  <c r="AA12" i="88"/>
  <c r="BB12" i="88" s="1"/>
  <c r="AA179" i="88"/>
  <c r="BB179" i="88" s="1"/>
  <c r="AA181" i="88"/>
  <c r="BB181" i="88" s="1"/>
  <c r="AA147" i="88"/>
  <c r="BB147" i="88" s="1"/>
  <c r="AA63" i="88"/>
  <c r="BB63" i="88" s="1"/>
  <c r="AA97" i="88"/>
  <c r="BB97" i="88" s="1"/>
  <c r="AA101" i="88"/>
  <c r="BB101" i="88" s="1"/>
  <c r="AA95" i="88"/>
  <c r="BB95" i="88" s="1"/>
  <c r="AA126" i="88"/>
  <c r="BB126" i="88" s="1"/>
  <c r="AA59" i="88"/>
  <c r="BB59" i="88" s="1"/>
  <c r="AA62" i="88"/>
  <c r="BB62" i="88" s="1"/>
  <c r="AA105" i="88"/>
  <c r="BB105" i="88" s="1"/>
  <c r="AA34" i="88"/>
  <c r="BB34" i="88" s="1"/>
  <c r="AA72" i="88"/>
  <c r="BB72" i="88" s="1"/>
  <c r="AA118" i="88"/>
  <c r="BB118" i="88" s="1"/>
  <c r="AA17" i="88"/>
  <c r="BB17" i="88" s="1"/>
  <c r="AA172" i="88"/>
  <c r="BB172" i="88" s="1"/>
  <c r="AA35" i="88"/>
  <c r="BB35" i="88" s="1"/>
  <c r="AA52" i="88"/>
  <c r="BB52" i="88" s="1"/>
  <c r="AA163" i="88"/>
  <c r="BB163" i="88" s="1"/>
  <c r="AA47" i="88"/>
  <c r="BB47" i="88" s="1"/>
  <c r="AA13" i="88"/>
  <c r="BB13" i="88" s="1"/>
  <c r="AA45" i="88"/>
  <c r="BB45" i="88" s="1"/>
  <c r="AA140" i="88"/>
  <c r="BB140" i="88" s="1"/>
  <c r="AA19" i="88"/>
  <c r="BB19" i="88" s="1"/>
  <c r="AA148" i="88"/>
  <c r="BB148" i="88" s="1"/>
  <c r="AA38" i="88"/>
  <c r="BB38" i="88" s="1"/>
  <c r="AA90" i="88"/>
  <c r="BB90" i="88" s="1"/>
  <c r="AA100" i="88"/>
  <c r="BB100" i="88" s="1"/>
  <c r="AA156" i="88"/>
  <c r="BB156" i="88" s="1"/>
  <c r="AA103" i="88"/>
  <c r="BB103" i="88" s="1"/>
  <c r="AC180" i="88"/>
  <c r="AC121" i="88"/>
  <c r="AC51" i="88"/>
  <c r="AC174" i="88"/>
  <c r="AC83" i="88"/>
  <c r="AC26" i="88"/>
  <c r="AC132" i="88"/>
  <c r="AC112" i="88"/>
  <c r="AC63" i="88"/>
  <c r="AC36" i="88"/>
  <c r="AC160" i="88"/>
  <c r="AC157" i="88"/>
  <c r="AC159" i="88"/>
  <c r="AC178" i="88"/>
  <c r="AC59" i="88"/>
  <c r="AC117" i="88"/>
  <c r="AC25" i="88"/>
  <c r="AC167" i="88"/>
  <c r="AC46" i="88"/>
  <c r="AC80" i="88"/>
  <c r="AC70" i="88"/>
  <c r="AC134" i="88"/>
  <c r="AC175" i="88"/>
  <c r="AC127" i="88"/>
  <c r="AC110" i="88"/>
  <c r="AC47" i="88"/>
  <c r="AC13" i="88"/>
  <c r="AC140" i="88"/>
  <c r="AC48" i="88"/>
  <c r="AC77" i="88"/>
  <c r="AC90" i="88"/>
  <c r="AC84" i="88"/>
  <c r="AC23" i="88"/>
  <c r="AC156" i="88"/>
  <c r="AC153" i="88"/>
  <c r="AC171" i="88"/>
  <c r="AC161" i="88"/>
  <c r="AC152" i="88"/>
  <c r="AC99" i="88"/>
  <c r="AC162" i="88"/>
  <c r="AC131" i="88"/>
  <c r="AC154" i="88"/>
  <c r="AC68" i="88"/>
  <c r="AC109" i="88"/>
  <c r="AC54" i="88"/>
  <c r="AC130" i="88"/>
  <c r="AC107" i="88"/>
  <c r="AC82" i="88"/>
  <c r="AC118" i="88"/>
  <c r="AC17" i="88"/>
  <c r="AC30" i="88"/>
  <c r="AC92" i="88"/>
  <c r="AC104" i="88"/>
  <c r="AC28" i="88"/>
  <c r="AC89" i="88"/>
  <c r="AC74" i="88"/>
  <c r="AC138" i="88"/>
  <c r="AC158" i="88"/>
  <c r="AC149" i="88"/>
  <c r="AC45" i="88"/>
  <c r="AC136" i="88"/>
  <c r="AC133" i="88"/>
  <c r="AC42" i="88"/>
  <c r="AC64" i="88"/>
  <c r="AC40" i="88"/>
  <c r="AC129" i="88"/>
  <c r="AC75" i="88"/>
  <c r="AC137" i="88"/>
  <c r="AC43" i="88"/>
  <c r="AC81" i="88"/>
  <c r="AC33" i="88"/>
  <c r="AC181" i="88"/>
  <c r="AC27" i="88"/>
  <c r="AC147" i="88"/>
  <c r="AC135" i="88"/>
  <c r="AC164" i="88"/>
  <c r="AC126" i="88"/>
  <c r="AC139" i="88"/>
  <c r="AC114" i="88"/>
  <c r="AC168" i="88"/>
  <c r="AC177" i="88"/>
  <c r="AC62" i="88"/>
  <c r="AC69" i="88"/>
  <c r="AC142" i="88"/>
  <c r="AC76" i="88"/>
  <c r="AC105" i="88"/>
  <c r="AC124" i="88"/>
  <c r="AC172" i="88"/>
  <c r="AC169" i="88"/>
  <c r="AC35" i="88"/>
  <c r="AC24" i="88"/>
  <c r="AC125" i="88"/>
  <c r="AC170" i="88"/>
  <c r="AC19" i="88"/>
  <c r="AC57" i="88"/>
  <c r="AC97" i="88"/>
  <c r="AC53" i="88"/>
  <c r="AC102" i="88"/>
  <c r="AC95" i="88"/>
  <c r="AC31" i="88"/>
  <c r="AC32" i="88"/>
  <c r="AC73" i="88"/>
  <c r="AC60" i="88"/>
  <c r="AC18" i="88"/>
  <c r="AC88" i="88"/>
  <c r="AC71" i="88"/>
  <c r="AC72" i="88"/>
  <c r="AC61" i="88"/>
  <c r="AC22" i="88"/>
  <c r="AC155" i="88"/>
  <c r="AC122" i="88"/>
  <c r="AC143" i="88"/>
  <c r="AC44" i="88"/>
  <c r="AC16" i="88"/>
  <c r="AC111" i="88"/>
  <c r="AC78" i="88"/>
  <c r="AC91" i="88"/>
  <c r="AC148" i="88"/>
  <c r="AC85" i="88"/>
  <c r="AC49" i="88"/>
  <c r="AC50" i="88"/>
  <c r="AC115" i="88"/>
  <c r="AC165" i="88"/>
  <c r="AC38" i="88"/>
  <c r="AC20" i="88"/>
  <c r="AC15" i="88"/>
  <c r="AC173" i="88"/>
  <c r="AC29" i="88"/>
  <c r="AC12" i="88"/>
  <c r="AC179" i="88"/>
  <c r="AC58" i="88"/>
  <c r="AC113" i="88"/>
  <c r="AC56" i="88"/>
  <c r="AC176" i="88"/>
  <c r="AC67" i="88"/>
  <c r="AC128" i="88"/>
  <c r="AC96" i="88"/>
  <c r="AC52" i="88"/>
  <c r="AC163" i="88"/>
  <c r="AC66" i="88"/>
  <c r="AC65" i="88"/>
  <c r="AC55" i="88"/>
  <c r="AC103" i="88"/>
  <c r="AC100" i="88"/>
  <c r="AC145" i="88"/>
  <c r="AC37" i="88"/>
  <c r="AC151" i="88"/>
  <c r="AC101" i="88"/>
  <c r="AC79" i="88"/>
  <c r="AC93" i="88"/>
  <c r="AC119" i="88"/>
  <c r="AC86" i="88"/>
  <c r="AC123" i="88"/>
  <c r="AC94" i="88"/>
  <c r="AC34" i="88"/>
  <c r="AC108" i="88"/>
  <c r="AC166" i="88"/>
  <c r="AC120" i="88"/>
  <c r="AC144" i="88"/>
  <c r="AC116" i="88"/>
  <c r="AC150" i="88"/>
  <c r="AC21" i="88"/>
  <c r="AC87" i="88"/>
  <c r="AC146" i="88"/>
  <c r="AC39" i="88"/>
  <c r="AC41" i="88"/>
  <c r="AC141" i="88"/>
  <c r="AC14" i="88"/>
  <c r="AC98" i="88"/>
  <c r="AC106" i="88"/>
  <c r="Z22" i="86"/>
  <c r="BB22" i="86" s="1"/>
  <c r="BB22" i="87" s="1"/>
  <c r="BH22" i="87" s="1"/>
  <c r="BK21" i="87"/>
  <c r="AI19" i="86"/>
  <c r="R15" i="86"/>
  <c r="Z12" i="86"/>
  <c r="Z20" i="86"/>
  <c r="BB20" i="86" s="1"/>
  <c r="BH20" i="86" s="1"/>
  <c r="AM23" i="87"/>
  <c r="BK27" i="86"/>
  <c r="BI27" i="87"/>
  <c r="BK27" i="87" s="1"/>
  <c r="BI26" i="87"/>
  <c r="BK26" i="87" s="1"/>
  <c r="BK26" i="86"/>
  <c r="AI20" i="86"/>
  <c r="BI20" i="86"/>
  <c r="BK19" i="86"/>
  <c r="BI19" i="87"/>
  <c r="BK19" i="87" s="1"/>
  <c r="BI25" i="87"/>
  <c r="BK25" i="87" s="1"/>
  <c r="BK25" i="86"/>
  <c r="BI24" i="87"/>
  <c r="BK24" i="87" s="1"/>
  <c r="BK24" i="86"/>
  <c r="AI22" i="86"/>
  <c r="BI22" i="86"/>
  <c r="BH18" i="86"/>
  <c r="BB18" i="87"/>
  <c r="BH18" i="87" s="1"/>
  <c r="BB20" i="87"/>
  <c r="BH20" i="87" s="1"/>
  <c r="BH19" i="86"/>
  <c r="BB19" i="87"/>
  <c r="BH19" i="87" s="1"/>
  <c r="BB23" i="87"/>
  <c r="BH23" i="87" s="1"/>
  <c r="BH23" i="86"/>
  <c r="BB21" i="87"/>
  <c r="W184" i="88" s="1"/>
  <c r="BH21" i="86"/>
  <c r="R13" i="86"/>
  <c r="R21" i="86"/>
  <c r="R20" i="86"/>
  <c r="Z15" i="86"/>
  <c r="AF15" i="86" s="1"/>
  <c r="AJ15" i="86" s="1"/>
  <c r="N24" i="84"/>
  <c r="O24" i="84"/>
  <c r="AA20" i="85"/>
  <c r="AB20" i="85"/>
  <c r="AG20" i="85"/>
  <c r="AC13" i="85"/>
  <c r="AG13" i="85"/>
  <c r="AC18" i="85"/>
  <c r="AB18" i="85"/>
  <c r="AA18" i="85"/>
  <c r="Y18" i="85"/>
  <c r="AD18" i="85"/>
  <c r="AF27" i="87"/>
  <c r="AJ27" i="87" s="1"/>
  <c r="AM27" i="87" s="1"/>
  <c r="M15" i="85"/>
  <c r="R15" i="85" s="1"/>
  <c r="Q23" i="85"/>
  <c r="X16" i="85"/>
  <c r="AE16" i="85"/>
  <c r="AD16" i="85"/>
  <c r="Y16" i="85"/>
  <c r="AG16" i="85"/>
  <c r="Q21" i="85"/>
  <c r="X28" i="82"/>
  <c r="Z28" i="82" s="1"/>
  <c r="O25" i="84"/>
  <c r="AJ19" i="87"/>
  <c r="AM19" i="87" s="1"/>
  <c r="Q26" i="85"/>
  <c r="Q25" i="85"/>
  <c r="K26" i="84"/>
  <c r="Q18" i="85"/>
  <c r="R18" i="86"/>
  <c r="AJ15" i="87"/>
  <c r="AM15" i="87" s="1"/>
  <c r="AJ21" i="87"/>
  <c r="AM21" i="87" s="1"/>
  <c r="AI186" i="88" s="1"/>
  <c r="AF20" i="87"/>
  <c r="AJ20" i="87" s="1"/>
  <c r="AM20" i="87" s="1"/>
  <c r="AF25" i="87"/>
  <c r="AJ25" i="87" s="1"/>
  <c r="AM25" i="87" s="1"/>
  <c r="AJ17" i="87"/>
  <c r="AM17" i="87" s="1"/>
  <c r="AI38" i="87"/>
  <c r="AG42" i="87"/>
  <c r="R38" i="87"/>
  <c r="R31" i="87"/>
  <c r="Z38" i="87"/>
  <c r="Z31" i="87"/>
  <c r="AF12" i="87"/>
  <c r="AF13" i="87"/>
  <c r="AJ13" i="87" s="1"/>
  <c r="AM13" i="87" s="1"/>
  <c r="AV38" i="87"/>
  <c r="M42" i="87"/>
  <c r="AI31" i="87"/>
  <c r="AF26" i="87"/>
  <c r="AJ26" i="87" s="1"/>
  <c r="AM26" i="87" s="1"/>
  <c r="AZ38" i="87"/>
  <c r="Q42" i="87"/>
  <c r="AF24" i="87"/>
  <c r="AJ24" i="87" s="1"/>
  <c r="AM24" i="87" s="1"/>
  <c r="AI14" i="86"/>
  <c r="AF13" i="86"/>
  <c r="AJ13" i="86" s="1"/>
  <c r="AM13" i="86" s="1"/>
  <c r="R14" i="86"/>
  <c r="AF19" i="86"/>
  <c r="AJ19" i="86" s="1"/>
  <c r="R19" i="86"/>
  <c r="Z17" i="86"/>
  <c r="Z16" i="86"/>
  <c r="AF16" i="86" s="1"/>
  <c r="AI16" i="86"/>
  <c r="Z14" i="86"/>
  <c r="R26" i="86"/>
  <c r="AF23" i="86"/>
  <c r="AJ23" i="86" s="1"/>
  <c r="AM23" i="86" s="1"/>
  <c r="Z25" i="86"/>
  <c r="BB25" i="86" s="1"/>
  <c r="R27" i="86"/>
  <c r="AG38" i="86"/>
  <c r="AI38" i="86" s="1"/>
  <c r="Z27" i="86"/>
  <c r="BB27" i="86" s="1"/>
  <c r="Y38" i="86"/>
  <c r="Y42" i="86" s="1"/>
  <c r="Q31" i="86"/>
  <c r="AZ38" i="86" s="1"/>
  <c r="AF12" i="86"/>
  <c r="AI25" i="86"/>
  <c r="AC38" i="86"/>
  <c r="AC42" i="86" s="1"/>
  <c r="AI27" i="86"/>
  <c r="X38" i="86"/>
  <c r="X42" i="86" s="1"/>
  <c r="Z24" i="86"/>
  <c r="BB24" i="86" s="1"/>
  <c r="AI24" i="86"/>
  <c r="AB38" i="86"/>
  <c r="AB42" i="86" s="1"/>
  <c r="AF21" i="86"/>
  <c r="AJ21" i="86" s="1"/>
  <c r="AD38" i="86"/>
  <c r="AD42" i="86" s="1"/>
  <c r="R24" i="86"/>
  <c r="AF20" i="86"/>
  <c r="AJ20" i="86" s="1"/>
  <c r="AM20" i="86" s="1"/>
  <c r="AA38" i="86"/>
  <c r="AA42" i="86" s="1"/>
  <c r="AF18" i="86"/>
  <c r="AJ18" i="86" s="1"/>
  <c r="M31" i="86"/>
  <c r="AE38" i="86"/>
  <c r="AE42" i="86" s="1"/>
  <c r="Z26" i="86"/>
  <c r="BB26" i="86" s="1"/>
  <c r="AI26" i="86"/>
  <c r="R25" i="86"/>
  <c r="AB24" i="85"/>
  <c r="AA24" i="85"/>
  <c r="AD24" i="85"/>
  <c r="Y24" i="85"/>
  <c r="AC24" i="85"/>
  <c r="X24" i="85"/>
  <c r="N38" i="85"/>
  <c r="N42" i="85" s="1"/>
  <c r="R25" i="85"/>
  <c r="AE26" i="85"/>
  <c r="AG26" i="85"/>
  <c r="M12" i="85"/>
  <c r="R12" i="85" s="1"/>
  <c r="AB13" i="85"/>
  <c r="AD13" i="85"/>
  <c r="AB26" i="85"/>
  <c r="Y26" i="85"/>
  <c r="Z26" i="85" s="1"/>
  <c r="Q13" i="85"/>
  <c r="R13" i="85" s="1"/>
  <c r="Y13" i="85"/>
  <c r="AE13" i="85"/>
  <c r="AA26" i="85"/>
  <c r="R17" i="85"/>
  <c r="X13" i="85"/>
  <c r="AG24" i="85"/>
  <c r="M22" i="85"/>
  <c r="Z23" i="85"/>
  <c r="K38" i="85"/>
  <c r="K42" i="85" s="1"/>
  <c r="X20" i="85"/>
  <c r="AE20" i="85"/>
  <c r="M24" i="85"/>
  <c r="R24" i="85" s="1"/>
  <c r="X25" i="85"/>
  <c r="Z25" i="85" s="1"/>
  <c r="AG25" i="85"/>
  <c r="X22" i="85"/>
  <c r="Y20" i="85"/>
  <c r="Z20" i="85" s="1"/>
  <c r="AD20" i="85"/>
  <c r="Q22" i="85"/>
  <c r="AE25" i="85"/>
  <c r="Y25" i="85"/>
  <c r="AC20" i="85"/>
  <c r="O38" i="85"/>
  <c r="O42" i="85" s="1"/>
  <c r="AB25" i="85"/>
  <c r="AE24" i="85"/>
  <c r="AD22" i="85"/>
  <c r="Y22" i="85"/>
  <c r="AC22" i="85"/>
  <c r="AA22" i="85"/>
  <c r="U31" i="85"/>
  <c r="U42" i="85" s="1"/>
  <c r="M18" i="85"/>
  <c r="R18" i="85" s="1"/>
  <c r="AG22" i="85"/>
  <c r="R23" i="85"/>
  <c r="R20" i="85"/>
  <c r="Z15" i="85"/>
  <c r="L38" i="85"/>
  <c r="L42" i="85" s="1"/>
  <c r="R14" i="85"/>
  <c r="R27" i="85"/>
  <c r="AI14" i="85"/>
  <c r="Z27" i="85"/>
  <c r="Z17" i="85"/>
  <c r="R21" i="85"/>
  <c r="R19" i="85"/>
  <c r="AI23" i="85"/>
  <c r="AI21" i="85"/>
  <c r="AI18" i="85"/>
  <c r="R26" i="85"/>
  <c r="AI20" i="85"/>
  <c r="Z16" i="85"/>
  <c r="Z14" i="85"/>
  <c r="AI27" i="85"/>
  <c r="AI15" i="85"/>
  <c r="R16" i="85"/>
  <c r="Z21" i="85"/>
  <c r="Z18" i="85"/>
  <c r="AI16" i="85"/>
  <c r="AI13" i="85"/>
  <c r="AI17" i="85"/>
  <c r="AF23" i="85"/>
  <c r="AI12" i="85"/>
  <c r="Z12" i="85"/>
  <c r="Z19" i="85"/>
  <c r="AI19" i="85"/>
  <c r="Z22" i="85"/>
  <c r="U22" i="84"/>
  <c r="U25" i="84"/>
  <c r="O22" i="84"/>
  <c r="L25" i="84"/>
  <c r="N25" i="84"/>
  <c r="K27" i="84"/>
  <c r="U23" i="84"/>
  <c r="K12" i="84"/>
  <c r="O12" i="84"/>
  <c r="N19" i="84"/>
  <c r="K17" i="84"/>
  <c r="L18" i="84"/>
  <c r="U17" i="84"/>
  <c r="AC17" i="84" s="1"/>
  <c r="O18" i="84"/>
  <c r="N18" i="84"/>
  <c r="L27" i="84"/>
  <c r="N27" i="84"/>
  <c r="O23" i="84"/>
  <c r="L12" i="84"/>
  <c r="O27" i="84"/>
  <c r="N23" i="84"/>
  <c r="Q14" i="84"/>
  <c r="U12" i="84"/>
  <c r="AB12" i="84" s="1"/>
  <c r="M14" i="84"/>
  <c r="K23" i="84"/>
  <c r="L19" i="84"/>
  <c r="L17" i="84"/>
  <c r="N17" i="84"/>
  <c r="U18" i="84"/>
  <c r="AC18" i="84" s="1"/>
  <c r="N21" i="84"/>
  <c r="U15" i="84"/>
  <c r="X15" i="84" s="1"/>
  <c r="U19" i="84"/>
  <c r="AC19" i="84" s="1"/>
  <c r="O21" i="84"/>
  <c r="K24" i="84"/>
  <c r="O15" i="84"/>
  <c r="K19" i="84"/>
  <c r="U21" i="84"/>
  <c r="AD21" i="84" s="1"/>
  <c r="L21" i="84"/>
  <c r="U24" i="84"/>
  <c r="L15" i="84"/>
  <c r="N15" i="84"/>
  <c r="L24" i="84"/>
  <c r="O16" i="84"/>
  <c r="K13" i="84"/>
  <c r="U13" i="84"/>
  <c r="U20" i="84"/>
  <c r="U16" i="84"/>
  <c r="AA16" i="84" s="1"/>
  <c r="Q20" i="84"/>
  <c r="L16" i="84"/>
  <c r="N16" i="84"/>
  <c r="L20" i="84"/>
  <c r="L13" i="84"/>
  <c r="I31" i="84"/>
  <c r="I42" i="84" s="1"/>
  <c r="O13" i="84"/>
  <c r="N20" i="84"/>
  <c r="Y14" i="84"/>
  <c r="AB14" i="84"/>
  <c r="AD14" i="84"/>
  <c r="AE14" i="84"/>
  <c r="AC14" i="84"/>
  <c r="X14" i="84"/>
  <c r="AG14" i="84"/>
  <c r="Q17" i="84"/>
  <c r="M22" i="84"/>
  <c r="Q26" i="84"/>
  <c r="Q19" i="84"/>
  <c r="Q24" i="84"/>
  <c r="Q25" i="84"/>
  <c r="AD12" i="84"/>
  <c r="Q18" i="84"/>
  <c r="M26" i="84"/>
  <c r="AA17" i="84"/>
  <c r="AG23" i="84"/>
  <c r="AC23" i="84"/>
  <c r="Y23" i="84"/>
  <c r="AB23" i="84"/>
  <c r="X23" i="84"/>
  <c r="AD23" i="84"/>
  <c r="AA23" i="84"/>
  <c r="AE23" i="84"/>
  <c r="AB22" i="84"/>
  <c r="X22" i="84"/>
  <c r="AD22" i="84"/>
  <c r="AC22" i="84"/>
  <c r="AA22" i="84"/>
  <c r="AE22" i="84"/>
  <c r="AG22" i="84"/>
  <c r="Y22" i="84"/>
  <c r="AD26" i="84"/>
  <c r="AE26" i="84"/>
  <c r="AA26" i="84"/>
  <c r="AC26" i="84"/>
  <c r="AB26" i="84"/>
  <c r="X26" i="84"/>
  <c r="AG26" i="84"/>
  <c r="Y26" i="84"/>
  <c r="AD25" i="84"/>
  <c r="AE25" i="84"/>
  <c r="AA25" i="84"/>
  <c r="AC25" i="84"/>
  <c r="AB25" i="84"/>
  <c r="X25" i="84"/>
  <c r="Y25" i="84"/>
  <c r="AG25" i="84"/>
  <c r="Y21" i="84"/>
  <c r="AD27" i="84"/>
  <c r="AE27" i="84"/>
  <c r="AA27" i="84"/>
  <c r="AC27" i="84"/>
  <c r="AB27" i="84"/>
  <c r="X27" i="84"/>
  <c r="AG27" i="84"/>
  <c r="Y27" i="84"/>
  <c r="Q22" i="84"/>
  <c r="M25" i="84"/>
  <c r="AJ28" i="84"/>
  <c r="I20" i="83"/>
  <c r="K20" i="83" s="1"/>
  <c r="I19" i="83"/>
  <c r="K19" i="83" s="1"/>
  <c r="I23" i="83"/>
  <c r="U23" i="83" s="1"/>
  <c r="N12" i="83"/>
  <c r="H42" i="83"/>
  <c r="I13" i="83"/>
  <c r="N13" i="83" s="1"/>
  <c r="I22" i="83"/>
  <c r="O22" i="83" s="1"/>
  <c r="I18" i="83"/>
  <c r="N18" i="83" s="1"/>
  <c r="I15" i="83"/>
  <c r="O15" i="83" s="1"/>
  <c r="I21" i="83"/>
  <c r="N21" i="83" s="1"/>
  <c r="O12" i="83"/>
  <c r="I17" i="83"/>
  <c r="U17" i="83" s="1"/>
  <c r="L12" i="83"/>
  <c r="I26" i="83"/>
  <c r="I16" i="83"/>
  <c r="N16" i="83" s="1"/>
  <c r="I24" i="83"/>
  <c r="K12" i="83"/>
  <c r="I14" i="83"/>
  <c r="L14" i="83" s="1"/>
  <c r="I25" i="83"/>
  <c r="U25" i="83" s="1"/>
  <c r="I27" i="83"/>
  <c r="AD12" i="83"/>
  <c r="AE12" i="83"/>
  <c r="Y12" i="83"/>
  <c r="X12" i="83"/>
  <c r="AC12" i="83"/>
  <c r="AG12" i="83"/>
  <c r="AA12" i="83"/>
  <c r="O17" i="83"/>
  <c r="AF28" i="83"/>
  <c r="O18" i="83"/>
  <c r="O19" i="83"/>
  <c r="AI28" i="83"/>
  <c r="AM51" i="82"/>
  <c r="AO51" i="82"/>
  <c r="M28" i="82"/>
  <c r="R28" i="82" s="1"/>
  <c r="H31" i="82"/>
  <c r="I14" i="82" s="1"/>
  <c r="N14" i="82" s="1"/>
  <c r="F34" i="82"/>
  <c r="AN34" i="82"/>
  <c r="AN52" i="82" s="1"/>
  <c r="BI38" i="82"/>
  <c r="G42" i="82"/>
  <c r="AI28" i="82"/>
  <c r="P38" i="82"/>
  <c r="P42" i="82" s="1"/>
  <c r="AY38" i="82"/>
  <c r="AA28" i="82"/>
  <c r="AE28" i="82"/>
  <c r="H38" i="82"/>
  <c r="AG31" i="81"/>
  <c r="AN31" i="81"/>
  <c r="Y31" i="81"/>
  <c r="AD31" i="81"/>
  <c r="X31" i="81"/>
  <c r="AK31" i="81" s="1"/>
  <c r="AN51" i="81"/>
  <c r="AM49" i="81"/>
  <c r="AO49" i="81" s="1"/>
  <c r="AM46" i="81"/>
  <c r="AO45" i="81"/>
  <c r="AY38" i="81"/>
  <c r="AX38" i="81"/>
  <c r="AW38" i="81"/>
  <c r="AH38" i="81"/>
  <c r="M38" i="81"/>
  <c r="G38" i="81"/>
  <c r="BA31" i="81"/>
  <c r="AQ31" i="81"/>
  <c r="AP31" i="81"/>
  <c r="T31" i="81"/>
  <c r="P31" i="81"/>
  <c r="G31" i="81"/>
  <c r="AR38" i="81" s="1"/>
  <c r="F31" i="81"/>
  <c r="F34" i="81" s="1"/>
  <c r="U28" i="81"/>
  <c r="AE28" i="81" s="1"/>
  <c r="O28" i="81"/>
  <c r="N28" i="81"/>
  <c r="L28" i="81"/>
  <c r="K28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/>
  <c r="AM18" i="86" l="1"/>
  <c r="BH22" i="86"/>
  <c r="AF22" i="86"/>
  <c r="AJ22" i="86" s="1"/>
  <c r="AM22" i="86" s="1"/>
  <c r="BA14" i="88"/>
  <c r="BA184" i="88" s="1"/>
  <c r="Z186" i="88"/>
  <c r="Y186" i="88"/>
  <c r="AZ14" i="88"/>
  <c r="AZ184" i="88" s="1"/>
  <c r="BB14" i="88"/>
  <c r="BB184" i="88" s="1"/>
  <c r="AA186" i="88"/>
  <c r="BD14" i="88"/>
  <c r="AG14" i="88"/>
  <c r="AC186" i="88"/>
  <c r="BD21" i="88"/>
  <c r="BF21" i="88" s="1"/>
  <c r="AG21" i="88"/>
  <c r="AG108" i="88"/>
  <c r="BD108" i="88"/>
  <c r="BF108" i="88" s="1"/>
  <c r="BD93" i="88"/>
  <c r="BF93" i="88" s="1"/>
  <c r="AG93" i="88"/>
  <c r="BD100" i="88"/>
  <c r="BF100" i="88" s="1"/>
  <c r="AG100" i="88"/>
  <c r="BD52" i="88"/>
  <c r="BF52" i="88" s="1"/>
  <c r="AG52" i="88"/>
  <c r="AG113" i="88"/>
  <c r="BD113" i="88"/>
  <c r="BF113" i="88" s="1"/>
  <c r="BD15" i="88"/>
  <c r="BF15" i="88" s="1"/>
  <c r="AG15" i="88"/>
  <c r="AG49" i="88"/>
  <c r="BD49" i="88"/>
  <c r="BF49" i="88" s="1"/>
  <c r="BD16" i="88"/>
  <c r="BF16" i="88" s="1"/>
  <c r="AG16" i="88"/>
  <c r="AG61" i="88"/>
  <c r="BD61" i="88"/>
  <c r="BF61" i="88" s="1"/>
  <c r="AG73" i="88"/>
  <c r="BD73" i="88"/>
  <c r="BF73" i="88" s="1"/>
  <c r="BD97" i="88"/>
  <c r="BF97" i="88" s="1"/>
  <c r="AG97" i="88"/>
  <c r="AG35" i="88"/>
  <c r="BD35" i="88"/>
  <c r="BF35" i="88" s="1"/>
  <c r="BD142" i="88"/>
  <c r="BF142" i="88" s="1"/>
  <c r="AG142" i="88"/>
  <c r="BD139" i="88"/>
  <c r="BF139" i="88" s="1"/>
  <c r="AG139" i="88"/>
  <c r="BD181" i="88"/>
  <c r="BF181" i="88" s="1"/>
  <c r="AG181" i="88"/>
  <c r="AG129" i="88"/>
  <c r="BD129" i="88"/>
  <c r="BF129" i="88" s="1"/>
  <c r="AG45" i="88"/>
  <c r="BD45" i="88"/>
  <c r="BF45" i="88" s="1"/>
  <c r="BD28" i="88"/>
  <c r="BF28" i="88" s="1"/>
  <c r="AG28" i="88"/>
  <c r="AG82" i="88"/>
  <c r="BD82" i="88"/>
  <c r="BF82" i="88" s="1"/>
  <c r="BD154" i="88"/>
  <c r="BF154" i="88" s="1"/>
  <c r="AG154" i="88"/>
  <c r="BD171" i="88"/>
  <c r="BF171" i="88" s="1"/>
  <c r="AG171" i="88"/>
  <c r="BD77" i="88"/>
  <c r="BF77" i="88" s="1"/>
  <c r="AG77" i="88"/>
  <c r="AG127" i="88"/>
  <c r="BD127" i="88"/>
  <c r="BF127" i="88" s="1"/>
  <c r="BD167" i="88"/>
  <c r="BF167" i="88" s="1"/>
  <c r="AG167" i="88"/>
  <c r="AG157" i="88"/>
  <c r="BD157" i="88"/>
  <c r="BF157" i="88" s="1"/>
  <c r="BD26" i="88"/>
  <c r="BF26" i="88" s="1"/>
  <c r="AG26" i="88"/>
  <c r="AG141" i="88"/>
  <c r="BD141" i="88"/>
  <c r="BF141" i="88" s="1"/>
  <c r="AG150" i="88"/>
  <c r="BD150" i="88"/>
  <c r="BF150" i="88" s="1"/>
  <c r="BD34" i="88"/>
  <c r="BF34" i="88" s="1"/>
  <c r="AG34" i="88"/>
  <c r="BD79" i="88"/>
  <c r="BF79" i="88" s="1"/>
  <c r="AG79" i="88"/>
  <c r="BD103" i="88"/>
  <c r="BF103" i="88" s="1"/>
  <c r="AG103" i="88"/>
  <c r="BD96" i="88"/>
  <c r="BF96" i="88" s="1"/>
  <c r="AG96" i="88"/>
  <c r="AG58" i="88"/>
  <c r="BD58" i="88"/>
  <c r="BF58" i="88" s="1"/>
  <c r="AG20" i="88"/>
  <c r="BD20" i="88"/>
  <c r="BF20" i="88" s="1"/>
  <c r="BD85" i="88"/>
  <c r="BF85" i="88" s="1"/>
  <c r="AG85" i="88"/>
  <c r="AG44" i="88"/>
  <c r="BD44" i="88"/>
  <c r="BF44" i="88" s="1"/>
  <c r="BD72" i="88"/>
  <c r="BF72" i="88" s="1"/>
  <c r="AG72" i="88"/>
  <c r="AG32" i="88"/>
  <c r="BD32" i="88"/>
  <c r="BF32" i="88" s="1"/>
  <c r="BD57" i="88"/>
  <c r="BF57" i="88" s="1"/>
  <c r="AG57" i="88"/>
  <c r="AG169" i="88"/>
  <c r="BD169" i="88"/>
  <c r="BF169" i="88" s="1"/>
  <c r="BD69" i="88"/>
  <c r="BF69" i="88" s="1"/>
  <c r="AG69" i="88"/>
  <c r="AG126" i="88"/>
  <c r="BD126" i="88"/>
  <c r="BF126" i="88" s="1"/>
  <c r="BD33" i="88"/>
  <c r="BF33" i="88" s="1"/>
  <c r="AG33" i="88"/>
  <c r="AG40" i="88"/>
  <c r="BD40" i="88"/>
  <c r="BF40" i="88" s="1"/>
  <c r="AG149" i="88"/>
  <c r="BD149" i="88"/>
  <c r="BF149" i="88" s="1"/>
  <c r="AG104" i="88"/>
  <c r="BD104" i="88"/>
  <c r="BF104" i="88" s="1"/>
  <c r="AG107" i="88"/>
  <c r="BD107" i="88"/>
  <c r="BF107" i="88" s="1"/>
  <c r="AG131" i="88"/>
  <c r="BD131" i="88"/>
  <c r="BF131" i="88" s="1"/>
  <c r="BD153" i="88"/>
  <c r="BF153" i="88" s="1"/>
  <c r="AG153" i="88"/>
  <c r="AG48" i="88"/>
  <c r="BD48" i="88"/>
  <c r="BF48" i="88" s="1"/>
  <c r="AG175" i="88"/>
  <c r="BD175" i="88"/>
  <c r="BF175" i="88" s="1"/>
  <c r="BD25" i="88"/>
  <c r="BF25" i="88" s="1"/>
  <c r="AG25" i="88"/>
  <c r="AG160" i="88"/>
  <c r="BD160" i="88"/>
  <c r="BF160" i="88" s="1"/>
  <c r="AG83" i="88"/>
  <c r="BD83" i="88"/>
  <c r="BF83" i="88" s="1"/>
  <c r="AG41" i="88"/>
  <c r="BD41" i="88"/>
  <c r="BF41" i="88" s="1"/>
  <c r="AG116" i="88"/>
  <c r="BD116" i="88"/>
  <c r="BF116" i="88" s="1"/>
  <c r="BD94" i="88"/>
  <c r="BF94" i="88" s="1"/>
  <c r="AG94" i="88"/>
  <c r="AG101" i="88"/>
  <c r="BD101" i="88"/>
  <c r="BF101" i="88" s="1"/>
  <c r="BD55" i="88"/>
  <c r="BF55" i="88" s="1"/>
  <c r="AG55" i="88"/>
  <c r="BD128" i="88"/>
  <c r="BF128" i="88" s="1"/>
  <c r="AG128" i="88"/>
  <c r="AG179" i="88"/>
  <c r="BD179" i="88"/>
  <c r="BF179" i="88" s="1"/>
  <c r="BD38" i="88"/>
  <c r="BF38" i="88" s="1"/>
  <c r="AG38" i="88"/>
  <c r="AG148" i="88"/>
  <c r="BD148" i="88"/>
  <c r="BF148" i="88" s="1"/>
  <c r="BD143" i="88"/>
  <c r="BF143" i="88" s="1"/>
  <c r="AG143" i="88"/>
  <c r="AG71" i="88"/>
  <c r="BD71" i="88"/>
  <c r="BF71" i="88" s="1"/>
  <c r="AG31" i="88"/>
  <c r="BD31" i="88"/>
  <c r="BF31" i="88" s="1"/>
  <c r="AG19" i="88"/>
  <c r="BD19" i="88"/>
  <c r="BF19" i="88" s="1"/>
  <c r="BD172" i="88"/>
  <c r="BF172" i="88" s="1"/>
  <c r="AG172" i="88"/>
  <c r="AG62" i="88"/>
  <c r="BD62" i="88"/>
  <c r="BF62" i="88" s="1"/>
  <c r="AG164" i="88"/>
  <c r="BD164" i="88"/>
  <c r="BF164" i="88" s="1"/>
  <c r="AG81" i="88"/>
  <c r="BD81" i="88"/>
  <c r="BF81" i="88" s="1"/>
  <c r="AG64" i="88"/>
  <c r="BD64" i="88"/>
  <c r="BF64" i="88" s="1"/>
  <c r="AG158" i="88"/>
  <c r="BD158" i="88"/>
  <c r="BF158" i="88" s="1"/>
  <c r="BD92" i="88"/>
  <c r="BF92" i="88" s="1"/>
  <c r="AG92" i="88"/>
  <c r="BD130" i="88"/>
  <c r="BF130" i="88" s="1"/>
  <c r="AG130" i="88"/>
  <c r="AG162" i="88"/>
  <c r="BD162" i="88"/>
  <c r="BF162" i="88" s="1"/>
  <c r="AG156" i="88"/>
  <c r="BD156" i="88"/>
  <c r="BF156" i="88" s="1"/>
  <c r="AG140" i="88"/>
  <c r="BD140" i="88"/>
  <c r="BF140" i="88" s="1"/>
  <c r="AG134" i="88"/>
  <c r="BD134" i="88"/>
  <c r="BF134" i="88" s="1"/>
  <c r="BD117" i="88"/>
  <c r="BF117" i="88" s="1"/>
  <c r="AG117" i="88"/>
  <c r="BD36" i="88"/>
  <c r="BF36" i="88" s="1"/>
  <c r="AG36" i="88"/>
  <c r="BD174" i="88"/>
  <c r="BF174" i="88" s="1"/>
  <c r="AG174" i="88"/>
  <c r="BD39" i="88"/>
  <c r="BF39" i="88" s="1"/>
  <c r="AG39" i="88"/>
  <c r="AG144" i="88"/>
  <c r="BD144" i="88"/>
  <c r="BF144" i="88" s="1"/>
  <c r="BD123" i="88"/>
  <c r="BF123" i="88" s="1"/>
  <c r="AG123" i="88"/>
  <c r="AG151" i="88"/>
  <c r="BD151" i="88"/>
  <c r="BF151" i="88" s="1"/>
  <c r="BD65" i="88"/>
  <c r="BF65" i="88" s="1"/>
  <c r="AG65" i="88"/>
  <c r="BD67" i="88"/>
  <c r="BF67" i="88" s="1"/>
  <c r="AG67" i="88"/>
  <c r="AG12" i="88"/>
  <c r="BD12" i="88"/>
  <c r="BF12" i="88" s="1"/>
  <c r="AG165" i="88"/>
  <c r="BD165" i="88"/>
  <c r="BF165" i="88" s="1"/>
  <c r="AG91" i="88"/>
  <c r="BD91" i="88"/>
  <c r="BF91" i="88" s="1"/>
  <c r="AG122" i="88"/>
  <c r="BD122" i="88"/>
  <c r="BF122" i="88" s="1"/>
  <c r="BD88" i="88"/>
  <c r="BF88" i="88" s="1"/>
  <c r="AG88" i="88"/>
  <c r="BD95" i="88"/>
  <c r="BF95" i="88" s="1"/>
  <c r="AG95" i="88"/>
  <c r="AG170" i="88"/>
  <c r="BD170" i="88"/>
  <c r="BF170" i="88" s="1"/>
  <c r="AG124" i="88"/>
  <c r="BD124" i="88"/>
  <c r="BF124" i="88" s="1"/>
  <c r="AG177" i="88"/>
  <c r="BD177" i="88"/>
  <c r="BF177" i="88" s="1"/>
  <c r="AG135" i="88"/>
  <c r="BD135" i="88"/>
  <c r="BF135" i="88" s="1"/>
  <c r="AG43" i="88"/>
  <c r="BD43" i="88"/>
  <c r="BF43" i="88" s="1"/>
  <c r="BD42" i="88"/>
  <c r="BF42" i="88" s="1"/>
  <c r="AG42" i="88"/>
  <c r="BD138" i="88"/>
  <c r="BF138" i="88" s="1"/>
  <c r="AG138" i="88"/>
  <c r="BD30" i="88"/>
  <c r="BF30" i="88" s="1"/>
  <c r="AG30" i="88"/>
  <c r="AG54" i="88"/>
  <c r="BD54" i="88"/>
  <c r="BF54" i="88" s="1"/>
  <c r="AG99" i="88"/>
  <c r="BD99" i="88"/>
  <c r="BF99" i="88" s="1"/>
  <c r="AG23" i="88"/>
  <c r="BD23" i="88"/>
  <c r="BF23" i="88" s="1"/>
  <c r="BD13" i="88"/>
  <c r="BF13" i="88" s="1"/>
  <c r="AG13" i="88"/>
  <c r="AG70" i="88"/>
  <c r="BD70" i="88"/>
  <c r="BF70" i="88" s="1"/>
  <c r="BD59" i="88"/>
  <c r="BF59" i="88" s="1"/>
  <c r="AG59" i="88"/>
  <c r="AG63" i="88"/>
  <c r="BD63" i="88"/>
  <c r="BF63" i="88" s="1"/>
  <c r="BD51" i="88"/>
  <c r="BF51" i="88" s="1"/>
  <c r="AG51" i="88"/>
  <c r="AG106" i="88"/>
  <c r="BD106" i="88"/>
  <c r="BF106" i="88" s="1"/>
  <c r="BD146" i="88"/>
  <c r="BF146" i="88" s="1"/>
  <c r="AG146" i="88"/>
  <c r="BD120" i="88"/>
  <c r="BF120" i="88" s="1"/>
  <c r="AG120" i="88"/>
  <c r="AG86" i="88"/>
  <c r="BD86" i="88"/>
  <c r="BF86" i="88" s="1"/>
  <c r="BD37" i="88"/>
  <c r="BF37" i="88" s="1"/>
  <c r="AG37" i="88"/>
  <c r="BD66" i="88"/>
  <c r="BF66" i="88" s="1"/>
  <c r="AG66" i="88"/>
  <c r="BD176" i="88"/>
  <c r="BF176" i="88" s="1"/>
  <c r="AG176" i="88"/>
  <c r="BD29" i="88"/>
  <c r="BF29" i="88" s="1"/>
  <c r="AG29" i="88"/>
  <c r="BD115" i="88"/>
  <c r="BF115" i="88" s="1"/>
  <c r="AG115" i="88"/>
  <c r="AG78" i="88"/>
  <c r="BD78" i="88"/>
  <c r="BF78" i="88" s="1"/>
  <c r="BD155" i="88"/>
  <c r="BF155" i="88" s="1"/>
  <c r="AG155" i="88"/>
  <c r="BD18" i="88"/>
  <c r="BF18" i="88" s="1"/>
  <c r="AG18" i="88"/>
  <c r="BD102" i="88"/>
  <c r="BF102" i="88" s="1"/>
  <c r="AG102" i="88"/>
  <c r="AG125" i="88"/>
  <c r="BD125" i="88"/>
  <c r="BF125" i="88" s="1"/>
  <c r="BD105" i="88"/>
  <c r="BF105" i="88" s="1"/>
  <c r="AG105" i="88"/>
  <c r="BD168" i="88"/>
  <c r="BF168" i="88" s="1"/>
  <c r="AG168" i="88"/>
  <c r="BD147" i="88"/>
  <c r="BF147" i="88" s="1"/>
  <c r="AG147" i="88"/>
  <c r="AG137" i="88"/>
  <c r="BD137" i="88"/>
  <c r="BF137" i="88" s="1"/>
  <c r="AG133" i="88"/>
  <c r="BD133" i="88"/>
  <c r="BF133" i="88" s="1"/>
  <c r="BD74" i="88"/>
  <c r="BF74" i="88" s="1"/>
  <c r="AG74" i="88"/>
  <c r="BD17" i="88"/>
  <c r="BF17" i="88" s="1"/>
  <c r="AG17" i="88"/>
  <c r="AG109" i="88"/>
  <c r="BD109" i="88"/>
  <c r="BF109" i="88" s="1"/>
  <c r="BD152" i="88"/>
  <c r="BF152" i="88" s="1"/>
  <c r="AG152" i="88"/>
  <c r="BD84" i="88"/>
  <c r="BF84" i="88" s="1"/>
  <c r="AG84" i="88"/>
  <c r="BD47" i="88"/>
  <c r="BF47" i="88" s="1"/>
  <c r="AG47" i="88"/>
  <c r="AG80" i="88"/>
  <c r="BD80" i="88"/>
  <c r="BF80" i="88" s="1"/>
  <c r="BD178" i="88"/>
  <c r="BF178" i="88" s="1"/>
  <c r="AG178" i="88"/>
  <c r="BD112" i="88"/>
  <c r="BF112" i="88" s="1"/>
  <c r="AG112" i="88"/>
  <c r="BD121" i="88"/>
  <c r="BF121" i="88" s="1"/>
  <c r="AG121" i="88"/>
  <c r="BD98" i="88"/>
  <c r="BF98" i="88" s="1"/>
  <c r="AG98" i="88"/>
  <c r="AG87" i="88"/>
  <c r="BD87" i="88"/>
  <c r="BF87" i="88" s="1"/>
  <c r="BD166" i="88"/>
  <c r="BF166" i="88" s="1"/>
  <c r="AG166" i="88"/>
  <c r="BD119" i="88"/>
  <c r="BF119" i="88" s="1"/>
  <c r="AG119" i="88"/>
  <c r="BD145" i="88"/>
  <c r="BF145" i="88" s="1"/>
  <c r="AG145" i="88"/>
  <c r="AG163" i="88"/>
  <c r="BD163" i="88"/>
  <c r="BF163" i="88" s="1"/>
  <c r="BD56" i="88"/>
  <c r="BF56" i="88" s="1"/>
  <c r="AG56" i="88"/>
  <c r="BD173" i="88"/>
  <c r="BF173" i="88" s="1"/>
  <c r="AG173" i="88"/>
  <c r="BD50" i="88"/>
  <c r="BF50" i="88" s="1"/>
  <c r="AG50" i="88"/>
  <c r="AG111" i="88"/>
  <c r="BD111" i="88"/>
  <c r="BF111" i="88" s="1"/>
  <c r="AG22" i="88"/>
  <c r="BD22" i="88"/>
  <c r="BF22" i="88" s="1"/>
  <c r="AG60" i="88"/>
  <c r="BD60" i="88"/>
  <c r="BF60" i="88" s="1"/>
  <c r="BD53" i="88"/>
  <c r="BF53" i="88" s="1"/>
  <c r="AG53" i="88"/>
  <c r="AG24" i="88"/>
  <c r="BD24" i="88"/>
  <c r="BF24" i="88" s="1"/>
  <c r="BD76" i="88"/>
  <c r="BF76" i="88" s="1"/>
  <c r="AG76" i="88"/>
  <c r="AG114" i="88"/>
  <c r="BD114" i="88"/>
  <c r="BF114" i="88" s="1"/>
  <c r="AG27" i="88"/>
  <c r="BD27" i="88"/>
  <c r="BF27" i="88" s="1"/>
  <c r="AG75" i="88"/>
  <c r="BD75" i="88"/>
  <c r="BF75" i="88" s="1"/>
  <c r="AG136" i="88"/>
  <c r="BD136" i="88"/>
  <c r="BF136" i="88" s="1"/>
  <c r="BD89" i="88"/>
  <c r="BF89" i="88" s="1"/>
  <c r="AG89" i="88"/>
  <c r="AG118" i="88"/>
  <c r="BD118" i="88"/>
  <c r="BF118" i="88" s="1"/>
  <c r="BD68" i="88"/>
  <c r="BF68" i="88" s="1"/>
  <c r="AG68" i="88"/>
  <c r="BD161" i="88"/>
  <c r="BF161" i="88" s="1"/>
  <c r="AG161" i="88"/>
  <c r="AG90" i="88"/>
  <c r="BD90" i="88"/>
  <c r="BF90" i="88" s="1"/>
  <c r="BD110" i="88"/>
  <c r="BF110" i="88" s="1"/>
  <c r="AG110" i="88"/>
  <c r="BD46" i="88"/>
  <c r="BF46" i="88" s="1"/>
  <c r="AG46" i="88"/>
  <c r="BD159" i="88"/>
  <c r="BF159" i="88" s="1"/>
  <c r="AG159" i="88"/>
  <c r="BD132" i="88"/>
  <c r="BF132" i="88" s="1"/>
  <c r="AG132" i="88"/>
  <c r="AG180" i="88"/>
  <c r="BD180" i="88"/>
  <c r="BF180" i="88" s="1"/>
  <c r="BM23" i="87"/>
  <c r="BM18" i="87"/>
  <c r="BM19" i="87"/>
  <c r="W180" i="88"/>
  <c r="W58" i="88"/>
  <c r="W181" i="88"/>
  <c r="W27" i="88"/>
  <c r="W160" i="88"/>
  <c r="W93" i="88"/>
  <c r="W126" i="88"/>
  <c r="W139" i="88"/>
  <c r="W131" i="88"/>
  <c r="W123" i="88"/>
  <c r="W60" i="88"/>
  <c r="W76" i="88"/>
  <c r="W34" i="88"/>
  <c r="W166" i="88"/>
  <c r="W61" i="88"/>
  <c r="W82" i="88"/>
  <c r="W17" i="88"/>
  <c r="W172" i="88"/>
  <c r="W155" i="88"/>
  <c r="W175" i="88"/>
  <c r="W127" i="88"/>
  <c r="W138" i="88"/>
  <c r="W24" i="88"/>
  <c r="W45" i="88"/>
  <c r="W91" i="88"/>
  <c r="W48" i="88"/>
  <c r="W146" i="88"/>
  <c r="W115" i="88"/>
  <c r="W14" i="88"/>
  <c r="W98" i="88"/>
  <c r="W103" i="88"/>
  <c r="W106" i="88"/>
  <c r="W121" i="88"/>
  <c r="W173" i="88"/>
  <c r="W137" i="88"/>
  <c r="W161" i="88"/>
  <c r="W81" i="88"/>
  <c r="W152" i="88"/>
  <c r="W12" i="88"/>
  <c r="W37" i="88"/>
  <c r="W63" i="88"/>
  <c r="W97" i="88"/>
  <c r="W113" i="88"/>
  <c r="W32" i="88"/>
  <c r="W56" i="88"/>
  <c r="W168" i="88"/>
  <c r="W154" i="88"/>
  <c r="W109" i="88"/>
  <c r="W88" i="88"/>
  <c r="W22" i="88"/>
  <c r="W120" i="88"/>
  <c r="W92" i="88"/>
  <c r="W169" i="88"/>
  <c r="W35" i="88"/>
  <c r="W52" i="88"/>
  <c r="W110" i="88"/>
  <c r="W158" i="88"/>
  <c r="W47" i="88"/>
  <c r="W111" i="88"/>
  <c r="W78" i="88"/>
  <c r="W150" i="88"/>
  <c r="W87" i="88"/>
  <c r="W64" i="88"/>
  <c r="W40" i="88"/>
  <c r="W129" i="88"/>
  <c r="W66" i="88"/>
  <c r="W141" i="88"/>
  <c r="W165" i="88"/>
  <c r="W38" i="88"/>
  <c r="W75" i="88"/>
  <c r="W77" i="88"/>
  <c r="W84" i="88"/>
  <c r="W20" i="88"/>
  <c r="W51" i="88"/>
  <c r="W83" i="88"/>
  <c r="W29" i="88"/>
  <c r="W135" i="88"/>
  <c r="W36" i="88"/>
  <c r="W79" i="88"/>
  <c r="W102" i="88"/>
  <c r="W31" i="88"/>
  <c r="W86" i="88"/>
  <c r="W159" i="88"/>
  <c r="W67" i="88"/>
  <c r="W72" i="88"/>
  <c r="W107" i="88"/>
  <c r="W124" i="88"/>
  <c r="W122" i="88"/>
  <c r="W28" i="88"/>
  <c r="W89" i="88"/>
  <c r="W133" i="88"/>
  <c r="W170" i="88"/>
  <c r="W21" i="88"/>
  <c r="W140" i="88"/>
  <c r="W42" i="88"/>
  <c r="W85" i="88"/>
  <c r="W41" i="88"/>
  <c r="W65" i="88"/>
  <c r="W156" i="88"/>
  <c r="W43" i="88"/>
  <c r="W26" i="88"/>
  <c r="W33" i="88"/>
  <c r="W99" i="88"/>
  <c r="W132" i="88"/>
  <c r="W179" i="88"/>
  <c r="W95" i="88"/>
  <c r="W162" i="88"/>
  <c r="W114" i="88"/>
  <c r="W128" i="88"/>
  <c r="W62" i="88"/>
  <c r="W18" i="88"/>
  <c r="W54" i="88"/>
  <c r="W167" i="88"/>
  <c r="W70" i="88"/>
  <c r="W144" i="88"/>
  <c r="W163" i="88"/>
  <c r="W116" i="88"/>
  <c r="W16" i="88"/>
  <c r="W136" i="88"/>
  <c r="W39" i="88"/>
  <c r="W50" i="88"/>
  <c r="W55" i="88"/>
  <c r="W23" i="88"/>
  <c r="W153" i="88"/>
  <c r="W145" i="88"/>
  <c r="W174" i="88"/>
  <c r="W112" i="88"/>
  <c r="W164" i="88"/>
  <c r="W119" i="88"/>
  <c r="W176" i="88"/>
  <c r="W178" i="88"/>
  <c r="W59" i="88"/>
  <c r="W94" i="88"/>
  <c r="W69" i="88"/>
  <c r="W105" i="88"/>
  <c r="W130" i="88"/>
  <c r="W108" i="88"/>
  <c r="W46" i="88"/>
  <c r="W30" i="88"/>
  <c r="W104" i="88"/>
  <c r="W74" i="88"/>
  <c r="W149" i="88"/>
  <c r="W19" i="88"/>
  <c r="W148" i="88"/>
  <c r="W90" i="88"/>
  <c r="W100" i="88"/>
  <c r="W57" i="88"/>
  <c r="W171" i="88"/>
  <c r="W147" i="88"/>
  <c r="W151" i="88"/>
  <c r="W53" i="88"/>
  <c r="W101" i="88"/>
  <c r="W73" i="88"/>
  <c r="W157" i="88"/>
  <c r="W177" i="88"/>
  <c r="W68" i="88"/>
  <c r="W96" i="88"/>
  <c r="W117" i="88"/>
  <c r="W25" i="88"/>
  <c r="W142" i="88"/>
  <c r="W71" i="88"/>
  <c r="W80" i="88"/>
  <c r="W118" i="88"/>
  <c r="W134" i="88"/>
  <c r="W143" i="88"/>
  <c r="W44" i="88"/>
  <c r="W13" i="88"/>
  <c r="W125" i="88"/>
  <c r="W49" i="88"/>
  <c r="W15" i="88"/>
  <c r="BH21" i="87"/>
  <c r="AM15" i="86"/>
  <c r="AM21" i="86"/>
  <c r="BI20" i="87"/>
  <c r="BK20" i="87" s="1"/>
  <c r="BK20" i="86"/>
  <c r="BK22" i="86"/>
  <c r="BI22" i="87"/>
  <c r="BK22" i="87" s="1"/>
  <c r="BM22" i="87" s="1"/>
  <c r="BB27" i="87"/>
  <c r="BH27" i="87" s="1"/>
  <c r="BH27" i="86"/>
  <c r="BB24" i="87"/>
  <c r="BH24" i="87" s="1"/>
  <c r="BH24" i="86"/>
  <c r="BH26" i="86"/>
  <c r="BB26" i="87"/>
  <c r="BH26" i="87" s="1"/>
  <c r="BB25" i="87"/>
  <c r="BH25" i="87" s="1"/>
  <c r="BH25" i="86"/>
  <c r="AM19" i="86"/>
  <c r="Q15" i="84"/>
  <c r="BI38" i="81"/>
  <c r="Q23" i="84"/>
  <c r="O27" i="83"/>
  <c r="K27" i="83"/>
  <c r="K26" i="83"/>
  <c r="U26" i="83"/>
  <c r="I24" i="82"/>
  <c r="AA24" i="84"/>
  <c r="Y24" i="84"/>
  <c r="AE24" i="84"/>
  <c r="AD24" i="84"/>
  <c r="AB24" i="84"/>
  <c r="Q21" i="84"/>
  <c r="Z24" i="85"/>
  <c r="N24" i="83"/>
  <c r="L24" i="83"/>
  <c r="Q31" i="85"/>
  <c r="Q42" i="85" s="1"/>
  <c r="BK38" i="87"/>
  <c r="AI42" i="87"/>
  <c r="AF38" i="87"/>
  <c r="Z42" i="87"/>
  <c r="S31" i="87"/>
  <c r="S22" i="87" s="1"/>
  <c r="R42" i="87"/>
  <c r="R34" i="87"/>
  <c r="AF31" i="87"/>
  <c r="AJ12" i="87"/>
  <c r="AH91" i="89" s="1"/>
  <c r="AF17" i="86"/>
  <c r="AJ17" i="86" s="1"/>
  <c r="AM17" i="86" s="1"/>
  <c r="AF27" i="86"/>
  <c r="AJ27" i="86" s="1"/>
  <c r="AM27" i="86" s="1"/>
  <c r="AG42" i="86"/>
  <c r="AF25" i="86"/>
  <c r="AJ25" i="86" s="1"/>
  <c r="AM25" i="86" s="1"/>
  <c r="AJ16" i="86"/>
  <c r="AM16" i="86" s="1"/>
  <c r="AF14" i="86"/>
  <c r="AJ14" i="86" s="1"/>
  <c r="AM14" i="86" s="1"/>
  <c r="R38" i="86"/>
  <c r="Q42" i="86"/>
  <c r="R31" i="86"/>
  <c r="AI31" i="86"/>
  <c r="BK38" i="86" s="1"/>
  <c r="AF24" i="86"/>
  <c r="AJ24" i="86" s="1"/>
  <c r="AM24" i="86" s="1"/>
  <c r="AJ12" i="86"/>
  <c r="AV38" i="86"/>
  <c r="M42" i="86"/>
  <c r="Z38" i="86"/>
  <c r="AF26" i="86"/>
  <c r="AJ26" i="86" s="1"/>
  <c r="AM26" i="86" s="1"/>
  <c r="Z31" i="86"/>
  <c r="AI26" i="85"/>
  <c r="AI25" i="85"/>
  <c r="Y38" i="85"/>
  <c r="Y42" i="85" s="1"/>
  <c r="AF15" i="85"/>
  <c r="AJ15" i="85" s="1"/>
  <c r="AM15" i="85" s="1"/>
  <c r="AI24" i="85"/>
  <c r="AG38" i="85"/>
  <c r="AG42" i="85" s="1"/>
  <c r="AF26" i="85"/>
  <c r="Z13" i="85"/>
  <c r="X38" i="85"/>
  <c r="X42" i="85" s="1"/>
  <c r="AA38" i="85"/>
  <c r="AA42" i="85" s="1"/>
  <c r="AB38" i="85"/>
  <c r="AB42" i="85" s="1"/>
  <c r="AE38" i="85"/>
  <c r="AE42" i="85" s="1"/>
  <c r="M31" i="85"/>
  <c r="AV38" i="85" s="1"/>
  <c r="R22" i="85"/>
  <c r="AJ23" i="85"/>
  <c r="AM23" i="85" s="1"/>
  <c r="AD38" i="85"/>
  <c r="AD42" i="85" s="1"/>
  <c r="AC38" i="85"/>
  <c r="AC42" i="85" s="1"/>
  <c r="AZ38" i="85"/>
  <c r="AI22" i="85"/>
  <c r="AF25" i="85"/>
  <c r="AF24" i="85"/>
  <c r="AF13" i="85"/>
  <c r="AJ13" i="85" s="1"/>
  <c r="AM13" i="85" s="1"/>
  <c r="Z31" i="85"/>
  <c r="AF12" i="85"/>
  <c r="AF14" i="85"/>
  <c r="AJ14" i="85" s="1"/>
  <c r="AM14" i="85" s="1"/>
  <c r="AF27" i="85"/>
  <c r="AJ27" i="85" s="1"/>
  <c r="AM27" i="85" s="1"/>
  <c r="AF20" i="85"/>
  <c r="AJ20" i="85" s="1"/>
  <c r="AM20" i="85" s="1"/>
  <c r="AF18" i="85"/>
  <c r="AJ18" i="85" s="1"/>
  <c r="AM18" i="85" s="1"/>
  <c r="AF16" i="85"/>
  <c r="AJ16" i="85" s="1"/>
  <c r="AM16" i="85" s="1"/>
  <c r="R38" i="85"/>
  <c r="R31" i="85"/>
  <c r="F38" i="86" s="1"/>
  <c r="F42" i="86" s="1"/>
  <c r="AJ25" i="85"/>
  <c r="AM25" i="85" s="1"/>
  <c r="AF17" i="85"/>
  <c r="AJ17" i="85" s="1"/>
  <c r="AM17" i="85" s="1"/>
  <c r="AF22" i="85"/>
  <c r="AF19" i="85"/>
  <c r="AJ19" i="85" s="1"/>
  <c r="AM19" i="85" s="1"/>
  <c r="AF21" i="85"/>
  <c r="AJ21" i="85" s="1"/>
  <c r="AM21" i="85" s="1"/>
  <c r="M42" i="85"/>
  <c r="AJ26" i="85"/>
  <c r="AM26" i="85" s="1"/>
  <c r="AE19" i="84"/>
  <c r="M12" i="84"/>
  <c r="Q27" i="84"/>
  <c r="AC16" i="84"/>
  <c r="M18" i="84"/>
  <c r="R18" i="84" s="1"/>
  <c r="AD16" i="84"/>
  <c r="M27" i="84"/>
  <c r="X21" i="84"/>
  <c r="Z21" i="84" s="1"/>
  <c r="AG17" i="84"/>
  <c r="K38" i="84"/>
  <c r="K42" i="84" s="1"/>
  <c r="AA18" i="84"/>
  <c r="Q12" i="84"/>
  <c r="AG18" i="84"/>
  <c r="AG21" i="84"/>
  <c r="AI21" i="84" s="1"/>
  <c r="AB21" i="84"/>
  <c r="AE18" i="84"/>
  <c r="AD18" i="84"/>
  <c r="AE17" i="84"/>
  <c r="AD17" i="84"/>
  <c r="AE21" i="84"/>
  <c r="AA21" i="84"/>
  <c r="X18" i="84"/>
  <c r="Y18" i="84"/>
  <c r="AB17" i="84"/>
  <c r="Y17" i="84"/>
  <c r="AC21" i="84"/>
  <c r="AB18" i="84"/>
  <c r="X17" i="84"/>
  <c r="AD19" i="84"/>
  <c r="Y12" i="84"/>
  <c r="AA12" i="84"/>
  <c r="AE15" i="84"/>
  <c r="AG12" i="84"/>
  <c r="AE12" i="84"/>
  <c r="X12" i="84"/>
  <c r="AB15" i="84"/>
  <c r="N38" i="84"/>
  <c r="N42" i="84" s="1"/>
  <c r="M23" i="84"/>
  <c r="R14" i="84"/>
  <c r="AG15" i="84"/>
  <c r="AA15" i="84"/>
  <c r="M17" i="84"/>
  <c r="R17" i="84" s="1"/>
  <c r="X24" i="84"/>
  <c r="AC15" i="84"/>
  <c r="AD15" i="84"/>
  <c r="AG24" i="84"/>
  <c r="AC24" i="84"/>
  <c r="AC12" i="84"/>
  <c r="Y15" i="84"/>
  <c r="Z15" i="84" s="1"/>
  <c r="M24" i="84"/>
  <c r="R24" i="84" s="1"/>
  <c r="AI14" i="84"/>
  <c r="M16" i="84"/>
  <c r="M21" i="84"/>
  <c r="O38" i="84"/>
  <c r="O42" i="84" s="1"/>
  <c r="M19" i="84"/>
  <c r="R19" i="84" s="1"/>
  <c r="L38" i="84"/>
  <c r="L42" i="84" s="1"/>
  <c r="M15" i="84"/>
  <c r="R15" i="84" s="1"/>
  <c r="AA19" i="84"/>
  <c r="AG19" i="84"/>
  <c r="AG16" i="84"/>
  <c r="AE16" i="84"/>
  <c r="Q16" i="84"/>
  <c r="AB19" i="84"/>
  <c r="Y19" i="84"/>
  <c r="AB16" i="84"/>
  <c r="X16" i="84"/>
  <c r="U31" i="84"/>
  <c r="U42" i="84" s="1"/>
  <c r="M20" i="84"/>
  <c r="R20" i="84" s="1"/>
  <c r="X19" i="84"/>
  <c r="Y16" i="84"/>
  <c r="R26" i="84"/>
  <c r="M13" i="84"/>
  <c r="Z14" i="84"/>
  <c r="Q13" i="84"/>
  <c r="X20" i="84"/>
  <c r="AC20" i="84"/>
  <c r="AG20" i="84"/>
  <c r="AD20" i="84"/>
  <c r="AA20" i="84"/>
  <c r="AB20" i="84"/>
  <c r="AE20" i="84"/>
  <c r="Y20" i="84"/>
  <c r="Y13" i="84"/>
  <c r="AD13" i="84"/>
  <c r="AA13" i="84"/>
  <c r="AE13" i="84"/>
  <c r="AC13" i="84"/>
  <c r="AB13" i="84"/>
  <c r="AG13" i="84"/>
  <c r="X13" i="84"/>
  <c r="R25" i="84"/>
  <c r="Z23" i="84"/>
  <c r="Z27" i="84"/>
  <c r="Z22" i="84"/>
  <c r="R22" i="84"/>
  <c r="R12" i="84"/>
  <c r="AI27" i="84"/>
  <c r="AM28" i="84"/>
  <c r="AI26" i="84"/>
  <c r="AI25" i="84"/>
  <c r="AI23" i="84"/>
  <c r="Z25" i="84"/>
  <c r="Z26" i="84"/>
  <c r="AI22" i="84"/>
  <c r="U27" i="83"/>
  <c r="L18" i="83"/>
  <c r="N17" i="83"/>
  <c r="N14" i="83"/>
  <c r="L26" i="83"/>
  <c r="O21" i="83"/>
  <c r="L13" i="83"/>
  <c r="K23" i="83"/>
  <c r="O20" i="83"/>
  <c r="L27" i="83"/>
  <c r="N27" i="83"/>
  <c r="L21" i="83"/>
  <c r="O14" i="83"/>
  <c r="L20" i="83"/>
  <c r="U20" i="83"/>
  <c r="AD20" i="83" s="1"/>
  <c r="U18" i="83"/>
  <c r="K17" i="83"/>
  <c r="O24" i="83"/>
  <c r="Z12" i="83"/>
  <c r="N20" i="83"/>
  <c r="N26" i="83"/>
  <c r="K18" i="83"/>
  <c r="L17" i="83"/>
  <c r="O26" i="83"/>
  <c r="K21" i="83"/>
  <c r="U14" i="83"/>
  <c r="AG14" i="83" s="1"/>
  <c r="U13" i="83"/>
  <c r="AC13" i="83" s="1"/>
  <c r="N23" i="83"/>
  <c r="U21" i="83"/>
  <c r="AE21" i="83" s="1"/>
  <c r="K14" i="83"/>
  <c r="O13" i="83"/>
  <c r="O23" i="83"/>
  <c r="K13" i="83"/>
  <c r="L23" i="83"/>
  <c r="N19" i="83"/>
  <c r="L19" i="83"/>
  <c r="U19" i="83"/>
  <c r="AE19" i="83" s="1"/>
  <c r="K25" i="83"/>
  <c r="N22" i="83"/>
  <c r="Q12" i="83"/>
  <c r="O16" i="83"/>
  <c r="K16" i="83"/>
  <c r="N25" i="83"/>
  <c r="L22" i="83"/>
  <c r="U22" i="83"/>
  <c r="AA22" i="83" s="1"/>
  <c r="L16" i="83"/>
  <c r="U16" i="83"/>
  <c r="O25" i="83"/>
  <c r="AI12" i="83"/>
  <c r="K22" i="83"/>
  <c r="L25" i="83"/>
  <c r="N15" i="83"/>
  <c r="M12" i="83"/>
  <c r="R12" i="83" s="1"/>
  <c r="L15" i="83"/>
  <c r="U15" i="83"/>
  <c r="K15" i="83"/>
  <c r="I31" i="83"/>
  <c r="I42" i="83" s="1"/>
  <c r="U24" i="83"/>
  <c r="K24" i="83"/>
  <c r="AG25" i="83"/>
  <c r="AC25" i="83"/>
  <c r="Y25" i="83"/>
  <c r="AE25" i="83"/>
  <c r="AA25" i="83"/>
  <c r="AD25" i="83"/>
  <c r="AB25" i="83"/>
  <c r="X25" i="83"/>
  <c r="Y21" i="83"/>
  <c r="X21" i="83"/>
  <c r="AB13" i="83"/>
  <c r="AE18" i="83"/>
  <c r="AD18" i="83"/>
  <c r="AC18" i="83"/>
  <c r="X18" i="83"/>
  <c r="AB18" i="83"/>
  <c r="AG18" i="83"/>
  <c r="AA18" i="83"/>
  <c r="Y18" i="83"/>
  <c r="AE17" i="83"/>
  <c r="AA17" i="83"/>
  <c r="AD17" i="83"/>
  <c r="AG17" i="83"/>
  <c r="AC17" i="83"/>
  <c r="Y17" i="83"/>
  <c r="AB17" i="83"/>
  <c r="X17" i="83"/>
  <c r="AA14" i="83"/>
  <c r="AA19" i="83"/>
  <c r="AD19" i="83"/>
  <c r="Y19" i="83"/>
  <c r="X19" i="83"/>
  <c r="AE23" i="83"/>
  <c r="AA23" i="83"/>
  <c r="AD23" i="83"/>
  <c r="Y23" i="83"/>
  <c r="AC23" i="83"/>
  <c r="X23" i="83"/>
  <c r="AG23" i="83"/>
  <c r="AB23" i="83"/>
  <c r="Q17" i="83"/>
  <c r="Q27" i="83"/>
  <c r="AG26" i="83"/>
  <c r="AC26" i="83"/>
  <c r="Y26" i="83"/>
  <c r="AE26" i="83"/>
  <c r="AA26" i="83"/>
  <c r="AB26" i="83"/>
  <c r="AD26" i="83"/>
  <c r="X26" i="83"/>
  <c r="Q20" i="83"/>
  <c r="Q18" i="83"/>
  <c r="AJ28" i="83"/>
  <c r="M13" i="83"/>
  <c r="AD27" i="83"/>
  <c r="AE27" i="83"/>
  <c r="AA27" i="83"/>
  <c r="X27" i="83"/>
  <c r="Q19" i="83"/>
  <c r="Q15" i="83"/>
  <c r="Q22" i="83"/>
  <c r="I12" i="82"/>
  <c r="I26" i="82"/>
  <c r="I25" i="82"/>
  <c r="O25" i="82" s="1"/>
  <c r="I16" i="82"/>
  <c r="I18" i="82"/>
  <c r="H42" i="82"/>
  <c r="I21" i="82"/>
  <c r="K21" i="82" s="1"/>
  <c r="I27" i="82"/>
  <c r="O27" i="82" s="1"/>
  <c r="I20" i="82"/>
  <c r="I13" i="82"/>
  <c r="O13" i="82" s="1"/>
  <c r="I22" i="82"/>
  <c r="U22" i="82" s="1"/>
  <c r="I17" i="82"/>
  <c r="O17" i="82" s="1"/>
  <c r="I15" i="82"/>
  <c r="O15" i="82" s="1"/>
  <c r="K24" i="82"/>
  <c r="I19" i="82"/>
  <c r="K19" i="82" s="1"/>
  <c r="I23" i="82"/>
  <c r="O23" i="82" s="1"/>
  <c r="L14" i="82"/>
  <c r="U14" i="82"/>
  <c r="AB14" i="82" s="1"/>
  <c r="O14" i="82"/>
  <c r="K15" i="82"/>
  <c r="K14" i="82"/>
  <c r="N15" i="82"/>
  <c r="L15" i="82"/>
  <c r="K27" i="82"/>
  <c r="K20" i="82"/>
  <c r="N20" i="82"/>
  <c r="L12" i="82"/>
  <c r="K12" i="82"/>
  <c r="O12" i="82"/>
  <c r="U12" i="82"/>
  <c r="N12" i="82"/>
  <c r="N26" i="82"/>
  <c r="L26" i="82"/>
  <c r="N24" i="82"/>
  <c r="U24" i="82"/>
  <c r="L24" i="82"/>
  <c r="O24" i="82"/>
  <c r="Q13" i="82"/>
  <c r="L18" i="82"/>
  <c r="U18" i="82"/>
  <c r="O18" i="82"/>
  <c r="K18" i="82"/>
  <c r="N18" i="82"/>
  <c r="AF28" i="82"/>
  <c r="AJ28" i="82" s="1"/>
  <c r="L17" i="82"/>
  <c r="Q15" i="82"/>
  <c r="Q14" i="82"/>
  <c r="AA28" i="81"/>
  <c r="AL31" i="81"/>
  <c r="AO51" i="81"/>
  <c r="Q28" i="81"/>
  <c r="M28" i="81"/>
  <c r="R28" i="81" s="1"/>
  <c r="AH42" i="81"/>
  <c r="BJ38" i="81"/>
  <c r="H31" i="81"/>
  <c r="I20" i="81" s="1"/>
  <c r="AN34" i="81"/>
  <c r="AN52" i="81" s="1"/>
  <c r="P38" i="81"/>
  <c r="P42" i="81" s="1"/>
  <c r="Q38" i="81"/>
  <c r="AG28" i="81"/>
  <c r="AC28" i="81"/>
  <c r="Y28" i="81"/>
  <c r="AB28" i="81"/>
  <c r="X28" i="81"/>
  <c r="AD28" i="81"/>
  <c r="G42" i="81"/>
  <c r="AM51" i="81"/>
  <c r="H38" i="81"/>
  <c r="AN31" i="80"/>
  <c r="Y31" i="80"/>
  <c r="AG31" i="80"/>
  <c r="BI38" i="80" s="1"/>
  <c r="AK31" i="80"/>
  <c r="X31" i="80"/>
  <c r="AN51" i="80"/>
  <c r="AM49" i="80"/>
  <c r="AO49" i="80" s="1"/>
  <c r="AO46" i="80"/>
  <c r="AM46" i="80"/>
  <c r="AO45" i="80"/>
  <c r="AX38" i="80"/>
  <c r="AW38" i="80"/>
  <c r="AH38" i="80"/>
  <c r="M38" i="80"/>
  <c r="G38" i="80"/>
  <c r="BA31" i="80"/>
  <c r="AQ31" i="80"/>
  <c r="AP31" i="80"/>
  <c r="AH31" i="80"/>
  <c r="T31" i="80"/>
  <c r="P31" i="80"/>
  <c r="Q38" i="80" s="1"/>
  <c r="G31" i="80"/>
  <c r="F31" i="80"/>
  <c r="F34" i="80" s="1"/>
  <c r="AA28" i="80"/>
  <c r="U28" i="80"/>
  <c r="AE28" i="80" s="1"/>
  <c r="O28" i="80"/>
  <c r="N28" i="80"/>
  <c r="L28" i="80"/>
  <c r="K28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BM20" i="87" l="1"/>
  <c r="AG184" i="88"/>
  <c r="BF14" i="88"/>
  <c r="BF184" i="88" s="1"/>
  <c r="BD184" i="88"/>
  <c r="AB15" i="88"/>
  <c r="AH15" i="88" s="1"/>
  <c r="AX15" i="88"/>
  <c r="BC15" i="88" s="1"/>
  <c r="BH15" i="88" s="1"/>
  <c r="AB134" i="88"/>
  <c r="AH134" i="88" s="1"/>
  <c r="AX134" i="88"/>
  <c r="BC134" i="88" s="1"/>
  <c r="BH134" i="88" s="1"/>
  <c r="AB117" i="88"/>
  <c r="AH117" i="88" s="1"/>
  <c r="AX117" i="88"/>
  <c r="BC117" i="88" s="1"/>
  <c r="BH117" i="88" s="1"/>
  <c r="AB101" i="88"/>
  <c r="AH101" i="88" s="1"/>
  <c r="AX101" i="88"/>
  <c r="BC101" i="88" s="1"/>
  <c r="BH101" i="88" s="1"/>
  <c r="AX100" i="88"/>
  <c r="BC100" i="88" s="1"/>
  <c r="BH100" i="88" s="1"/>
  <c r="AB100" i="88"/>
  <c r="AH100" i="88" s="1"/>
  <c r="AX104" i="88"/>
  <c r="BC104" i="88" s="1"/>
  <c r="BH104" i="88" s="1"/>
  <c r="AB104" i="88"/>
  <c r="AH104" i="88" s="1"/>
  <c r="AX69" i="88"/>
  <c r="BC69" i="88" s="1"/>
  <c r="BH69" i="88" s="1"/>
  <c r="AB69" i="88"/>
  <c r="AH69" i="88" s="1"/>
  <c r="AB164" i="88"/>
  <c r="AH164" i="88" s="1"/>
  <c r="AX164" i="88"/>
  <c r="BC164" i="88" s="1"/>
  <c r="BH164" i="88" s="1"/>
  <c r="AB55" i="88"/>
  <c r="AH55" i="88" s="1"/>
  <c r="AX55" i="88"/>
  <c r="BC55" i="88" s="1"/>
  <c r="BH55" i="88" s="1"/>
  <c r="AB163" i="88"/>
  <c r="AH163" i="88" s="1"/>
  <c r="AX163" i="88"/>
  <c r="BC163" i="88" s="1"/>
  <c r="BH163" i="88" s="1"/>
  <c r="AX62" i="88"/>
  <c r="BC62" i="88" s="1"/>
  <c r="BH62" i="88" s="1"/>
  <c r="AB62" i="88"/>
  <c r="AH62" i="88" s="1"/>
  <c r="AB132" i="88"/>
  <c r="AH132" i="88" s="1"/>
  <c r="AX132" i="88"/>
  <c r="BC132" i="88" s="1"/>
  <c r="BH132" i="88" s="1"/>
  <c r="AB65" i="88"/>
  <c r="AH65" i="88" s="1"/>
  <c r="AX65" i="88"/>
  <c r="BC65" i="88" s="1"/>
  <c r="BH65" i="88" s="1"/>
  <c r="AB170" i="88"/>
  <c r="AH170" i="88" s="1"/>
  <c r="AX170" i="88"/>
  <c r="BC170" i="88" s="1"/>
  <c r="BH170" i="88" s="1"/>
  <c r="AB107" i="88"/>
  <c r="AH107" i="88" s="1"/>
  <c r="AX107" i="88"/>
  <c r="BC107" i="88" s="1"/>
  <c r="BH107" i="88" s="1"/>
  <c r="AB102" i="88"/>
  <c r="AH102" i="88" s="1"/>
  <c r="AX102" i="88"/>
  <c r="BC102" i="88" s="1"/>
  <c r="BH102" i="88" s="1"/>
  <c r="AX51" i="88"/>
  <c r="BC51" i="88" s="1"/>
  <c r="BH51" i="88" s="1"/>
  <c r="AB51" i="88"/>
  <c r="AH51" i="88" s="1"/>
  <c r="AB165" i="88"/>
  <c r="AH165" i="88" s="1"/>
  <c r="AX165" i="88"/>
  <c r="BC165" i="88" s="1"/>
  <c r="BH165" i="88" s="1"/>
  <c r="AB87" i="88"/>
  <c r="AH87" i="88" s="1"/>
  <c r="AX87" i="88"/>
  <c r="BC87" i="88" s="1"/>
  <c r="BH87" i="88" s="1"/>
  <c r="AB110" i="88"/>
  <c r="AH110" i="88" s="1"/>
  <c r="AX110" i="88"/>
  <c r="BC110" i="88" s="1"/>
  <c r="BH110" i="88" s="1"/>
  <c r="AB22" i="88"/>
  <c r="AH22" i="88" s="1"/>
  <c r="AX22" i="88"/>
  <c r="BC22" i="88" s="1"/>
  <c r="BH22" i="88" s="1"/>
  <c r="AX32" i="88"/>
  <c r="BC32" i="88" s="1"/>
  <c r="BH32" i="88" s="1"/>
  <c r="AB32" i="88"/>
  <c r="AH32" i="88" s="1"/>
  <c r="AB152" i="88"/>
  <c r="AH152" i="88" s="1"/>
  <c r="AX152" i="88"/>
  <c r="BC152" i="88" s="1"/>
  <c r="BH152" i="88" s="1"/>
  <c r="AB106" i="88"/>
  <c r="AH106" i="88" s="1"/>
  <c r="AX106" i="88"/>
  <c r="BC106" i="88" s="1"/>
  <c r="BH106" i="88" s="1"/>
  <c r="AB48" i="88"/>
  <c r="AH48" i="88" s="1"/>
  <c r="AX48" i="88"/>
  <c r="BC48" i="88" s="1"/>
  <c r="BH48" i="88" s="1"/>
  <c r="AX175" i="88"/>
  <c r="BC175" i="88" s="1"/>
  <c r="BH175" i="88" s="1"/>
  <c r="AB175" i="88"/>
  <c r="AH175" i="88" s="1"/>
  <c r="AX166" i="88"/>
  <c r="BC166" i="88" s="1"/>
  <c r="BH166" i="88" s="1"/>
  <c r="AB166" i="88"/>
  <c r="AH166" i="88" s="1"/>
  <c r="AX139" i="88"/>
  <c r="BC139" i="88" s="1"/>
  <c r="BH139" i="88" s="1"/>
  <c r="AB139" i="88"/>
  <c r="AH139" i="88" s="1"/>
  <c r="AB58" i="88"/>
  <c r="AH58" i="88" s="1"/>
  <c r="AX58" i="88"/>
  <c r="BC58" i="88" s="1"/>
  <c r="BH58" i="88" s="1"/>
  <c r="AB49" i="88"/>
  <c r="AH49" i="88" s="1"/>
  <c r="AX49" i="88"/>
  <c r="BC49" i="88" s="1"/>
  <c r="BH49" i="88" s="1"/>
  <c r="AX118" i="88"/>
  <c r="BC118" i="88" s="1"/>
  <c r="BH118" i="88" s="1"/>
  <c r="AB118" i="88"/>
  <c r="AH118" i="88" s="1"/>
  <c r="AB96" i="88"/>
  <c r="AH96" i="88" s="1"/>
  <c r="AX96" i="88"/>
  <c r="BC96" i="88" s="1"/>
  <c r="BH96" i="88" s="1"/>
  <c r="AX53" i="88"/>
  <c r="BC53" i="88" s="1"/>
  <c r="BH53" i="88" s="1"/>
  <c r="AB53" i="88"/>
  <c r="AH53" i="88" s="1"/>
  <c r="AX90" i="88"/>
  <c r="BC90" i="88" s="1"/>
  <c r="BH90" i="88" s="1"/>
  <c r="AB90" i="88"/>
  <c r="AH90" i="88" s="1"/>
  <c r="AB30" i="88"/>
  <c r="AH30" i="88" s="1"/>
  <c r="AX30" i="88"/>
  <c r="BC30" i="88" s="1"/>
  <c r="BH30" i="88" s="1"/>
  <c r="AB94" i="88"/>
  <c r="AH94" i="88" s="1"/>
  <c r="AX94" i="88"/>
  <c r="BC94" i="88" s="1"/>
  <c r="BH94" i="88" s="1"/>
  <c r="AX112" i="88"/>
  <c r="BC112" i="88" s="1"/>
  <c r="BH112" i="88" s="1"/>
  <c r="AB112" i="88"/>
  <c r="AH112" i="88" s="1"/>
  <c r="AX50" i="88"/>
  <c r="BC50" i="88" s="1"/>
  <c r="BH50" i="88" s="1"/>
  <c r="AB50" i="88"/>
  <c r="AH50" i="88" s="1"/>
  <c r="AX144" i="88"/>
  <c r="BC144" i="88" s="1"/>
  <c r="BH144" i="88" s="1"/>
  <c r="AB144" i="88"/>
  <c r="AH144" i="88" s="1"/>
  <c r="AB128" i="88"/>
  <c r="AH128" i="88" s="1"/>
  <c r="AX128" i="88"/>
  <c r="BC128" i="88" s="1"/>
  <c r="BH128" i="88" s="1"/>
  <c r="AB99" i="88"/>
  <c r="AH99" i="88" s="1"/>
  <c r="AX99" i="88"/>
  <c r="BC99" i="88" s="1"/>
  <c r="BH99" i="88" s="1"/>
  <c r="AB41" i="88"/>
  <c r="AH41" i="88" s="1"/>
  <c r="AX41" i="88"/>
  <c r="BC41" i="88" s="1"/>
  <c r="BH41" i="88" s="1"/>
  <c r="AB133" i="88"/>
  <c r="AH133" i="88" s="1"/>
  <c r="AX133" i="88"/>
  <c r="BC133" i="88" s="1"/>
  <c r="BH133" i="88" s="1"/>
  <c r="AX72" i="88"/>
  <c r="BC72" i="88" s="1"/>
  <c r="BH72" i="88" s="1"/>
  <c r="AB72" i="88"/>
  <c r="AH72" i="88" s="1"/>
  <c r="AB79" i="88"/>
  <c r="AH79" i="88" s="1"/>
  <c r="AX79" i="88"/>
  <c r="BC79" i="88" s="1"/>
  <c r="BH79" i="88" s="1"/>
  <c r="AB20" i="88"/>
  <c r="AH20" i="88" s="1"/>
  <c r="AX20" i="88"/>
  <c r="BC20" i="88" s="1"/>
  <c r="BH20" i="88" s="1"/>
  <c r="AB141" i="88"/>
  <c r="AH141" i="88" s="1"/>
  <c r="AX141" i="88"/>
  <c r="BC141" i="88" s="1"/>
  <c r="BH141" i="88" s="1"/>
  <c r="AB150" i="88"/>
  <c r="AH150" i="88" s="1"/>
  <c r="AX150" i="88"/>
  <c r="BC150" i="88" s="1"/>
  <c r="BH150" i="88" s="1"/>
  <c r="AB52" i="88"/>
  <c r="AH52" i="88" s="1"/>
  <c r="AX52" i="88"/>
  <c r="BC52" i="88" s="1"/>
  <c r="BH52" i="88" s="1"/>
  <c r="AB88" i="88"/>
  <c r="AH88" i="88" s="1"/>
  <c r="AX88" i="88"/>
  <c r="BC88" i="88" s="1"/>
  <c r="BH88" i="88" s="1"/>
  <c r="AX113" i="88"/>
  <c r="BC113" i="88" s="1"/>
  <c r="BH113" i="88" s="1"/>
  <c r="AB113" i="88"/>
  <c r="AH113" i="88" s="1"/>
  <c r="AB81" i="88"/>
  <c r="AH81" i="88" s="1"/>
  <c r="AX81" i="88"/>
  <c r="BC81" i="88" s="1"/>
  <c r="BH81" i="88" s="1"/>
  <c r="AB103" i="88"/>
  <c r="AH103" i="88" s="1"/>
  <c r="AX103" i="88"/>
  <c r="BC103" i="88" s="1"/>
  <c r="BH103" i="88" s="1"/>
  <c r="AX91" i="88"/>
  <c r="BC91" i="88" s="1"/>
  <c r="BH91" i="88" s="1"/>
  <c r="AB91" i="88"/>
  <c r="AH91" i="88" s="1"/>
  <c r="AB155" i="88"/>
  <c r="AH155" i="88" s="1"/>
  <c r="AX155" i="88"/>
  <c r="BC155" i="88" s="1"/>
  <c r="BH155" i="88" s="1"/>
  <c r="AX34" i="88"/>
  <c r="BC34" i="88" s="1"/>
  <c r="BH34" i="88" s="1"/>
  <c r="AB34" i="88"/>
  <c r="AH34" i="88" s="1"/>
  <c r="AB126" i="88"/>
  <c r="AH126" i="88" s="1"/>
  <c r="AX126" i="88"/>
  <c r="BC126" i="88" s="1"/>
  <c r="BH126" i="88" s="1"/>
  <c r="AX180" i="88"/>
  <c r="BC180" i="88" s="1"/>
  <c r="BH180" i="88" s="1"/>
  <c r="AB180" i="88"/>
  <c r="AH180" i="88" s="1"/>
  <c r="BM24" i="87"/>
  <c r="AB125" i="88"/>
  <c r="AH125" i="88" s="1"/>
  <c r="AX125" i="88"/>
  <c r="BC125" i="88" s="1"/>
  <c r="BH125" i="88" s="1"/>
  <c r="AB80" i="88"/>
  <c r="AH80" i="88" s="1"/>
  <c r="AX80" i="88"/>
  <c r="BC80" i="88" s="1"/>
  <c r="BH80" i="88" s="1"/>
  <c r="AX68" i="88"/>
  <c r="BC68" i="88" s="1"/>
  <c r="BH68" i="88" s="1"/>
  <c r="AB68" i="88"/>
  <c r="AH68" i="88" s="1"/>
  <c r="AB151" i="88"/>
  <c r="AH151" i="88" s="1"/>
  <c r="AX151" i="88"/>
  <c r="BC151" i="88" s="1"/>
  <c r="BH151" i="88" s="1"/>
  <c r="AB148" i="88"/>
  <c r="AH148" i="88" s="1"/>
  <c r="AX148" i="88"/>
  <c r="BC148" i="88" s="1"/>
  <c r="BH148" i="88" s="1"/>
  <c r="AB46" i="88"/>
  <c r="AH46" i="88" s="1"/>
  <c r="AX46" i="88"/>
  <c r="BC46" i="88" s="1"/>
  <c r="BH46" i="88" s="1"/>
  <c r="AB59" i="88"/>
  <c r="AH59" i="88" s="1"/>
  <c r="AX59" i="88"/>
  <c r="BC59" i="88" s="1"/>
  <c r="BH59" i="88" s="1"/>
  <c r="AB174" i="88"/>
  <c r="AH174" i="88" s="1"/>
  <c r="AX174" i="88"/>
  <c r="BC174" i="88" s="1"/>
  <c r="BH174" i="88" s="1"/>
  <c r="AB39" i="88"/>
  <c r="AH39" i="88" s="1"/>
  <c r="AX39" i="88"/>
  <c r="BC39" i="88" s="1"/>
  <c r="BH39" i="88" s="1"/>
  <c r="AB70" i="88"/>
  <c r="AH70" i="88" s="1"/>
  <c r="AX70" i="88"/>
  <c r="BC70" i="88" s="1"/>
  <c r="BH70" i="88" s="1"/>
  <c r="AB114" i="88"/>
  <c r="AH114" i="88" s="1"/>
  <c r="AX114" i="88"/>
  <c r="BC114" i="88" s="1"/>
  <c r="BH114" i="88" s="1"/>
  <c r="AX33" i="88"/>
  <c r="BC33" i="88" s="1"/>
  <c r="BH33" i="88" s="1"/>
  <c r="AB33" i="88"/>
  <c r="AH33" i="88" s="1"/>
  <c r="AX85" i="88"/>
  <c r="BC85" i="88" s="1"/>
  <c r="BH85" i="88" s="1"/>
  <c r="AB85" i="88"/>
  <c r="AH85" i="88" s="1"/>
  <c r="AB89" i="88"/>
  <c r="AH89" i="88" s="1"/>
  <c r="AX89" i="88"/>
  <c r="BC89" i="88" s="1"/>
  <c r="BH89" i="88" s="1"/>
  <c r="AX67" i="88"/>
  <c r="BC67" i="88" s="1"/>
  <c r="BH67" i="88" s="1"/>
  <c r="AB67" i="88"/>
  <c r="AH67" i="88" s="1"/>
  <c r="AB36" i="88"/>
  <c r="AH36" i="88" s="1"/>
  <c r="AX36" i="88"/>
  <c r="BC36" i="88" s="1"/>
  <c r="BH36" i="88" s="1"/>
  <c r="AX84" i="88"/>
  <c r="BC84" i="88" s="1"/>
  <c r="BH84" i="88" s="1"/>
  <c r="AB84" i="88"/>
  <c r="AH84" i="88" s="1"/>
  <c r="AB66" i="88"/>
  <c r="AH66" i="88" s="1"/>
  <c r="AX66" i="88"/>
  <c r="BC66" i="88" s="1"/>
  <c r="BH66" i="88" s="1"/>
  <c r="AB78" i="88"/>
  <c r="AH78" i="88" s="1"/>
  <c r="AX78" i="88"/>
  <c r="BC78" i="88" s="1"/>
  <c r="BH78" i="88" s="1"/>
  <c r="AX35" i="88"/>
  <c r="BC35" i="88" s="1"/>
  <c r="BH35" i="88" s="1"/>
  <c r="AB35" i="88"/>
  <c r="AH35" i="88" s="1"/>
  <c r="AB109" i="88"/>
  <c r="AH109" i="88" s="1"/>
  <c r="AX109" i="88"/>
  <c r="BC109" i="88" s="1"/>
  <c r="BH109" i="88" s="1"/>
  <c r="AB97" i="88"/>
  <c r="AH97" i="88" s="1"/>
  <c r="AX97" i="88"/>
  <c r="BC97" i="88" s="1"/>
  <c r="BH97" i="88" s="1"/>
  <c r="AX161" i="88"/>
  <c r="BC161" i="88" s="1"/>
  <c r="BH161" i="88" s="1"/>
  <c r="AB161" i="88"/>
  <c r="AH161" i="88" s="1"/>
  <c r="AB98" i="88"/>
  <c r="AH98" i="88" s="1"/>
  <c r="AX98" i="88"/>
  <c r="BC98" i="88" s="1"/>
  <c r="BH98" i="88" s="1"/>
  <c r="AX45" i="88"/>
  <c r="BC45" i="88" s="1"/>
  <c r="BH45" i="88" s="1"/>
  <c r="AB45" i="88"/>
  <c r="AH45" i="88" s="1"/>
  <c r="AB172" i="88"/>
  <c r="AH172" i="88" s="1"/>
  <c r="AX172" i="88"/>
  <c r="BC172" i="88" s="1"/>
  <c r="BH172" i="88" s="1"/>
  <c r="AB76" i="88"/>
  <c r="AH76" i="88" s="1"/>
  <c r="AX76" i="88"/>
  <c r="BC76" i="88" s="1"/>
  <c r="BH76" i="88" s="1"/>
  <c r="AB93" i="88"/>
  <c r="AH93" i="88" s="1"/>
  <c r="AX93" i="88"/>
  <c r="BC93" i="88" s="1"/>
  <c r="BH93" i="88" s="1"/>
  <c r="AB13" i="88"/>
  <c r="AH13" i="88" s="1"/>
  <c r="AX13" i="88"/>
  <c r="BC13" i="88" s="1"/>
  <c r="BH13" i="88" s="1"/>
  <c r="AX71" i="88"/>
  <c r="BC71" i="88" s="1"/>
  <c r="BH71" i="88" s="1"/>
  <c r="AB71" i="88"/>
  <c r="AH71" i="88" s="1"/>
  <c r="AB177" i="88"/>
  <c r="AH177" i="88" s="1"/>
  <c r="AX177" i="88"/>
  <c r="BC177" i="88" s="1"/>
  <c r="BH177" i="88" s="1"/>
  <c r="AX147" i="88"/>
  <c r="BC147" i="88" s="1"/>
  <c r="BH147" i="88" s="1"/>
  <c r="AB147" i="88"/>
  <c r="AH147" i="88" s="1"/>
  <c r="AB19" i="88"/>
  <c r="AH19" i="88" s="1"/>
  <c r="AX19" i="88"/>
  <c r="BC19" i="88" s="1"/>
  <c r="BH19" i="88" s="1"/>
  <c r="AX108" i="88"/>
  <c r="BC108" i="88" s="1"/>
  <c r="BH108" i="88" s="1"/>
  <c r="AB108" i="88"/>
  <c r="AH108" i="88" s="1"/>
  <c r="AX178" i="88"/>
  <c r="BC178" i="88" s="1"/>
  <c r="BH178" i="88" s="1"/>
  <c r="AB178" i="88"/>
  <c r="AH178" i="88" s="1"/>
  <c r="AB145" i="88"/>
  <c r="AH145" i="88" s="1"/>
  <c r="AX145" i="88"/>
  <c r="BC145" i="88" s="1"/>
  <c r="BH145" i="88" s="1"/>
  <c r="AB136" i="88"/>
  <c r="AH136" i="88" s="1"/>
  <c r="AX136" i="88"/>
  <c r="BC136" i="88" s="1"/>
  <c r="BH136" i="88" s="1"/>
  <c r="AX167" i="88"/>
  <c r="BC167" i="88" s="1"/>
  <c r="BH167" i="88" s="1"/>
  <c r="AB167" i="88"/>
  <c r="AH167" i="88" s="1"/>
  <c r="AX162" i="88"/>
  <c r="BC162" i="88" s="1"/>
  <c r="BH162" i="88" s="1"/>
  <c r="AB162" i="88"/>
  <c r="AH162" i="88" s="1"/>
  <c r="AB26" i="88"/>
  <c r="AH26" i="88" s="1"/>
  <c r="AX26" i="88"/>
  <c r="BC26" i="88" s="1"/>
  <c r="BH26" i="88" s="1"/>
  <c r="AX42" i="88"/>
  <c r="BC42" i="88" s="1"/>
  <c r="BH42" i="88" s="1"/>
  <c r="AB42" i="88"/>
  <c r="AH42" i="88" s="1"/>
  <c r="AX28" i="88"/>
  <c r="BC28" i="88" s="1"/>
  <c r="BH28" i="88" s="1"/>
  <c r="AB28" i="88"/>
  <c r="AH28" i="88" s="1"/>
  <c r="AX159" i="88"/>
  <c r="BC159" i="88" s="1"/>
  <c r="BH159" i="88" s="1"/>
  <c r="AB159" i="88"/>
  <c r="AH159" i="88" s="1"/>
  <c r="AB135" i="88"/>
  <c r="AH135" i="88" s="1"/>
  <c r="AX135" i="88"/>
  <c r="BC135" i="88" s="1"/>
  <c r="BH135" i="88" s="1"/>
  <c r="AB77" i="88"/>
  <c r="AH77" i="88" s="1"/>
  <c r="AX77" i="88"/>
  <c r="BC77" i="88" s="1"/>
  <c r="BH77" i="88" s="1"/>
  <c r="AB129" i="88"/>
  <c r="AH129" i="88" s="1"/>
  <c r="AX129" i="88"/>
  <c r="BC129" i="88" s="1"/>
  <c r="BH129" i="88" s="1"/>
  <c r="AB111" i="88"/>
  <c r="AH111" i="88" s="1"/>
  <c r="AX111" i="88"/>
  <c r="BC111" i="88" s="1"/>
  <c r="BH111" i="88" s="1"/>
  <c r="AB169" i="88"/>
  <c r="AH169" i="88" s="1"/>
  <c r="AX169" i="88"/>
  <c r="BC169" i="88" s="1"/>
  <c r="BH169" i="88" s="1"/>
  <c r="AB154" i="88"/>
  <c r="AH154" i="88" s="1"/>
  <c r="AX154" i="88"/>
  <c r="BC154" i="88" s="1"/>
  <c r="BH154" i="88" s="1"/>
  <c r="AX63" i="88"/>
  <c r="BC63" i="88" s="1"/>
  <c r="BH63" i="88" s="1"/>
  <c r="AB63" i="88"/>
  <c r="AH63" i="88" s="1"/>
  <c r="AB137" i="88"/>
  <c r="AH137" i="88" s="1"/>
  <c r="AX137" i="88"/>
  <c r="BC137" i="88" s="1"/>
  <c r="BH137" i="88" s="1"/>
  <c r="AB14" i="88"/>
  <c r="W186" i="88"/>
  <c r="AX14" i="88"/>
  <c r="AB24" i="88"/>
  <c r="AH24" i="88" s="1"/>
  <c r="AX24" i="88"/>
  <c r="BC24" i="88" s="1"/>
  <c r="BH24" i="88" s="1"/>
  <c r="AB17" i="88"/>
  <c r="AH17" i="88" s="1"/>
  <c r="AX17" i="88"/>
  <c r="BC17" i="88" s="1"/>
  <c r="BH17" i="88" s="1"/>
  <c r="AX60" i="88"/>
  <c r="BC60" i="88" s="1"/>
  <c r="BH60" i="88" s="1"/>
  <c r="AB60" i="88"/>
  <c r="AH60" i="88" s="1"/>
  <c r="AB160" i="88"/>
  <c r="AH160" i="88" s="1"/>
  <c r="AX160" i="88"/>
  <c r="BC160" i="88" s="1"/>
  <c r="BH160" i="88" s="1"/>
  <c r="BM25" i="87"/>
  <c r="BM27" i="87"/>
  <c r="AB44" i="88"/>
  <c r="AH44" i="88" s="1"/>
  <c r="AX44" i="88"/>
  <c r="BC44" i="88" s="1"/>
  <c r="BH44" i="88" s="1"/>
  <c r="AB142" i="88"/>
  <c r="AH142" i="88" s="1"/>
  <c r="AX142" i="88"/>
  <c r="BC142" i="88" s="1"/>
  <c r="BH142" i="88" s="1"/>
  <c r="AB157" i="88"/>
  <c r="AH157" i="88" s="1"/>
  <c r="AX157" i="88"/>
  <c r="BC157" i="88" s="1"/>
  <c r="BH157" i="88" s="1"/>
  <c r="AX171" i="88"/>
  <c r="BC171" i="88" s="1"/>
  <c r="BH171" i="88" s="1"/>
  <c r="AB171" i="88"/>
  <c r="AH171" i="88" s="1"/>
  <c r="AX149" i="88"/>
  <c r="BC149" i="88" s="1"/>
  <c r="BH149" i="88" s="1"/>
  <c r="AB149" i="88"/>
  <c r="AH149" i="88" s="1"/>
  <c r="AX130" i="88"/>
  <c r="BC130" i="88" s="1"/>
  <c r="BH130" i="88" s="1"/>
  <c r="AB130" i="88"/>
  <c r="AH130" i="88" s="1"/>
  <c r="AX176" i="88"/>
  <c r="BC176" i="88" s="1"/>
  <c r="BH176" i="88" s="1"/>
  <c r="AB176" i="88"/>
  <c r="AH176" i="88" s="1"/>
  <c r="AB153" i="88"/>
  <c r="AH153" i="88" s="1"/>
  <c r="AX153" i="88"/>
  <c r="BC153" i="88" s="1"/>
  <c r="BH153" i="88" s="1"/>
  <c r="AX16" i="88"/>
  <c r="BC16" i="88" s="1"/>
  <c r="BH16" i="88" s="1"/>
  <c r="AB16" i="88"/>
  <c r="AH16" i="88" s="1"/>
  <c r="AB54" i="88"/>
  <c r="AH54" i="88" s="1"/>
  <c r="AX54" i="88"/>
  <c r="BC54" i="88" s="1"/>
  <c r="BH54" i="88" s="1"/>
  <c r="AX95" i="88"/>
  <c r="BC95" i="88" s="1"/>
  <c r="BH95" i="88" s="1"/>
  <c r="AB95" i="88"/>
  <c r="AH95" i="88" s="1"/>
  <c r="AX43" i="88"/>
  <c r="BC43" i="88" s="1"/>
  <c r="BH43" i="88" s="1"/>
  <c r="AB43" i="88"/>
  <c r="AH43" i="88" s="1"/>
  <c r="AB140" i="88"/>
  <c r="AH140" i="88" s="1"/>
  <c r="AX140" i="88"/>
  <c r="BC140" i="88" s="1"/>
  <c r="BH140" i="88" s="1"/>
  <c r="AX122" i="88"/>
  <c r="BC122" i="88" s="1"/>
  <c r="BH122" i="88" s="1"/>
  <c r="AB122" i="88"/>
  <c r="AH122" i="88" s="1"/>
  <c r="AX86" i="88"/>
  <c r="BC86" i="88" s="1"/>
  <c r="BH86" i="88" s="1"/>
  <c r="AB86" i="88"/>
  <c r="AH86" i="88" s="1"/>
  <c r="AB29" i="88"/>
  <c r="AH29" i="88" s="1"/>
  <c r="AX29" i="88"/>
  <c r="BC29" i="88" s="1"/>
  <c r="BH29" i="88" s="1"/>
  <c r="AB75" i="88"/>
  <c r="AH75" i="88" s="1"/>
  <c r="AX75" i="88"/>
  <c r="BC75" i="88" s="1"/>
  <c r="BH75" i="88" s="1"/>
  <c r="AX40" i="88"/>
  <c r="BC40" i="88" s="1"/>
  <c r="BH40" i="88" s="1"/>
  <c r="AB40" i="88"/>
  <c r="AH40" i="88" s="1"/>
  <c r="AX47" i="88"/>
  <c r="BC47" i="88" s="1"/>
  <c r="BH47" i="88" s="1"/>
  <c r="AB47" i="88"/>
  <c r="AH47" i="88" s="1"/>
  <c r="AX92" i="88"/>
  <c r="BC92" i="88" s="1"/>
  <c r="BH92" i="88" s="1"/>
  <c r="AB92" i="88"/>
  <c r="AH92" i="88" s="1"/>
  <c r="AX168" i="88"/>
  <c r="BC168" i="88" s="1"/>
  <c r="BH168" i="88" s="1"/>
  <c r="AB168" i="88"/>
  <c r="AH168" i="88" s="1"/>
  <c r="AB37" i="88"/>
  <c r="AH37" i="88" s="1"/>
  <c r="AX37" i="88"/>
  <c r="BC37" i="88" s="1"/>
  <c r="BH37" i="88" s="1"/>
  <c r="AB173" i="88"/>
  <c r="AH173" i="88" s="1"/>
  <c r="AX173" i="88"/>
  <c r="BC173" i="88" s="1"/>
  <c r="BH173" i="88" s="1"/>
  <c r="AB115" i="88"/>
  <c r="AH115" i="88" s="1"/>
  <c r="AX115" i="88"/>
  <c r="BC115" i="88" s="1"/>
  <c r="BH115" i="88" s="1"/>
  <c r="AB138" i="88"/>
  <c r="AH138" i="88" s="1"/>
  <c r="AX138" i="88"/>
  <c r="BC138" i="88" s="1"/>
  <c r="BH138" i="88" s="1"/>
  <c r="AB82" i="88"/>
  <c r="AH82" i="88" s="1"/>
  <c r="AX82" i="88"/>
  <c r="BC82" i="88" s="1"/>
  <c r="BH82" i="88" s="1"/>
  <c r="AB123" i="88"/>
  <c r="AH123" i="88" s="1"/>
  <c r="AX123" i="88"/>
  <c r="BC123" i="88" s="1"/>
  <c r="BH123" i="88" s="1"/>
  <c r="AX27" i="88"/>
  <c r="BC27" i="88" s="1"/>
  <c r="BH27" i="88" s="1"/>
  <c r="AB27" i="88"/>
  <c r="AH27" i="88" s="1"/>
  <c r="BM26" i="87"/>
  <c r="BM21" i="87"/>
  <c r="AB143" i="88"/>
  <c r="AH143" i="88" s="1"/>
  <c r="AX143" i="88"/>
  <c r="BC143" i="88" s="1"/>
  <c r="BH143" i="88" s="1"/>
  <c r="AB25" i="88"/>
  <c r="AH25" i="88" s="1"/>
  <c r="AX25" i="88"/>
  <c r="BC25" i="88" s="1"/>
  <c r="BH25" i="88" s="1"/>
  <c r="AB73" i="88"/>
  <c r="AH73" i="88" s="1"/>
  <c r="AX73" i="88"/>
  <c r="BC73" i="88" s="1"/>
  <c r="BH73" i="88" s="1"/>
  <c r="AB57" i="88"/>
  <c r="AH57" i="88" s="1"/>
  <c r="AX57" i="88"/>
  <c r="BC57" i="88" s="1"/>
  <c r="BH57" i="88" s="1"/>
  <c r="AX74" i="88"/>
  <c r="BC74" i="88" s="1"/>
  <c r="BH74" i="88" s="1"/>
  <c r="AB74" i="88"/>
  <c r="AH74" i="88" s="1"/>
  <c r="AX105" i="88"/>
  <c r="BC105" i="88" s="1"/>
  <c r="BH105" i="88" s="1"/>
  <c r="AB105" i="88"/>
  <c r="AH105" i="88" s="1"/>
  <c r="AB119" i="88"/>
  <c r="AH119" i="88" s="1"/>
  <c r="AX119" i="88"/>
  <c r="BC119" i="88" s="1"/>
  <c r="BH119" i="88" s="1"/>
  <c r="AX23" i="88"/>
  <c r="BC23" i="88" s="1"/>
  <c r="BH23" i="88" s="1"/>
  <c r="AB23" i="88"/>
  <c r="AH23" i="88" s="1"/>
  <c r="AX116" i="88"/>
  <c r="BC116" i="88" s="1"/>
  <c r="BH116" i="88" s="1"/>
  <c r="AB116" i="88"/>
  <c r="AH116" i="88" s="1"/>
  <c r="AX18" i="88"/>
  <c r="BC18" i="88" s="1"/>
  <c r="BH18" i="88" s="1"/>
  <c r="AB18" i="88"/>
  <c r="AH18" i="88" s="1"/>
  <c r="AX179" i="88"/>
  <c r="BC179" i="88" s="1"/>
  <c r="BH179" i="88" s="1"/>
  <c r="AB179" i="88"/>
  <c r="AH179" i="88" s="1"/>
  <c r="AB156" i="88"/>
  <c r="AH156" i="88" s="1"/>
  <c r="AX156" i="88"/>
  <c r="BC156" i="88" s="1"/>
  <c r="BH156" i="88" s="1"/>
  <c r="AB21" i="88"/>
  <c r="AH21" i="88" s="1"/>
  <c r="AX21" i="88"/>
  <c r="BC21" i="88" s="1"/>
  <c r="BH21" i="88" s="1"/>
  <c r="AX124" i="88"/>
  <c r="BC124" i="88" s="1"/>
  <c r="BH124" i="88" s="1"/>
  <c r="AB124" i="88"/>
  <c r="AH124" i="88" s="1"/>
  <c r="AX31" i="88"/>
  <c r="BC31" i="88" s="1"/>
  <c r="BH31" i="88" s="1"/>
  <c r="AB31" i="88"/>
  <c r="AH31" i="88" s="1"/>
  <c r="AX83" i="88"/>
  <c r="BC83" i="88" s="1"/>
  <c r="BH83" i="88" s="1"/>
  <c r="AB83" i="88"/>
  <c r="AH83" i="88" s="1"/>
  <c r="AB38" i="88"/>
  <c r="AH38" i="88" s="1"/>
  <c r="AX38" i="88"/>
  <c r="BC38" i="88" s="1"/>
  <c r="BH38" i="88" s="1"/>
  <c r="AX64" i="88"/>
  <c r="BC64" i="88" s="1"/>
  <c r="BH64" i="88" s="1"/>
  <c r="AB64" i="88"/>
  <c r="AH64" i="88" s="1"/>
  <c r="AB158" i="88"/>
  <c r="AH158" i="88" s="1"/>
  <c r="AX158" i="88"/>
  <c r="BC158" i="88" s="1"/>
  <c r="BH158" i="88" s="1"/>
  <c r="AB120" i="88"/>
  <c r="AH120" i="88" s="1"/>
  <c r="AX120" i="88"/>
  <c r="BC120" i="88" s="1"/>
  <c r="BH120" i="88" s="1"/>
  <c r="AB56" i="88"/>
  <c r="AH56" i="88" s="1"/>
  <c r="AX56" i="88"/>
  <c r="BC56" i="88" s="1"/>
  <c r="BH56" i="88" s="1"/>
  <c r="AB12" i="88"/>
  <c r="AH12" i="88" s="1"/>
  <c r="AX12" i="88"/>
  <c r="BC12" i="88" s="1"/>
  <c r="BH12" i="88" s="1"/>
  <c r="AX121" i="88"/>
  <c r="BC121" i="88" s="1"/>
  <c r="BH121" i="88" s="1"/>
  <c r="AB121" i="88"/>
  <c r="AH121" i="88" s="1"/>
  <c r="AX146" i="88"/>
  <c r="BC146" i="88" s="1"/>
  <c r="BH146" i="88" s="1"/>
  <c r="AB146" i="88"/>
  <c r="AH146" i="88" s="1"/>
  <c r="AB127" i="88"/>
  <c r="AH127" i="88" s="1"/>
  <c r="AX127" i="88"/>
  <c r="BC127" i="88" s="1"/>
  <c r="BH127" i="88" s="1"/>
  <c r="AB61" i="88"/>
  <c r="AH61" i="88" s="1"/>
  <c r="AX61" i="88"/>
  <c r="BC61" i="88" s="1"/>
  <c r="BH61" i="88" s="1"/>
  <c r="AB131" i="88"/>
  <c r="AH131" i="88" s="1"/>
  <c r="AX131" i="88"/>
  <c r="BC131" i="88" s="1"/>
  <c r="BH131" i="88" s="1"/>
  <c r="AB181" i="88"/>
  <c r="AH181" i="88" s="1"/>
  <c r="AX181" i="88"/>
  <c r="BC181" i="88" s="1"/>
  <c r="BH181" i="88" s="1"/>
  <c r="Q26" i="83"/>
  <c r="U16" i="82"/>
  <c r="Y16" i="82" s="1"/>
  <c r="N16" i="82"/>
  <c r="O16" i="82"/>
  <c r="Q16" i="83"/>
  <c r="M26" i="83"/>
  <c r="R26" i="83" s="1"/>
  <c r="AD21" i="83"/>
  <c r="R27" i="84"/>
  <c r="L13" i="82"/>
  <c r="U26" i="82"/>
  <c r="X26" i="82" s="1"/>
  <c r="O26" i="82"/>
  <c r="K26" i="82"/>
  <c r="AA21" i="83"/>
  <c r="AI15" i="84"/>
  <c r="M14" i="83"/>
  <c r="N13" i="82"/>
  <c r="L20" i="82"/>
  <c r="U20" i="82"/>
  <c r="O20" i="82"/>
  <c r="AC24" i="82"/>
  <c r="Y24" i="82"/>
  <c r="AA24" i="82"/>
  <c r="X24" i="82"/>
  <c r="AE24" i="82"/>
  <c r="AD24" i="82"/>
  <c r="Q24" i="83"/>
  <c r="AE16" i="83"/>
  <c r="AA16" i="83"/>
  <c r="Y16" i="83"/>
  <c r="AC21" i="83"/>
  <c r="AB21" i="83"/>
  <c r="AG21" i="83"/>
  <c r="Q25" i="83"/>
  <c r="AA15" i="83"/>
  <c r="AC15" i="83"/>
  <c r="AC19" i="83"/>
  <c r="AB19" i="83"/>
  <c r="AG19" i="83"/>
  <c r="M21" i="83"/>
  <c r="Q14" i="83"/>
  <c r="AG27" i="83"/>
  <c r="AB27" i="83"/>
  <c r="AC27" i="83"/>
  <c r="Y27" i="83"/>
  <c r="Z27" i="83" s="1"/>
  <c r="AD24" i="83"/>
  <c r="AG24" i="83"/>
  <c r="AE24" i="83"/>
  <c r="AA24" i="83"/>
  <c r="AC24" i="83"/>
  <c r="X24" i="83"/>
  <c r="M18" i="83"/>
  <c r="R21" i="84"/>
  <c r="AI31" i="85"/>
  <c r="BK38" i="85" s="1"/>
  <c r="S31" i="86"/>
  <c r="S13" i="86" s="1"/>
  <c r="F38" i="87"/>
  <c r="F42" i="87" s="1"/>
  <c r="R23" i="84"/>
  <c r="S24" i="87"/>
  <c r="Q23" i="83"/>
  <c r="S18" i="87"/>
  <c r="S19" i="87"/>
  <c r="S16" i="87"/>
  <c r="S14" i="87"/>
  <c r="S15" i="87"/>
  <c r="S27" i="87"/>
  <c r="S17" i="87"/>
  <c r="BH38" i="87"/>
  <c r="AF42" i="87"/>
  <c r="AJ38" i="87"/>
  <c r="S34" i="87"/>
  <c r="S26" i="87"/>
  <c r="S20" i="87"/>
  <c r="S12" i="87"/>
  <c r="T89" i="89" s="1"/>
  <c r="S13" i="87"/>
  <c r="AJ31" i="87"/>
  <c r="AM12" i="87"/>
  <c r="S25" i="87"/>
  <c r="S21" i="87"/>
  <c r="T184" i="88" s="1"/>
  <c r="S23" i="87"/>
  <c r="R34" i="86"/>
  <c r="R42" i="86"/>
  <c r="AI42" i="86"/>
  <c r="AF31" i="86"/>
  <c r="AF38" i="86"/>
  <c r="Z42" i="86"/>
  <c r="AJ31" i="86"/>
  <c r="AM12" i="86"/>
  <c r="AM31" i="86" s="1"/>
  <c r="AI38" i="85"/>
  <c r="AI42" i="85" s="1"/>
  <c r="Z38" i="85"/>
  <c r="Z42" i="85" s="1"/>
  <c r="AJ24" i="85"/>
  <c r="AM24" i="85" s="1"/>
  <c r="AJ22" i="85"/>
  <c r="AM22" i="85" s="1"/>
  <c r="AF31" i="85"/>
  <c r="AJ12" i="85"/>
  <c r="AF38" i="85"/>
  <c r="R42" i="85"/>
  <c r="R34" i="85"/>
  <c r="S31" i="85"/>
  <c r="S18" i="85" s="1"/>
  <c r="AI16" i="84"/>
  <c r="AI24" i="84"/>
  <c r="AI18" i="84"/>
  <c r="AI17" i="84"/>
  <c r="AF14" i="84"/>
  <c r="Z17" i="84"/>
  <c r="AF17" i="84" s="1"/>
  <c r="Z16" i="84"/>
  <c r="Z24" i="84"/>
  <c r="AG38" i="84"/>
  <c r="AI38" i="84" s="1"/>
  <c r="Q31" i="84"/>
  <c r="AI12" i="84"/>
  <c r="Z18" i="84"/>
  <c r="Z12" i="84"/>
  <c r="AI19" i="84"/>
  <c r="R16" i="84"/>
  <c r="AB38" i="84"/>
  <c r="AB42" i="84" s="1"/>
  <c r="X38" i="84"/>
  <c r="X42" i="84" s="1"/>
  <c r="AJ14" i="84"/>
  <c r="AM14" i="84" s="1"/>
  <c r="Z19" i="84"/>
  <c r="AF27" i="84"/>
  <c r="AJ27" i="84" s="1"/>
  <c r="AM27" i="84" s="1"/>
  <c r="M31" i="84"/>
  <c r="AV38" i="84" s="1"/>
  <c r="AA38" i="84"/>
  <c r="AA42" i="84" s="1"/>
  <c r="AC38" i="84"/>
  <c r="AC42" i="84" s="1"/>
  <c r="AF23" i="84"/>
  <c r="AJ23" i="84" s="1"/>
  <c r="R13" i="84"/>
  <c r="AD38" i="84"/>
  <c r="AD42" i="84" s="1"/>
  <c r="Z13" i="84"/>
  <c r="Y38" i="84"/>
  <c r="Y42" i="84" s="1"/>
  <c r="Z20" i="84"/>
  <c r="AI13" i="84"/>
  <c r="AI20" i="84"/>
  <c r="AE38" i="84"/>
  <c r="AE42" i="84" s="1"/>
  <c r="AF25" i="84"/>
  <c r="AJ25" i="84" s="1"/>
  <c r="AM25" i="84" s="1"/>
  <c r="AF15" i="84"/>
  <c r="AJ15" i="84" s="1"/>
  <c r="AM15" i="84" s="1"/>
  <c r="AF21" i="84"/>
  <c r="AJ21" i="84" s="1"/>
  <c r="AF16" i="84"/>
  <c r="AF26" i="84"/>
  <c r="AJ26" i="84" s="1"/>
  <c r="AM26" i="84" s="1"/>
  <c r="AF24" i="84"/>
  <c r="AF22" i="84"/>
  <c r="AJ22" i="84" s="1"/>
  <c r="AM22" i="84" s="1"/>
  <c r="M23" i="83"/>
  <c r="R23" i="83" s="1"/>
  <c r="M25" i="83"/>
  <c r="R14" i="83"/>
  <c r="X14" i="83"/>
  <c r="AC22" i="83"/>
  <c r="Y14" i="83"/>
  <c r="Q21" i="83"/>
  <c r="R21" i="83" s="1"/>
  <c r="AE14" i="83"/>
  <c r="AD14" i="83"/>
  <c r="AB14" i="83"/>
  <c r="AC14" i="83"/>
  <c r="X22" i="83"/>
  <c r="Z22" i="83" s="1"/>
  <c r="M20" i="83"/>
  <c r="M27" i="83"/>
  <c r="AE20" i="83"/>
  <c r="M22" i="83"/>
  <c r="AD13" i="83"/>
  <c r="AB20" i="83"/>
  <c r="AG20" i="83"/>
  <c r="AA20" i="83"/>
  <c r="AF12" i="83"/>
  <c r="AJ12" i="83" s="1"/>
  <c r="N38" i="83"/>
  <c r="N42" i="83" s="1"/>
  <c r="AB22" i="83"/>
  <c r="AE22" i="83"/>
  <c r="AA13" i="83"/>
  <c r="AG13" i="83"/>
  <c r="M16" i="83"/>
  <c r="M17" i="83"/>
  <c r="R17" i="83" s="1"/>
  <c r="X20" i="83"/>
  <c r="AC20" i="83"/>
  <c r="Q13" i="83"/>
  <c r="Q31" i="83" s="1"/>
  <c r="AZ38" i="83" s="1"/>
  <c r="Y22" i="83"/>
  <c r="AD22" i="83"/>
  <c r="X13" i="83"/>
  <c r="Y13" i="83"/>
  <c r="Y20" i="83"/>
  <c r="AG22" i="83"/>
  <c r="AE13" i="83"/>
  <c r="M15" i="83"/>
  <c r="R15" i="83" s="1"/>
  <c r="M19" i="83"/>
  <c r="R19" i="83" s="1"/>
  <c r="O38" i="83"/>
  <c r="O42" i="83" s="1"/>
  <c r="AB16" i="83"/>
  <c r="AG16" i="83"/>
  <c r="X16" i="83"/>
  <c r="AD16" i="83"/>
  <c r="AC16" i="83"/>
  <c r="AE15" i="83"/>
  <c r="L38" i="83"/>
  <c r="L42" i="83" s="1"/>
  <c r="X15" i="83"/>
  <c r="AG15" i="83"/>
  <c r="U31" i="83"/>
  <c r="U42" i="83" s="1"/>
  <c r="AB15" i="83"/>
  <c r="AD15" i="83"/>
  <c r="Y15" i="83"/>
  <c r="M24" i="83"/>
  <c r="R24" i="83" s="1"/>
  <c r="K38" i="83"/>
  <c r="K42" i="83" s="1"/>
  <c r="R18" i="83"/>
  <c r="AB24" i="83"/>
  <c r="Y24" i="83"/>
  <c r="Z26" i="83"/>
  <c r="Z23" i="83"/>
  <c r="Z14" i="83"/>
  <c r="Z17" i="83"/>
  <c r="AI17" i="83"/>
  <c r="Z18" i="83"/>
  <c r="AI27" i="83"/>
  <c r="AI26" i="83"/>
  <c r="AI19" i="83"/>
  <c r="AI14" i="83"/>
  <c r="Z21" i="83"/>
  <c r="AI15" i="83"/>
  <c r="Z25" i="83"/>
  <c r="R22" i="83"/>
  <c r="Z19" i="83"/>
  <c r="R20" i="83"/>
  <c r="AI21" i="83"/>
  <c r="AM28" i="83"/>
  <c r="AI23" i="83"/>
  <c r="AI18" i="83"/>
  <c r="R27" i="83"/>
  <c r="AI25" i="83"/>
  <c r="L25" i="82"/>
  <c r="L21" i="82"/>
  <c r="U25" i="82"/>
  <c r="AG25" i="82" s="1"/>
  <c r="L19" i="82"/>
  <c r="N25" i="82"/>
  <c r="K25" i="82"/>
  <c r="K17" i="82"/>
  <c r="X16" i="82"/>
  <c r="L23" i="82"/>
  <c r="L16" i="82"/>
  <c r="AC16" i="82"/>
  <c r="N23" i="82"/>
  <c r="L27" i="82"/>
  <c r="AE16" i="82"/>
  <c r="N17" i="82"/>
  <c r="AD16" i="82"/>
  <c r="K23" i="82"/>
  <c r="N27" i="82"/>
  <c r="M15" i="82"/>
  <c r="R15" i="82" s="1"/>
  <c r="K16" i="82"/>
  <c r="U21" i="82"/>
  <c r="X21" i="82" s="1"/>
  <c r="U19" i="82"/>
  <c r="K22" i="82"/>
  <c r="U15" i="82"/>
  <c r="N21" i="82"/>
  <c r="AC14" i="82"/>
  <c r="O22" i="82"/>
  <c r="N19" i="82"/>
  <c r="U17" i="82"/>
  <c r="AA17" i="82" s="1"/>
  <c r="O21" i="82"/>
  <c r="AD14" i="82"/>
  <c r="N22" i="82"/>
  <c r="L22" i="82"/>
  <c r="U23" i="82"/>
  <c r="AE23" i="82" s="1"/>
  <c r="O19" i="82"/>
  <c r="I31" i="82"/>
  <c r="I42" i="82" s="1"/>
  <c r="U27" i="82"/>
  <c r="Y27" i="82" s="1"/>
  <c r="U13" i="82"/>
  <c r="AA13" i="82" s="1"/>
  <c r="K13" i="82"/>
  <c r="Y14" i="82"/>
  <c r="AG14" i="82"/>
  <c r="AE14" i="82"/>
  <c r="X14" i="82"/>
  <c r="AA14" i="82"/>
  <c r="M14" i="82"/>
  <c r="R14" i="82" s="1"/>
  <c r="M17" i="82"/>
  <c r="Q18" i="82"/>
  <c r="M25" i="82"/>
  <c r="AD19" i="82"/>
  <c r="Q26" i="82"/>
  <c r="Q27" i="82"/>
  <c r="Q17" i="82"/>
  <c r="M21" i="82"/>
  <c r="AM28" i="82"/>
  <c r="AB18" i="82"/>
  <c r="X18" i="82"/>
  <c r="AE18" i="82"/>
  <c r="AA18" i="82"/>
  <c r="AD18" i="82"/>
  <c r="AG18" i="82"/>
  <c r="AC18" i="82"/>
  <c r="Y18" i="82"/>
  <c r="Q25" i="82"/>
  <c r="AG24" i="82"/>
  <c r="AB24" i="82"/>
  <c r="AG26" i="82"/>
  <c r="Y26" i="82"/>
  <c r="AB26" i="82"/>
  <c r="AA26" i="82"/>
  <c r="AB12" i="82"/>
  <c r="X12" i="82"/>
  <c r="AE12" i="82"/>
  <c r="AD12" i="82"/>
  <c r="AC12" i="82"/>
  <c r="Y12" i="82"/>
  <c r="AG12" i="82"/>
  <c r="AA12" i="82"/>
  <c r="AB20" i="82"/>
  <c r="X20" i="82"/>
  <c r="AE20" i="82"/>
  <c r="AA20" i="82"/>
  <c r="AD20" i="82"/>
  <c r="AG20" i="82"/>
  <c r="AC20" i="82"/>
  <c r="Y20" i="82"/>
  <c r="AC27" i="82"/>
  <c r="AB27" i="82"/>
  <c r="AE27" i="82"/>
  <c r="AB17" i="82"/>
  <c r="AE17" i="82"/>
  <c r="AD17" i="82"/>
  <c r="AC17" i="82"/>
  <c r="AB22" i="82"/>
  <c r="X22" i="82"/>
  <c r="AE22" i="82"/>
  <c r="AA22" i="82"/>
  <c r="AD22" i="82"/>
  <c r="AG22" i="82"/>
  <c r="AC22" i="82"/>
  <c r="Y22" i="82"/>
  <c r="AD25" i="82"/>
  <c r="Y25" i="82"/>
  <c r="X25" i="82"/>
  <c r="AE25" i="82"/>
  <c r="Q23" i="82"/>
  <c r="M19" i="82"/>
  <c r="Q24" i="82"/>
  <c r="Q12" i="82"/>
  <c r="AB21" i="82"/>
  <c r="AE21" i="82"/>
  <c r="AD21" i="82"/>
  <c r="AC21" i="82"/>
  <c r="M18" i="82"/>
  <c r="M24" i="82"/>
  <c r="M12" i="82"/>
  <c r="M20" i="82"/>
  <c r="M27" i="82"/>
  <c r="I24" i="81"/>
  <c r="U24" i="81" s="1"/>
  <c r="AG24" i="81" s="1"/>
  <c r="I22" i="81"/>
  <c r="U22" i="81" s="1"/>
  <c r="H42" i="81"/>
  <c r="I27" i="81"/>
  <c r="O27" i="81" s="1"/>
  <c r="I17" i="81"/>
  <c r="I23" i="81"/>
  <c r="I21" i="81"/>
  <c r="I25" i="81"/>
  <c r="I12" i="81"/>
  <c r="I14" i="81"/>
  <c r="Z28" i="81"/>
  <c r="AI28" i="81"/>
  <c r="N20" i="81"/>
  <c r="U20" i="81"/>
  <c r="K20" i="81"/>
  <c r="O20" i="81"/>
  <c r="L20" i="81"/>
  <c r="I16" i="81"/>
  <c r="I19" i="81"/>
  <c r="I13" i="81"/>
  <c r="I26" i="81"/>
  <c r="I15" i="81"/>
  <c r="I18" i="81"/>
  <c r="AM51" i="80"/>
  <c r="AL31" i="80"/>
  <c r="AO51" i="80"/>
  <c r="Q28" i="80"/>
  <c r="AH42" i="80"/>
  <c r="H31" i="80"/>
  <c r="I12" i="80" s="1"/>
  <c r="AG28" i="80"/>
  <c r="AC28" i="80"/>
  <c r="Y28" i="80"/>
  <c r="AB28" i="80"/>
  <c r="X28" i="80"/>
  <c r="AD28" i="80"/>
  <c r="G42" i="80"/>
  <c r="AN34" i="80"/>
  <c r="AN52" i="80" s="1"/>
  <c r="M28" i="80"/>
  <c r="R28" i="80" s="1"/>
  <c r="P38" i="80"/>
  <c r="P42" i="80" s="1"/>
  <c r="AR38" i="80"/>
  <c r="AY38" i="80"/>
  <c r="BJ38" i="80"/>
  <c r="H38" i="80"/>
  <c r="AN31" i="79"/>
  <c r="AG31" i="79"/>
  <c r="Y31" i="79"/>
  <c r="X31" i="79"/>
  <c r="AK31" i="79" s="1"/>
  <c r="AN51" i="79"/>
  <c r="AM49" i="79"/>
  <c r="AO49" i="79" s="1"/>
  <c r="AO46" i="79"/>
  <c r="AM46" i="79"/>
  <c r="AO45" i="79"/>
  <c r="AX38" i="79"/>
  <c r="AW38" i="79"/>
  <c r="AH38" i="79"/>
  <c r="M38" i="79"/>
  <c r="G38" i="79"/>
  <c r="AN34" i="79"/>
  <c r="BA31" i="79"/>
  <c r="AQ31" i="79"/>
  <c r="AP31" i="79"/>
  <c r="AH31" i="79"/>
  <c r="T31" i="79"/>
  <c r="P31" i="79"/>
  <c r="G31" i="79"/>
  <c r="AR38" i="79" s="1"/>
  <c r="F31" i="79"/>
  <c r="AC28" i="79"/>
  <c r="AB28" i="79"/>
  <c r="Y28" i="79"/>
  <c r="X28" i="79"/>
  <c r="U28" i="79"/>
  <c r="AE28" i="79" s="1"/>
  <c r="O28" i="79"/>
  <c r="N28" i="79"/>
  <c r="L28" i="79"/>
  <c r="K28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3" i="79"/>
  <c r="H12" i="79"/>
  <c r="AM31" i="87" l="1"/>
  <c r="AI91" i="89"/>
  <c r="AN24" i="87"/>
  <c r="AS24" i="87" s="1"/>
  <c r="BL24" i="87" s="1"/>
  <c r="BC14" i="88"/>
  <c r="AX184" i="88"/>
  <c r="AH14" i="88"/>
  <c r="AH184" i="88" s="1"/>
  <c r="AB184" i="88"/>
  <c r="S22" i="86"/>
  <c r="S15" i="86"/>
  <c r="AN15" i="86" s="1"/>
  <c r="AS15" i="86" s="1"/>
  <c r="S14" i="86"/>
  <c r="AN14" i="86" s="1"/>
  <c r="AS14" i="86" s="1"/>
  <c r="S20" i="86"/>
  <c r="AN20" i="86" s="1"/>
  <c r="AS20" i="86" s="1"/>
  <c r="S26" i="86"/>
  <c r="AN26" i="86" s="1"/>
  <c r="AS26" i="86" s="1"/>
  <c r="S25" i="86"/>
  <c r="AN25" i="86" s="1"/>
  <c r="AS25" i="86" s="1"/>
  <c r="S34" i="86"/>
  <c r="S18" i="86"/>
  <c r="AN18" i="86" s="1"/>
  <c r="AS18" i="86" s="1"/>
  <c r="S23" i="86"/>
  <c r="AN23" i="86" s="1"/>
  <c r="AS23" i="86" s="1"/>
  <c r="AG19" i="82"/>
  <c r="X19" i="82"/>
  <c r="AB19" i="82"/>
  <c r="AC19" i="82"/>
  <c r="Y19" i="82"/>
  <c r="AE19" i="82"/>
  <c r="M23" i="82"/>
  <c r="R23" i="82" s="1"/>
  <c r="AZ38" i="84"/>
  <c r="Q42" i="84"/>
  <c r="AA19" i="82"/>
  <c r="AJ16" i="84"/>
  <c r="Q16" i="82"/>
  <c r="AB25" i="82"/>
  <c r="AC26" i="82"/>
  <c r="Z16" i="83"/>
  <c r="Z20" i="83"/>
  <c r="AN13" i="86"/>
  <c r="AS13" i="86" s="1"/>
  <c r="T38" i="87"/>
  <c r="T42" i="87" s="1"/>
  <c r="AD28" i="79"/>
  <c r="M26" i="82"/>
  <c r="R26" i="82" s="1"/>
  <c r="AC25" i="82"/>
  <c r="AD27" i="82"/>
  <c r="AE26" i="82"/>
  <c r="AD26" i="82"/>
  <c r="Q20" i="82"/>
  <c r="Q19" i="82"/>
  <c r="R19" i="82" s="1"/>
  <c r="R16" i="83"/>
  <c r="R31" i="84"/>
  <c r="S12" i="86"/>
  <c r="AN12" i="86" s="1"/>
  <c r="S16" i="86"/>
  <c r="AN16" i="86" s="1"/>
  <c r="AS16" i="86" s="1"/>
  <c r="S21" i="86"/>
  <c r="AN21" i="86" s="1"/>
  <c r="AS21" i="86" s="1"/>
  <c r="S17" i="86"/>
  <c r="AN17" i="86" s="1"/>
  <c r="AS17" i="86" s="1"/>
  <c r="Q21" i="82"/>
  <c r="AA16" i="82"/>
  <c r="AB16" i="82"/>
  <c r="AG16" i="82"/>
  <c r="AL31" i="79"/>
  <c r="AA25" i="82"/>
  <c r="R25" i="83"/>
  <c r="AM21" i="84"/>
  <c r="AM23" i="84"/>
  <c r="S27" i="86"/>
  <c r="AN27" i="86" s="1"/>
  <c r="AS27" i="86" s="1"/>
  <c r="S19" i="86"/>
  <c r="AN19" i="86" s="1"/>
  <c r="AS19" i="86" s="1"/>
  <c r="S24" i="86"/>
  <c r="AN24" i="86" s="1"/>
  <c r="AS24" i="86" s="1"/>
  <c r="AN23" i="87"/>
  <c r="AS23" i="87" s="1"/>
  <c r="AN25" i="87"/>
  <c r="AS25" i="87" s="1"/>
  <c r="BN25" i="87" s="1"/>
  <c r="AJ42" i="87"/>
  <c r="AN28" i="87"/>
  <c r="AS28" i="87" s="1"/>
  <c r="AM38" i="87"/>
  <c r="AM42" i="87" s="1"/>
  <c r="AN26" i="87"/>
  <c r="AS26" i="87" s="1"/>
  <c r="BL26" i="87" s="1"/>
  <c r="AN17" i="87"/>
  <c r="AN27" i="87"/>
  <c r="AS27" i="87" s="1"/>
  <c r="BN27" i="87" s="1"/>
  <c r="AN21" i="87"/>
  <c r="AN13" i="87"/>
  <c r="AN18" i="87"/>
  <c r="AS18" i="87" s="1"/>
  <c r="S38" i="87"/>
  <c r="S42" i="87" s="1"/>
  <c r="AN12" i="87"/>
  <c r="AJ89" i="89" s="1"/>
  <c r="AN14" i="87"/>
  <c r="AN19" i="87"/>
  <c r="AS19" i="87" s="1"/>
  <c r="AM34" i="87"/>
  <c r="AM53" i="87" s="1"/>
  <c r="AN20" i="87"/>
  <c r="AS20" i="87" s="1"/>
  <c r="AN22" i="87"/>
  <c r="AS22" i="87" s="1"/>
  <c r="AN15" i="87"/>
  <c r="AN16" i="87"/>
  <c r="AN22" i="86"/>
  <c r="AS22" i="86" s="1"/>
  <c r="AN28" i="86"/>
  <c r="AS28" i="86" s="1"/>
  <c r="AM38" i="86"/>
  <c r="AM42" i="86" s="1"/>
  <c r="AM34" i="86"/>
  <c r="AM53" i="86" s="1"/>
  <c r="BH38" i="86"/>
  <c r="AF42" i="86"/>
  <c r="AJ38" i="86"/>
  <c r="AJ42" i="86" s="1"/>
  <c r="S24" i="85"/>
  <c r="S23" i="85"/>
  <c r="S13" i="85"/>
  <c r="S19" i="85"/>
  <c r="S22" i="85"/>
  <c r="S17" i="85"/>
  <c r="S12" i="85"/>
  <c r="BH38" i="85"/>
  <c r="AF42" i="85"/>
  <c r="AJ38" i="85"/>
  <c r="S14" i="85"/>
  <c r="S15" i="85"/>
  <c r="S20" i="85"/>
  <c r="S34" i="85"/>
  <c r="S26" i="85"/>
  <c r="S16" i="85"/>
  <c r="S27" i="85"/>
  <c r="S25" i="85"/>
  <c r="AJ31" i="85"/>
  <c r="T38" i="86" s="1"/>
  <c r="T42" i="86" s="1"/>
  <c r="AM12" i="85"/>
  <c r="AM31" i="85" s="1"/>
  <c r="S21" i="85"/>
  <c r="AJ24" i="84"/>
  <c r="AM24" i="84" s="1"/>
  <c r="AG42" i="84"/>
  <c r="AJ17" i="84"/>
  <c r="AM17" i="84" s="1"/>
  <c r="R38" i="84"/>
  <c r="AF12" i="84"/>
  <c r="AJ12" i="84" s="1"/>
  <c r="AF18" i="84"/>
  <c r="AJ18" i="84" s="1"/>
  <c r="AM18" i="84" s="1"/>
  <c r="AM16" i="84"/>
  <c r="M42" i="84"/>
  <c r="AI31" i="84"/>
  <c r="BK38" i="84" s="1"/>
  <c r="AF19" i="84"/>
  <c r="AJ19" i="84" s="1"/>
  <c r="AM19" i="84" s="1"/>
  <c r="Z38" i="84"/>
  <c r="Z31" i="84"/>
  <c r="AF13" i="84"/>
  <c r="AJ13" i="84" s="1"/>
  <c r="AM13" i="84" s="1"/>
  <c r="AF20" i="84"/>
  <c r="AJ20" i="84" s="1"/>
  <c r="AM20" i="84" s="1"/>
  <c r="R34" i="84"/>
  <c r="AI20" i="83"/>
  <c r="AF17" i="83"/>
  <c r="AF26" i="83"/>
  <c r="AJ26" i="83" s="1"/>
  <c r="AM26" i="83" s="1"/>
  <c r="AA38" i="83"/>
  <c r="AA42" i="83" s="1"/>
  <c r="AF27" i="83"/>
  <c r="AJ27" i="83" s="1"/>
  <c r="AM27" i="83" s="1"/>
  <c r="R13" i="83"/>
  <c r="R31" i="83" s="1"/>
  <c r="Z13" i="83"/>
  <c r="AG38" i="83"/>
  <c r="AG42" i="83" s="1"/>
  <c r="AI22" i="83"/>
  <c r="AD38" i="83"/>
  <c r="AD42" i="83" s="1"/>
  <c r="AF16" i="83"/>
  <c r="Z15" i="83"/>
  <c r="AI13" i="83"/>
  <c r="AF20" i="83"/>
  <c r="AI16" i="83"/>
  <c r="Y38" i="83"/>
  <c r="Y42" i="83" s="1"/>
  <c r="AC38" i="83"/>
  <c r="AC42" i="83" s="1"/>
  <c r="X38" i="83"/>
  <c r="X42" i="83" s="1"/>
  <c r="AF23" i="83"/>
  <c r="AJ23" i="83" s="1"/>
  <c r="AM23" i="83" s="1"/>
  <c r="Z24" i="83"/>
  <c r="AB38" i="83"/>
  <c r="AB42" i="83" s="1"/>
  <c r="AI24" i="83"/>
  <c r="M31" i="83"/>
  <c r="M42" i="83" s="1"/>
  <c r="AJ17" i="83"/>
  <c r="AM17" i="83" s="1"/>
  <c r="AE38" i="83"/>
  <c r="AE42" i="83" s="1"/>
  <c r="AF14" i="83"/>
  <c r="AJ14" i="83" s="1"/>
  <c r="AM14" i="83" s="1"/>
  <c r="Q42" i="83"/>
  <c r="AI38" i="83"/>
  <c r="AM12" i="83"/>
  <c r="AF19" i="83"/>
  <c r="AJ19" i="83" s="1"/>
  <c r="AM19" i="83" s="1"/>
  <c r="AF25" i="83"/>
  <c r="AJ25" i="83" s="1"/>
  <c r="AM25" i="83" s="1"/>
  <c r="AF21" i="83"/>
  <c r="AJ21" i="83" s="1"/>
  <c r="AM21" i="83" s="1"/>
  <c r="R38" i="83"/>
  <c r="AF22" i="83"/>
  <c r="AF18" i="83"/>
  <c r="AJ18" i="83" s="1"/>
  <c r="AM18" i="83" s="1"/>
  <c r="AI14" i="82"/>
  <c r="Y21" i="82"/>
  <c r="AA21" i="82"/>
  <c r="AG17" i="82"/>
  <c r="X17" i="82"/>
  <c r="X27" i="82"/>
  <c r="AG27" i="82"/>
  <c r="R20" i="82"/>
  <c r="AG21" i="82"/>
  <c r="Y17" i="82"/>
  <c r="AA27" i="82"/>
  <c r="M22" i="82"/>
  <c r="R22" i="82" s="1"/>
  <c r="Z16" i="82"/>
  <c r="AD23" i="82"/>
  <c r="M16" i="82"/>
  <c r="R16" i="82" s="1"/>
  <c r="AB23" i="82"/>
  <c r="Q22" i="82"/>
  <c r="Q31" i="82" s="1"/>
  <c r="R24" i="82"/>
  <c r="AG23" i="82"/>
  <c r="X23" i="82"/>
  <c r="R18" i="82"/>
  <c r="O38" i="82"/>
  <c r="O42" i="82" s="1"/>
  <c r="Y23" i="82"/>
  <c r="N38" i="82"/>
  <c r="N42" i="82" s="1"/>
  <c r="Z14" i="82"/>
  <c r="U31" i="82"/>
  <c r="U42" i="82" s="1"/>
  <c r="AA23" i="82"/>
  <c r="K38" i="82"/>
  <c r="K42" i="82" s="1"/>
  <c r="AC23" i="82"/>
  <c r="M13" i="82"/>
  <c r="R13" i="82" s="1"/>
  <c r="AB15" i="82"/>
  <c r="AE15" i="82"/>
  <c r="AG15" i="82"/>
  <c r="X15" i="82"/>
  <c r="AD15" i="82"/>
  <c r="AA15" i="82"/>
  <c r="AC15" i="82"/>
  <c r="Y15" i="82"/>
  <c r="L38" i="82"/>
  <c r="L42" i="82" s="1"/>
  <c r="AD13" i="82"/>
  <c r="X13" i="82"/>
  <c r="AE13" i="82"/>
  <c r="Y13" i="82"/>
  <c r="AC13" i="82"/>
  <c r="AB13" i="82"/>
  <c r="AG13" i="82"/>
  <c r="AF14" i="82"/>
  <c r="AJ14" i="82" s="1"/>
  <c r="AM14" i="82" s="1"/>
  <c r="R27" i="82"/>
  <c r="Z24" i="82"/>
  <c r="Z21" i="82"/>
  <c r="AI21" i="82"/>
  <c r="AF16" i="82"/>
  <c r="R12" i="82"/>
  <c r="AI12" i="82"/>
  <c r="AI18" i="82"/>
  <c r="Z18" i="82"/>
  <c r="Z27" i="82"/>
  <c r="AI20" i="82"/>
  <c r="Z20" i="82"/>
  <c r="X38" i="82"/>
  <c r="X42" i="82" s="1"/>
  <c r="Z12" i="82"/>
  <c r="R25" i="82"/>
  <c r="R17" i="82"/>
  <c r="Z25" i="82"/>
  <c r="AI25" i="82"/>
  <c r="AI22" i="82"/>
  <c r="Z22" i="82"/>
  <c r="Z26" i="82"/>
  <c r="AI26" i="82"/>
  <c r="AI24" i="82"/>
  <c r="R21" i="82"/>
  <c r="Z19" i="82"/>
  <c r="AE24" i="81"/>
  <c r="X24" i="81"/>
  <c r="AA24" i="81"/>
  <c r="AD24" i="81"/>
  <c r="AC24" i="81"/>
  <c r="L24" i="81"/>
  <c r="K24" i="81"/>
  <c r="L22" i="81"/>
  <c r="N24" i="81"/>
  <c r="O24" i="81"/>
  <c r="K22" i="81"/>
  <c r="N22" i="81"/>
  <c r="O22" i="81"/>
  <c r="N27" i="81"/>
  <c r="K27" i="81"/>
  <c r="L27" i="81"/>
  <c r="U27" i="81"/>
  <c r="AB27" i="81" s="1"/>
  <c r="U19" i="81"/>
  <c r="O19" i="81"/>
  <c r="K19" i="81"/>
  <c r="N19" i="81"/>
  <c r="L19" i="81"/>
  <c r="M20" i="81"/>
  <c r="I31" i="81"/>
  <c r="I42" i="81" s="1"/>
  <c r="U12" i="81"/>
  <c r="O12" i="81"/>
  <c r="K12" i="81"/>
  <c r="L12" i="81"/>
  <c r="N12" i="81"/>
  <c r="Q27" i="81"/>
  <c r="U26" i="81"/>
  <c r="O26" i="81"/>
  <c r="K26" i="81"/>
  <c r="N26" i="81"/>
  <c r="L26" i="81"/>
  <c r="U13" i="81"/>
  <c r="O13" i="81"/>
  <c r="K13" i="81"/>
  <c r="N13" i="81"/>
  <c r="L13" i="81"/>
  <c r="Q20" i="81"/>
  <c r="U14" i="81"/>
  <c r="O14" i="81"/>
  <c r="K14" i="81"/>
  <c r="L14" i="81"/>
  <c r="N14" i="81"/>
  <c r="N23" i="81"/>
  <c r="K23" i="81"/>
  <c r="U23" i="81"/>
  <c r="L23" i="81"/>
  <c r="O23" i="81"/>
  <c r="U17" i="81"/>
  <c r="O17" i="81"/>
  <c r="K17" i="81"/>
  <c r="N17" i="81"/>
  <c r="L17" i="81"/>
  <c r="U15" i="81"/>
  <c r="O15" i="81"/>
  <c r="K15" i="81"/>
  <c r="N15" i="81"/>
  <c r="L15" i="81"/>
  <c r="U16" i="81"/>
  <c r="O16" i="81"/>
  <c r="K16" i="81"/>
  <c r="L16" i="81"/>
  <c r="N16" i="81"/>
  <c r="AD20" i="81"/>
  <c r="AG20" i="81"/>
  <c r="AB20" i="81"/>
  <c r="AC20" i="81"/>
  <c r="AA20" i="81"/>
  <c r="Y20" i="81"/>
  <c r="AE20" i="81"/>
  <c r="X20" i="81"/>
  <c r="U25" i="81"/>
  <c r="O25" i="81"/>
  <c r="K25" i="81"/>
  <c r="N25" i="81"/>
  <c r="L25" i="81"/>
  <c r="U18" i="81"/>
  <c r="O18" i="81"/>
  <c r="K18" i="81"/>
  <c r="L18" i="81"/>
  <c r="N18" i="81"/>
  <c r="AD22" i="81"/>
  <c r="AG22" i="81"/>
  <c r="AB22" i="81"/>
  <c r="AA22" i="81"/>
  <c r="Y22" i="81"/>
  <c r="AE22" i="81"/>
  <c r="X22" i="81"/>
  <c r="AC22" i="81"/>
  <c r="AF28" i="81"/>
  <c r="AJ28" i="81" s="1"/>
  <c r="N21" i="81"/>
  <c r="K21" i="81"/>
  <c r="U21" i="81"/>
  <c r="L21" i="81"/>
  <c r="O21" i="81"/>
  <c r="AB24" i="81"/>
  <c r="Y24" i="81"/>
  <c r="I26" i="80"/>
  <c r="U26" i="80" s="1"/>
  <c r="I14" i="80"/>
  <c r="K14" i="80" s="1"/>
  <c r="I25" i="80"/>
  <c r="O25" i="80" s="1"/>
  <c r="I22" i="80"/>
  <c r="O22" i="80" s="1"/>
  <c r="I15" i="80"/>
  <c r="K15" i="80" s="1"/>
  <c r="I16" i="80"/>
  <c r="O16" i="80" s="1"/>
  <c r="I13" i="80"/>
  <c r="L13" i="80" s="1"/>
  <c r="N12" i="80"/>
  <c r="O12" i="80"/>
  <c r="U12" i="80"/>
  <c r="L12" i="80"/>
  <c r="K12" i="80"/>
  <c r="I24" i="80"/>
  <c r="L24" i="80" s="1"/>
  <c r="I18" i="80"/>
  <c r="I20" i="80"/>
  <c r="Z28" i="80"/>
  <c r="AI28" i="80"/>
  <c r="I27" i="80"/>
  <c r="I17" i="80"/>
  <c r="H42" i="80"/>
  <c r="I23" i="80"/>
  <c r="I21" i="80"/>
  <c r="I19" i="80"/>
  <c r="AM51" i="79"/>
  <c r="AN52" i="79"/>
  <c r="AO51" i="79"/>
  <c r="Z28" i="79"/>
  <c r="Q28" i="79"/>
  <c r="M28" i="79"/>
  <c r="H31" i="79"/>
  <c r="I13" i="79" s="1"/>
  <c r="U13" i="79" s="1"/>
  <c r="F34" i="79"/>
  <c r="AG28" i="79"/>
  <c r="BI38" i="79"/>
  <c r="BJ38" i="79"/>
  <c r="AH42" i="79"/>
  <c r="Q38" i="79"/>
  <c r="AY38" i="79"/>
  <c r="P38" i="79"/>
  <c r="P42" i="79" s="1"/>
  <c r="H38" i="79"/>
  <c r="G42" i="79"/>
  <c r="AA28" i="79"/>
  <c r="AN31" i="78"/>
  <c r="AG31" i="78"/>
  <c r="Y31" i="78"/>
  <c r="AD31" i="78"/>
  <c r="AK31" i="78" s="1"/>
  <c r="X31" i="78"/>
  <c r="AN51" i="78"/>
  <c r="AM49" i="78"/>
  <c r="AO49" i="78" s="1"/>
  <c r="AO46" i="78"/>
  <c r="AM46" i="78"/>
  <c r="AO45" i="78"/>
  <c r="AX38" i="78"/>
  <c r="AW38" i="78"/>
  <c r="AH38" i="78"/>
  <c r="M38" i="78"/>
  <c r="G38" i="78"/>
  <c r="BA31" i="78"/>
  <c r="AQ31" i="78"/>
  <c r="AP31" i="78"/>
  <c r="AH31" i="78"/>
  <c r="BI38" i="78"/>
  <c r="T31" i="78"/>
  <c r="P31" i="78"/>
  <c r="AY38" i="78" s="1"/>
  <c r="G31" i="78"/>
  <c r="AR38" i="78" s="1"/>
  <c r="F31" i="78"/>
  <c r="F34" i="78" s="1"/>
  <c r="AD28" i="78"/>
  <c r="AC28" i="78"/>
  <c r="Y28" i="78"/>
  <c r="U28" i="78"/>
  <c r="AE28" i="78" s="1"/>
  <c r="O28" i="78"/>
  <c r="Q28" i="78" s="1"/>
  <c r="N28" i="78"/>
  <c r="L28" i="78"/>
  <c r="K28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5" i="78"/>
  <c r="H14" i="78"/>
  <c r="H13" i="78"/>
  <c r="H12" i="78"/>
  <c r="BN24" i="87" l="1"/>
  <c r="BL28" i="87"/>
  <c r="BN28" i="87"/>
  <c r="BN19" i="87"/>
  <c r="BL19" i="87"/>
  <c r="AJ184" i="88"/>
  <c r="AS21" i="87"/>
  <c r="BN22" i="87"/>
  <c r="BL22" i="87"/>
  <c r="BL23" i="87"/>
  <c r="BN23" i="87"/>
  <c r="BN26" i="87"/>
  <c r="BN20" i="87"/>
  <c r="BL20" i="87"/>
  <c r="BL25" i="87"/>
  <c r="BL27" i="87"/>
  <c r="BN18" i="87"/>
  <c r="BL18" i="87"/>
  <c r="BH14" i="88"/>
  <c r="BH184" i="88" s="1"/>
  <c r="BC184" i="88"/>
  <c r="S38" i="86"/>
  <c r="S42" i="86" s="1"/>
  <c r="F38" i="84"/>
  <c r="F42" i="84" s="1"/>
  <c r="F38" i="85"/>
  <c r="F42" i="85" s="1"/>
  <c r="AJ20" i="83"/>
  <c r="AM20" i="83" s="1"/>
  <c r="R42" i="84"/>
  <c r="AI16" i="82"/>
  <c r="AJ16" i="82" s="1"/>
  <c r="AM16" i="82" s="1"/>
  <c r="X28" i="78"/>
  <c r="Z28" i="78" s="1"/>
  <c r="AL31" i="78"/>
  <c r="R28" i="79"/>
  <c r="S31" i="84"/>
  <c r="S21" i="84" s="1"/>
  <c r="AI27" i="82"/>
  <c r="AB28" i="78"/>
  <c r="AI19" i="82"/>
  <c r="AN38" i="87"/>
  <c r="AN42" i="87" s="1"/>
  <c r="AN38" i="86"/>
  <c r="AN42" i="86" s="1"/>
  <c r="AS12" i="86"/>
  <c r="AS31" i="86" s="1"/>
  <c r="AN24" i="85"/>
  <c r="AS24" i="85" s="1"/>
  <c r="AN23" i="85"/>
  <c r="AS23" i="85" s="1"/>
  <c r="AN21" i="85"/>
  <c r="AS21" i="85" s="1"/>
  <c r="AN25" i="85"/>
  <c r="AS25" i="85" s="1"/>
  <c r="AN26" i="85"/>
  <c r="AS26" i="85" s="1"/>
  <c r="AN15" i="85"/>
  <c r="AS15" i="85" s="1"/>
  <c r="AN22" i="85"/>
  <c r="AS22" i="85" s="1"/>
  <c r="AN14" i="85"/>
  <c r="AS14" i="85" s="1"/>
  <c r="AN13" i="85"/>
  <c r="AS13" i="85" s="1"/>
  <c r="AN19" i="85"/>
  <c r="AS19" i="85" s="1"/>
  <c r="AM34" i="85"/>
  <c r="AM52" i="85" s="1"/>
  <c r="AN27" i="85"/>
  <c r="AS27" i="85" s="1"/>
  <c r="S38" i="85"/>
  <c r="S42" i="85" s="1"/>
  <c r="AN12" i="85"/>
  <c r="AJ42" i="85"/>
  <c r="AN28" i="85"/>
  <c r="AS28" i="85" s="1"/>
  <c r="AM38" i="85"/>
  <c r="AM42" i="85" s="1"/>
  <c r="AN16" i="85"/>
  <c r="AS16" i="85" s="1"/>
  <c r="AN20" i="85"/>
  <c r="AS20" i="85" s="1"/>
  <c r="AN17" i="85"/>
  <c r="AS17" i="85" s="1"/>
  <c r="AN18" i="85"/>
  <c r="AS18" i="85" s="1"/>
  <c r="AI42" i="84"/>
  <c r="Z42" i="84"/>
  <c r="AF38" i="84"/>
  <c r="AF31" i="84"/>
  <c r="AJ38" i="84" s="1"/>
  <c r="BH38" i="84"/>
  <c r="AJ31" i="84"/>
  <c r="T38" i="85" s="1"/>
  <c r="T42" i="85" s="1"/>
  <c r="AM12" i="84"/>
  <c r="AM31" i="84" s="1"/>
  <c r="AJ22" i="83"/>
  <c r="AM22" i="83" s="1"/>
  <c r="AF13" i="83"/>
  <c r="AJ13" i="83" s="1"/>
  <c r="AF24" i="83"/>
  <c r="AJ16" i="83"/>
  <c r="AM16" i="83" s="1"/>
  <c r="AF15" i="83"/>
  <c r="AJ15" i="83" s="1"/>
  <c r="AM15" i="83" s="1"/>
  <c r="AI31" i="83"/>
  <c r="BK38" i="83" s="1"/>
  <c r="Z31" i="83"/>
  <c r="AF38" i="83" s="1"/>
  <c r="AV38" i="83"/>
  <c r="AJ24" i="83"/>
  <c r="AM24" i="83" s="1"/>
  <c r="Z38" i="83"/>
  <c r="R42" i="83"/>
  <c r="R34" i="83"/>
  <c r="S31" i="83"/>
  <c r="S27" i="83" s="1"/>
  <c r="AI23" i="82"/>
  <c r="Z17" i="82"/>
  <c r="AF21" i="82"/>
  <c r="AJ21" i="82" s="1"/>
  <c r="AM21" i="82" s="1"/>
  <c r="AI17" i="82"/>
  <c r="AC38" i="82"/>
  <c r="AC42" i="82" s="1"/>
  <c r="M31" i="82"/>
  <c r="AV38" i="82" s="1"/>
  <c r="AG38" i="82"/>
  <c r="AI38" i="82" s="1"/>
  <c r="Z23" i="82"/>
  <c r="Z38" i="82" s="1"/>
  <c r="Y38" i="82"/>
  <c r="Y42" i="82" s="1"/>
  <c r="AF24" i="82"/>
  <c r="AJ24" i="82" s="1"/>
  <c r="AM24" i="82" s="1"/>
  <c r="AA38" i="82"/>
  <c r="AA42" i="82" s="1"/>
  <c r="AE38" i="82"/>
  <c r="AE42" i="82" s="1"/>
  <c r="AB38" i="82"/>
  <c r="AB42" i="82" s="1"/>
  <c r="AD38" i="82"/>
  <c r="AD42" i="82" s="1"/>
  <c r="AI15" i="82"/>
  <c r="Z15" i="82"/>
  <c r="AI13" i="82"/>
  <c r="Z13" i="82"/>
  <c r="AF19" i="82"/>
  <c r="AJ19" i="82" s="1"/>
  <c r="AM19" i="82" s="1"/>
  <c r="AF25" i="82"/>
  <c r="AJ25" i="82" s="1"/>
  <c r="AM25" i="82" s="1"/>
  <c r="AF17" i="82"/>
  <c r="AJ17" i="82" s="1"/>
  <c r="AM17" i="82" s="1"/>
  <c r="AF18" i="82"/>
  <c r="AJ18" i="82" s="1"/>
  <c r="AM18" i="82" s="1"/>
  <c r="R38" i="82"/>
  <c r="R31" i="82"/>
  <c r="F38" i="83" s="1"/>
  <c r="F42" i="83" s="1"/>
  <c r="AF26" i="82"/>
  <c r="AJ26" i="82" s="1"/>
  <c r="AM26" i="82" s="1"/>
  <c r="AF20" i="82"/>
  <c r="AJ20" i="82" s="1"/>
  <c r="AM20" i="82" s="1"/>
  <c r="AG42" i="82"/>
  <c r="M42" i="82"/>
  <c r="AF22" i="82"/>
  <c r="AJ22" i="82" s="1"/>
  <c r="AM22" i="82" s="1"/>
  <c r="AF12" i="82"/>
  <c r="AF27" i="82"/>
  <c r="AJ27" i="82" s="1"/>
  <c r="AM27" i="82" s="1"/>
  <c r="AZ38" i="82"/>
  <c r="Q42" i="82"/>
  <c r="M24" i="81"/>
  <c r="Q24" i="81"/>
  <c r="Q22" i="81"/>
  <c r="M22" i="81"/>
  <c r="M27" i="81"/>
  <c r="AG27" i="81"/>
  <c r="AD27" i="81"/>
  <c r="Y27" i="81"/>
  <c r="AA27" i="81"/>
  <c r="AC27" i="81"/>
  <c r="AE27" i="81"/>
  <c r="X27" i="81"/>
  <c r="Z20" i="81"/>
  <c r="Z22" i="81"/>
  <c r="M19" i="81"/>
  <c r="AI24" i="81"/>
  <c r="M21" i="81"/>
  <c r="AE18" i="81"/>
  <c r="AA18" i="81"/>
  <c r="AG18" i="81"/>
  <c r="AB18" i="81"/>
  <c r="AD18" i="81"/>
  <c r="Y18" i="81"/>
  <c r="AC18" i="81"/>
  <c r="X18" i="81"/>
  <c r="AI20" i="81"/>
  <c r="M16" i="81"/>
  <c r="R24" i="81"/>
  <c r="M17" i="81"/>
  <c r="R27" i="81"/>
  <c r="M23" i="81"/>
  <c r="M14" i="81"/>
  <c r="R22" i="81"/>
  <c r="AE26" i="81"/>
  <c r="AA26" i="81"/>
  <c r="AD26" i="81"/>
  <c r="AB26" i="81"/>
  <c r="AG26" i="81"/>
  <c r="X26" i="81"/>
  <c r="Y26" i="81"/>
  <c r="AC26" i="81"/>
  <c r="L38" i="81"/>
  <c r="L42" i="81" s="1"/>
  <c r="Q21" i="81"/>
  <c r="M25" i="81"/>
  <c r="M15" i="81"/>
  <c r="Q23" i="81"/>
  <c r="Q14" i="81"/>
  <c r="K38" i="81"/>
  <c r="K42" i="81" s="1"/>
  <c r="M12" i="81"/>
  <c r="AI22" i="81"/>
  <c r="M18" i="81"/>
  <c r="Q25" i="81"/>
  <c r="AE16" i="81"/>
  <c r="AA16" i="81"/>
  <c r="AG16" i="81"/>
  <c r="AB16" i="81"/>
  <c r="AD16" i="81"/>
  <c r="Y16" i="81"/>
  <c r="AC16" i="81"/>
  <c r="X16" i="81"/>
  <c r="Q15" i="81"/>
  <c r="AE17" i="81"/>
  <c r="AA17" i="81"/>
  <c r="AD17" i="81"/>
  <c r="Y17" i="81"/>
  <c r="AC17" i="81"/>
  <c r="X17" i="81"/>
  <c r="AG17" i="81"/>
  <c r="AB17" i="81"/>
  <c r="AE14" i="81"/>
  <c r="AA14" i="81"/>
  <c r="AG14" i="81"/>
  <c r="AB14" i="81"/>
  <c r="AD14" i="81"/>
  <c r="Y14" i="81"/>
  <c r="X14" i="81"/>
  <c r="AC14" i="81"/>
  <c r="Q13" i="81"/>
  <c r="M26" i="81"/>
  <c r="O38" i="81"/>
  <c r="O42" i="81" s="1"/>
  <c r="Q12" i="81"/>
  <c r="R20" i="81"/>
  <c r="Q19" i="81"/>
  <c r="Q16" i="81"/>
  <c r="Q17" i="81"/>
  <c r="M13" i="81"/>
  <c r="Z24" i="81"/>
  <c r="AD21" i="81"/>
  <c r="AE21" i="81"/>
  <c r="Y21" i="81"/>
  <c r="X21" i="81"/>
  <c r="AC21" i="81"/>
  <c r="AB21" i="81"/>
  <c r="AG21" i="81"/>
  <c r="AA21" i="81"/>
  <c r="AM28" i="81"/>
  <c r="Q18" i="81"/>
  <c r="AE25" i="81"/>
  <c r="AA25" i="81"/>
  <c r="AD25" i="81"/>
  <c r="AB25" i="81"/>
  <c r="AC25" i="81"/>
  <c r="Y25" i="81"/>
  <c r="X25" i="81"/>
  <c r="AG25" i="81"/>
  <c r="AE15" i="81"/>
  <c r="AA15" i="81"/>
  <c r="AD15" i="81"/>
  <c r="Y15" i="81"/>
  <c r="AC15" i="81"/>
  <c r="X15" i="81"/>
  <c r="AG15" i="81"/>
  <c r="AB15" i="81"/>
  <c r="AD23" i="81"/>
  <c r="AE23" i="81"/>
  <c r="Y23" i="81"/>
  <c r="AC23" i="81"/>
  <c r="AB23" i="81"/>
  <c r="AG23" i="81"/>
  <c r="AA23" i="81"/>
  <c r="X23" i="81"/>
  <c r="AE13" i="81"/>
  <c r="AA13" i="81"/>
  <c r="AD13" i="81"/>
  <c r="Y13" i="81"/>
  <c r="AC13" i="81"/>
  <c r="X13" i="81"/>
  <c r="AG13" i="81"/>
  <c r="AB13" i="81"/>
  <c r="Q26" i="81"/>
  <c r="N38" i="81"/>
  <c r="N42" i="81" s="1"/>
  <c r="AE12" i="81"/>
  <c r="AA12" i="81"/>
  <c r="U31" i="81"/>
  <c r="U42" i="81" s="1"/>
  <c r="AG12" i="81"/>
  <c r="AB12" i="81"/>
  <c r="AD12" i="81"/>
  <c r="Y12" i="81"/>
  <c r="AC12" i="81"/>
  <c r="X12" i="81"/>
  <c r="AE19" i="81"/>
  <c r="AA19" i="81"/>
  <c r="AD19" i="81"/>
  <c r="Y19" i="81"/>
  <c r="AC19" i="81"/>
  <c r="X19" i="81"/>
  <c r="AG19" i="81"/>
  <c r="AB19" i="81"/>
  <c r="U15" i="80"/>
  <c r="K26" i="80"/>
  <c r="N26" i="80"/>
  <c r="O26" i="80"/>
  <c r="L26" i="80"/>
  <c r="L14" i="80"/>
  <c r="M14" i="80" s="1"/>
  <c r="N14" i="80"/>
  <c r="L25" i="80"/>
  <c r="U25" i="80"/>
  <c r="AE25" i="80" s="1"/>
  <c r="K13" i="80"/>
  <c r="O13" i="80"/>
  <c r="K25" i="80"/>
  <c r="L15" i="80"/>
  <c r="U13" i="80"/>
  <c r="N13" i="80"/>
  <c r="N25" i="80"/>
  <c r="O15" i="80"/>
  <c r="U14" i="80"/>
  <c r="X14" i="80" s="1"/>
  <c r="O14" i="80"/>
  <c r="U16" i="80"/>
  <c r="Y16" i="80" s="1"/>
  <c r="N15" i="80"/>
  <c r="K22" i="80"/>
  <c r="N22" i="80"/>
  <c r="U22" i="80"/>
  <c r="AE22" i="80" s="1"/>
  <c r="L22" i="80"/>
  <c r="K16" i="80"/>
  <c r="L16" i="80"/>
  <c r="N16" i="80"/>
  <c r="I31" i="80"/>
  <c r="I42" i="80" s="1"/>
  <c r="AE26" i="80"/>
  <c r="AA26" i="80"/>
  <c r="AD26" i="80"/>
  <c r="AB26" i="80"/>
  <c r="X26" i="80"/>
  <c r="AC26" i="80"/>
  <c r="Y26" i="80"/>
  <c r="AG26" i="80"/>
  <c r="M13" i="80"/>
  <c r="Q22" i="80"/>
  <c r="U19" i="80"/>
  <c r="O19" i="80"/>
  <c r="K19" i="80"/>
  <c r="N19" i="80"/>
  <c r="L19" i="80"/>
  <c r="U17" i="80"/>
  <c r="N17" i="80"/>
  <c r="O17" i="80"/>
  <c r="L17" i="80"/>
  <c r="K17" i="80"/>
  <c r="AF28" i="80"/>
  <c r="AJ28" i="80" s="1"/>
  <c r="U24" i="80"/>
  <c r="O24" i="80"/>
  <c r="K24" i="80"/>
  <c r="N24" i="80"/>
  <c r="Q25" i="80"/>
  <c r="AD12" i="80"/>
  <c r="AA12" i="80"/>
  <c r="Y12" i="80"/>
  <c r="AC12" i="80"/>
  <c r="X12" i="80"/>
  <c r="AG12" i="80"/>
  <c r="AB12" i="80"/>
  <c r="AE12" i="80"/>
  <c r="U21" i="80"/>
  <c r="O21" i="80"/>
  <c r="K21" i="80"/>
  <c r="N21" i="80"/>
  <c r="L21" i="80"/>
  <c r="AD15" i="80"/>
  <c r="AC15" i="80"/>
  <c r="X15" i="80"/>
  <c r="AB15" i="80"/>
  <c r="AA15" i="80"/>
  <c r="AE15" i="80"/>
  <c r="Y15" i="80"/>
  <c r="AG15" i="80"/>
  <c r="U27" i="80"/>
  <c r="O27" i="80"/>
  <c r="K27" i="80"/>
  <c r="N27" i="80"/>
  <c r="L27" i="80"/>
  <c r="AA25" i="80"/>
  <c r="AD25" i="80"/>
  <c r="AB25" i="80"/>
  <c r="AG25" i="80"/>
  <c r="Y25" i="80"/>
  <c r="AC25" i="80"/>
  <c r="Q12" i="80"/>
  <c r="U23" i="80"/>
  <c r="O23" i="80"/>
  <c r="K23" i="80"/>
  <c r="N23" i="80"/>
  <c r="L23" i="80"/>
  <c r="Q16" i="80"/>
  <c r="U20" i="80"/>
  <c r="O20" i="80"/>
  <c r="K20" i="80"/>
  <c r="L20" i="80"/>
  <c r="N20" i="80"/>
  <c r="AD13" i="80"/>
  <c r="AB13" i="80"/>
  <c r="AG13" i="80"/>
  <c r="AA13" i="80"/>
  <c r="AE13" i="80"/>
  <c r="Y13" i="80"/>
  <c r="AC13" i="80"/>
  <c r="X13" i="80"/>
  <c r="M12" i="80"/>
  <c r="U18" i="80"/>
  <c r="O18" i="80"/>
  <c r="K18" i="80"/>
  <c r="N18" i="80"/>
  <c r="L18" i="80"/>
  <c r="I20" i="79"/>
  <c r="L20" i="79" s="1"/>
  <c r="H42" i="79"/>
  <c r="I23" i="79"/>
  <c r="O23" i="79" s="1"/>
  <c r="I17" i="79"/>
  <c r="U17" i="79" s="1"/>
  <c r="I15" i="79"/>
  <c r="N15" i="79" s="1"/>
  <c r="I25" i="79"/>
  <c r="N25" i="79" s="1"/>
  <c r="I21" i="79"/>
  <c r="L21" i="79" s="1"/>
  <c r="I16" i="79"/>
  <c r="N16" i="79" s="1"/>
  <c r="I24" i="79"/>
  <c r="I19" i="79"/>
  <c r="L19" i="79" s="1"/>
  <c r="I27" i="79"/>
  <c r="L27" i="79" s="1"/>
  <c r="I26" i="79"/>
  <c r="K26" i="79" s="1"/>
  <c r="I14" i="79"/>
  <c r="N14" i="79" s="1"/>
  <c r="I22" i="79"/>
  <c r="L22" i="79" s="1"/>
  <c r="I18" i="79"/>
  <c r="K18" i="79" s="1"/>
  <c r="I12" i="79"/>
  <c r="K12" i="79" s="1"/>
  <c r="U15" i="79"/>
  <c r="AB15" i="79" s="1"/>
  <c r="N13" i="79"/>
  <c r="K13" i="79"/>
  <c r="L13" i="79"/>
  <c r="O13" i="79"/>
  <c r="AF28" i="79"/>
  <c r="N20" i="79"/>
  <c r="U16" i="79"/>
  <c r="AD13" i="79"/>
  <c r="AG13" i="79"/>
  <c r="AC13" i="79"/>
  <c r="Y13" i="79"/>
  <c r="AB13" i="79"/>
  <c r="X13" i="79"/>
  <c r="AE13" i="79"/>
  <c r="AA13" i="79"/>
  <c r="L12" i="79"/>
  <c r="AI28" i="79"/>
  <c r="AM51" i="78"/>
  <c r="M28" i="78"/>
  <c r="R28" i="78" s="1"/>
  <c r="P38" i="78"/>
  <c r="AH42" i="78"/>
  <c r="BJ38" i="78"/>
  <c r="H31" i="78"/>
  <c r="I26" i="78" s="1"/>
  <c r="G42" i="78"/>
  <c r="H38" i="78"/>
  <c r="AO51" i="78"/>
  <c r="P42" i="78"/>
  <c r="Q38" i="78"/>
  <c r="AA28" i="78"/>
  <c r="AG28" i="78"/>
  <c r="AN34" i="78"/>
  <c r="AN52" i="78" s="1"/>
  <c r="AN31" i="77"/>
  <c r="Y31" i="77"/>
  <c r="AG31" i="77"/>
  <c r="AK31" i="77"/>
  <c r="X31" i="77"/>
  <c r="AN51" i="77"/>
  <c r="AM49" i="77"/>
  <c r="AO49" i="77" s="1"/>
  <c r="AO46" i="77"/>
  <c r="AM46" i="77"/>
  <c r="AO45" i="77"/>
  <c r="AX38" i="77"/>
  <c r="AW38" i="77"/>
  <c r="AH38" i="77"/>
  <c r="M38" i="77"/>
  <c r="G38" i="77"/>
  <c r="BA31" i="77"/>
  <c r="AQ31" i="77"/>
  <c r="AP31" i="77"/>
  <c r="AH31" i="77"/>
  <c r="BI38" i="77"/>
  <c r="T31" i="77"/>
  <c r="P31" i="77"/>
  <c r="G31" i="77"/>
  <c r="G42" i="77" s="1"/>
  <c r="F31" i="77"/>
  <c r="F34" i="77" s="1"/>
  <c r="AB28" i="77"/>
  <c r="U28" i="77"/>
  <c r="AG28" i="77" s="1"/>
  <c r="O28" i="77"/>
  <c r="Q28" i="77" s="1"/>
  <c r="N28" i="77"/>
  <c r="L28" i="77"/>
  <c r="K28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3" i="77"/>
  <c r="H12" i="77"/>
  <c r="BL21" i="87" l="1"/>
  <c r="AO184" i="88"/>
  <c r="BN21" i="87"/>
  <c r="S27" i="84"/>
  <c r="S17" i="84"/>
  <c r="AN17" i="84" s="1"/>
  <c r="AS17" i="84" s="1"/>
  <c r="S23" i="84"/>
  <c r="AN23" i="84" s="1"/>
  <c r="AS23" i="84" s="1"/>
  <c r="S19" i="84"/>
  <c r="AN19" i="84" s="1"/>
  <c r="AS19" i="84" s="1"/>
  <c r="S22" i="84"/>
  <c r="AN22" i="84" s="1"/>
  <c r="AS22" i="84" s="1"/>
  <c r="S34" i="84"/>
  <c r="S13" i="84"/>
  <c r="AN13" i="84" s="1"/>
  <c r="AS13" i="84" s="1"/>
  <c r="S20" i="84"/>
  <c r="S16" i="84"/>
  <c r="AN16" i="84" s="1"/>
  <c r="AS16" i="84" s="1"/>
  <c r="S18" i="84"/>
  <c r="AN18" i="84" s="1"/>
  <c r="AS18" i="84" s="1"/>
  <c r="S12" i="84"/>
  <c r="AN12" i="84" s="1"/>
  <c r="S25" i="84"/>
  <c r="S14" i="84"/>
  <c r="AN14" i="84" s="1"/>
  <c r="AS14" i="84" s="1"/>
  <c r="S15" i="84"/>
  <c r="AN15" i="84" s="1"/>
  <c r="AS15" i="84" s="1"/>
  <c r="S26" i="84"/>
  <c r="AN26" i="84" s="1"/>
  <c r="AS26" i="84" s="1"/>
  <c r="O19" i="79"/>
  <c r="K24" i="79"/>
  <c r="L24" i="79"/>
  <c r="M24" i="79" s="1"/>
  <c r="X24" i="80"/>
  <c r="AE24" i="80"/>
  <c r="Y24" i="80"/>
  <c r="AA24" i="80"/>
  <c r="Q15" i="80"/>
  <c r="R15" i="80" s="1"/>
  <c r="Q13" i="80"/>
  <c r="S24" i="84"/>
  <c r="AN24" i="84" s="1"/>
  <c r="AS24" i="84" s="1"/>
  <c r="X28" i="77"/>
  <c r="Q14" i="80"/>
  <c r="S24" i="83"/>
  <c r="AN38" i="85"/>
  <c r="AN42" i="85" s="1"/>
  <c r="AS12" i="85"/>
  <c r="AS31" i="85" s="1"/>
  <c r="AF42" i="84"/>
  <c r="AN20" i="84"/>
  <c r="AS20" i="84" s="1"/>
  <c r="AJ42" i="84"/>
  <c r="AN28" i="84"/>
  <c r="AS28" i="84" s="1"/>
  <c r="AM38" i="84"/>
  <c r="AM42" i="84" s="1"/>
  <c r="AN27" i="84"/>
  <c r="AS27" i="84" s="1"/>
  <c r="AM34" i="84"/>
  <c r="AM52" i="84" s="1"/>
  <c r="AN21" i="84"/>
  <c r="AS21" i="84" s="1"/>
  <c r="AN25" i="84"/>
  <c r="AS25" i="84" s="1"/>
  <c r="Z42" i="83"/>
  <c r="AI42" i="83"/>
  <c r="AF31" i="83"/>
  <c r="AJ38" i="83" s="1"/>
  <c r="S16" i="83"/>
  <c r="S23" i="83"/>
  <c r="S14" i="83"/>
  <c r="S18" i="83"/>
  <c r="S34" i="83"/>
  <c r="S25" i="83"/>
  <c r="AJ31" i="83"/>
  <c r="T38" i="84" s="1"/>
  <c r="T42" i="84" s="1"/>
  <c r="AM13" i="83"/>
  <c r="AM31" i="83" s="1"/>
  <c r="S21" i="83"/>
  <c r="S22" i="83"/>
  <c r="S13" i="83"/>
  <c r="S17" i="83"/>
  <c r="S19" i="83"/>
  <c r="S12" i="83"/>
  <c r="S26" i="83"/>
  <c r="S15" i="83"/>
  <c r="S20" i="83"/>
  <c r="Z31" i="82"/>
  <c r="Z42" i="82" s="1"/>
  <c r="AI31" i="82"/>
  <c r="AI42" i="82" s="1"/>
  <c r="AF23" i="82"/>
  <c r="AJ23" i="82" s="1"/>
  <c r="AM23" i="82" s="1"/>
  <c r="AF15" i="82"/>
  <c r="AJ15" i="82" s="1"/>
  <c r="AM15" i="82" s="1"/>
  <c r="AF13" i="82"/>
  <c r="AJ13" i="82" s="1"/>
  <c r="AM13" i="82" s="1"/>
  <c r="R42" i="82"/>
  <c r="R34" i="82"/>
  <c r="S31" i="82"/>
  <c r="S15" i="82" s="1"/>
  <c r="BK38" i="82"/>
  <c r="AJ12" i="82"/>
  <c r="AF20" i="81"/>
  <c r="AJ20" i="81" s="1"/>
  <c r="AM20" i="81" s="1"/>
  <c r="AI27" i="81"/>
  <c r="Z27" i="81"/>
  <c r="Z21" i="81"/>
  <c r="AF22" i="81"/>
  <c r="AJ22" i="81" s="1"/>
  <c r="AM22" i="81" s="1"/>
  <c r="Z23" i="81"/>
  <c r="Z25" i="81"/>
  <c r="Z17" i="81"/>
  <c r="Z16" i="81"/>
  <c r="R13" i="81"/>
  <c r="Z14" i="81"/>
  <c r="AB38" i="81"/>
  <c r="AB42" i="81" s="1"/>
  <c r="AD38" i="81"/>
  <c r="AD42" i="81" s="1"/>
  <c r="AA38" i="81"/>
  <c r="AA42" i="81" s="1"/>
  <c r="Z13" i="81"/>
  <c r="AI23" i="81"/>
  <c r="Z15" i="81"/>
  <c r="AI21" i="81"/>
  <c r="R26" i="81"/>
  <c r="R25" i="81"/>
  <c r="AI26" i="81"/>
  <c r="R23" i="81"/>
  <c r="Z18" i="81"/>
  <c r="R21" i="81"/>
  <c r="R19" i="81"/>
  <c r="Q31" i="81"/>
  <c r="AI14" i="81"/>
  <c r="AI17" i="81"/>
  <c r="R15" i="81"/>
  <c r="AI18" i="81"/>
  <c r="AE38" i="81"/>
  <c r="AE42" i="81" s="1"/>
  <c r="AI19" i="81"/>
  <c r="AC38" i="81"/>
  <c r="AC42" i="81" s="1"/>
  <c r="AG38" i="81"/>
  <c r="AI12" i="81"/>
  <c r="AI25" i="81"/>
  <c r="X38" i="81"/>
  <c r="X42" i="81" s="1"/>
  <c r="Z12" i="81"/>
  <c r="Z19" i="81"/>
  <c r="Y38" i="81"/>
  <c r="Y42" i="81" s="1"/>
  <c r="AI13" i="81"/>
  <c r="AI15" i="81"/>
  <c r="AF24" i="81"/>
  <c r="AJ24" i="81" s="1"/>
  <c r="AI16" i="81"/>
  <c r="R18" i="81"/>
  <c r="M31" i="81"/>
  <c r="R12" i="81"/>
  <c r="Z26" i="81"/>
  <c r="R14" i="81"/>
  <c r="R17" i="81"/>
  <c r="R16" i="81"/>
  <c r="M15" i="80"/>
  <c r="M26" i="80"/>
  <c r="M22" i="80"/>
  <c r="R22" i="80" s="1"/>
  <c r="Q26" i="80"/>
  <c r="AG16" i="80"/>
  <c r="M25" i="80"/>
  <c r="R25" i="80" s="1"/>
  <c r="AA16" i="80"/>
  <c r="X25" i="80"/>
  <c r="Z25" i="80" s="1"/>
  <c r="M16" i="80"/>
  <c r="R16" i="80" s="1"/>
  <c r="AA14" i="80"/>
  <c r="AC14" i="80"/>
  <c r="AG14" i="80"/>
  <c r="AD14" i="80"/>
  <c r="X16" i="80"/>
  <c r="Z16" i="80" s="1"/>
  <c r="AD16" i="80"/>
  <c r="X22" i="80"/>
  <c r="AB14" i="80"/>
  <c r="AE14" i="80"/>
  <c r="AE16" i="80"/>
  <c r="AC16" i="80"/>
  <c r="AG22" i="80"/>
  <c r="AB16" i="80"/>
  <c r="Y14" i="80"/>
  <c r="Z14" i="80" s="1"/>
  <c r="AB22" i="80"/>
  <c r="AD22" i="80"/>
  <c r="AC22" i="80"/>
  <c r="AA22" i="80"/>
  <c r="Y22" i="80"/>
  <c r="Z22" i="80" s="1"/>
  <c r="R14" i="80"/>
  <c r="N38" i="80"/>
  <c r="N42" i="80" s="1"/>
  <c r="O38" i="80"/>
  <c r="O42" i="80" s="1"/>
  <c r="K38" i="80"/>
  <c r="K42" i="80" s="1"/>
  <c r="U31" i="80"/>
  <c r="U42" i="80" s="1"/>
  <c r="Z26" i="80"/>
  <c r="AE18" i="80"/>
  <c r="AA18" i="80"/>
  <c r="AD18" i="80"/>
  <c r="Y18" i="80"/>
  <c r="AC18" i="80"/>
  <c r="X18" i="80"/>
  <c r="AG18" i="80"/>
  <c r="AB18" i="80"/>
  <c r="Q23" i="80"/>
  <c r="AI15" i="80"/>
  <c r="AE21" i="80"/>
  <c r="AA21" i="80"/>
  <c r="AC21" i="80"/>
  <c r="X21" i="80"/>
  <c r="AG21" i="80"/>
  <c r="AB21" i="80"/>
  <c r="AD21" i="80"/>
  <c r="Y21" i="80"/>
  <c r="Q20" i="80"/>
  <c r="AE23" i="80"/>
  <c r="AA23" i="80"/>
  <c r="AD23" i="80"/>
  <c r="Y23" i="80"/>
  <c r="AC23" i="80"/>
  <c r="X23" i="80"/>
  <c r="AG23" i="80"/>
  <c r="AB23" i="80"/>
  <c r="AE27" i="80"/>
  <c r="AA27" i="80"/>
  <c r="AD27" i="80"/>
  <c r="AB27" i="80"/>
  <c r="X27" i="80"/>
  <c r="Y27" i="80"/>
  <c r="AG27" i="80"/>
  <c r="AC27" i="80"/>
  <c r="Z15" i="80"/>
  <c r="Q17" i="80"/>
  <c r="AI26" i="80"/>
  <c r="R12" i="80"/>
  <c r="M20" i="80"/>
  <c r="M18" i="80"/>
  <c r="Z13" i="80"/>
  <c r="AE20" i="80"/>
  <c r="AA20" i="80"/>
  <c r="AD20" i="80"/>
  <c r="Y20" i="80"/>
  <c r="AC20" i="80"/>
  <c r="X20" i="80"/>
  <c r="AG20" i="80"/>
  <c r="AB20" i="80"/>
  <c r="R26" i="80"/>
  <c r="M21" i="80"/>
  <c r="M24" i="80"/>
  <c r="AM28" i="80"/>
  <c r="M19" i="80"/>
  <c r="L38" i="80"/>
  <c r="L42" i="80" s="1"/>
  <c r="Q18" i="80"/>
  <c r="AI13" i="80"/>
  <c r="M23" i="80"/>
  <c r="AI25" i="80"/>
  <c r="M27" i="80"/>
  <c r="Q21" i="80"/>
  <c r="AI12" i="80"/>
  <c r="AI14" i="80"/>
  <c r="Q24" i="80"/>
  <c r="M17" i="80"/>
  <c r="AE17" i="80"/>
  <c r="AA17" i="80"/>
  <c r="AG17" i="80"/>
  <c r="AB17" i="80"/>
  <c r="AD17" i="80"/>
  <c r="AC17" i="80"/>
  <c r="Y17" i="80"/>
  <c r="X17" i="80"/>
  <c r="Q19" i="80"/>
  <c r="Q27" i="80"/>
  <c r="Z12" i="80"/>
  <c r="AD24" i="80"/>
  <c r="AB24" i="80"/>
  <c r="AC24" i="80"/>
  <c r="AG24" i="80"/>
  <c r="AE19" i="80"/>
  <c r="AA19" i="80"/>
  <c r="AC19" i="80"/>
  <c r="X19" i="80"/>
  <c r="AG19" i="80"/>
  <c r="AB19" i="80"/>
  <c r="AD19" i="80"/>
  <c r="Y19" i="80"/>
  <c r="R13" i="80"/>
  <c r="K17" i="79"/>
  <c r="K20" i="79"/>
  <c r="L26" i="79"/>
  <c r="N26" i="79"/>
  <c r="N17" i="79"/>
  <c r="O20" i="79"/>
  <c r="U12" i="79"/>
  <c r="Y12" i="79" s="1"/>
  <c r="O17" i="79"/>
  <c r="U20" i="79"/>
  <c r="AD20" i="79" s="1"/>
  <c r="K19" i="79"/>
  <c r="N19" i="79"/>
  <c r="N23" i="79"/>
  <c r="N21" i="79"/>
  <c r="U24" i="79"/>
  <c r="O24" i="79"/>
  <c r="N24" i="79"/>
  <c r="O15" i="79"/>
  <c r="K21" i="79"/>
  <c r="K23" i="79"/>
  <c r="O21" i="79"/>
  <c r="L23" i="79"/>
  <c r="N27" i="79"/>
  <c r="U19" i="79"/>
  <c r="AC19" i="79" s="1"/>
  <c r="L25" i="79"/>
  <c r="K25" i="79"/>
  <c r="U25" i="79"/>
  <c r="AD25" i="79" s="1"/>
  <c r="O25" i="79"/>
  <c r="U21" i="79"/>
  <c r="U23" i="79"/>
  <c r="AE23" i="79" s="1"/>
  <c r="O27" i="79"/>
  <c r="L18" i="79"/>
  <c r="U27" i="79"/>
  <c r="AE27" i="79" s="1"/>
  <c r="K27" i="79"/>
  <c r="M27" i="79" s="1"/>
  <c r="O26" i="79"/>
  <c r="N12" i="79"/>
  <c r="U26" i="79"/>
  <c r="L17" i="79"/>
  <c r="L16" i="79"/>
  <c r="O14" i="79"/>
  <c r="AA15" i="79"/>
  <c r="AC15" i="79"/>
  <c r="K16" i="79"/>
  <c r="K14" i="79"/>
  <c r="L14" i="79"/>
  <c r="N22" i="79"/>
  <c r="O16" i="79"/>
  <c r="U14" i="79"/>
  <c r="Y14" i="79" s="1"/>
  <c r="K15" i="79"/>
  <c r="L15" i="79"/>
  <c r="K22" i="79"/>
  <c r="Y15" i="79"/>
  <c r="AD15" i="79"/>
  <c r="AE15" i="79"/>
  <c r="AG15" i="79"/>
  <c r="O22" i="79"/>
  <c r="U22" i="79"/>
  <c r="AC22" i="79" s="1"/>
  <c r="X15" i="79"/>
  <c r="O12" i="79"/>
  <c r="I31" i="79"/>
  <c r="I42" i="79" s="1"/>
  <c r="O18" i="79"/>
  <c r="N18" i="79"/>
  <c r="U18" i="79"/>
  <c r="X18" i="79" s="1"/>
  <c r="M13" i="79"/>
  <c r="Q13" i="79"/>
  <c r="AB12" i="79"/>
  <c r="AD24" i="79"/>
  <c r="AG24" i="79"/>
  <c r="AB24" i="79"/>
  <c r="Q19" i="79"/>
  <c r="Z13" i="79"/>
  <c r="AI13" i="79"/>
  <c r="AD17" i="79"/>
  <c r="AB17" i="79"/>
  <c r="AG17" i="79"/>
  <c r="AC17" i="79"/>
  <c r="Y17" i="79"/>
  <c r="X17" i="79"/>
  <c r="AE17" i="79"/>
  <c r="AA17" i="79"/>
  <c r="M25" i="79"/>
  <c r="AD26" i="79"/>
  <c r="AG26" i="79"/>
  <c r="AC26" i="79"/>
  <c r="Y26" i="79"/>
  <c r="AA26" i="79"/>
  <c r="X26" i="79"/>
  <c r="AE26" i="79"/>
  <c r="AB26" i="79"/>
  <c r="Q20" i="79"/>
  <c r="Q21" i="79"/>
  <c r="M19" i="79"/>
  <c r="AD23" i="79"/>
  <c r="Y23" i="79"/>
  <c r="AC23" i="79"/>
  <c r="X23" i="79"/>
  <c r="AB23" i="79"/>
  <c r="AA23" i="79"/>
  <c r="AD27" i="79"/>
  <c r="AG27" i="79"/>
  <c r="AC27" i="79"/>
  <c r="Y27" i="79"/>
  <c r="X27" i="79"/>
  <c r="AB27" i="79"/>
  <c r="AA27" i="79"/>
  <c r="AD16" i="79"/>
  <c r="AB16" i="79"/>
  <c r="X16" i="79"/>
  <c r="AG16" i="79"/>
  <c r="AC16" i="79"/>
  <c r="Y16" i="79"/>
  <c r="AE16" i="79"/>
  <c r="AA16" i="79"/>
  <c r="X20" i="79"/>
  <c r="AA25" i="79"/>
  <c r="M12" i="79"/>
  <c r="Q23" i="79"/>
  <c r="M17" i="79"/>
  <c r="AG21" i="79"/>
  <c r="AC21" i="79"/>
  <c r="Y21" i="79"/>
  <c r="AB21" i="79"/>
  <c r="X21" i="79"/>
  <c r="AD21" i="79"/>
  <c r="AA21" i="79"/>
  <c r="AE21" i="79"/>
  <c r="AD19" i="79"/>
  <c r="AB19" i="79"/>
  <c r="Q17" i="79"/>
  <c r="M20" i="79"/>
  <c r="R20" i="79" s="1"/>
  <c r="AJ28" i="79"/>
  <c r="H42" i="78"/>
  <c r="I24" i="78"/>
  <c r="I23" i="78"/>
  <c r="K23" i="78" s="1"/>
  <c r="I19" i="78"/>
  <c r="N19" i="78" s="1"/>
  <c r="I17" i="78"/>
  <c r="U17" i="78" s="1"/>
  <c r="I15" i="78"/>
  <c r="O15" i="78" s="1"/>
  <c r="I27" i="78"/>
  <c r="N27" i="78" s="1"/>
  <c r="I22" i="78"/>
  <c r="U22" i="78" s="1"/>
  <c r="I13" i="78"/>
  <c r="O13" i="78" s="1"/>
  <c r="I25" i="78"/>
  <c r="N25" i="78" s="1"/>
  <c r="I16" i="78"/>
  <c r="U16" i="78" s="1"/>
  <c r="I21" i="78"/>
  <c r="N21" i="78" s="1"/>
  <c r="I20" i="78"/>
  <c r="L20" i="78" s="1"/>
  <c r="I18" i="78"/>
  <c r="I12" i="78"/>
  <c r="I14" i="78"/>
  <c r="AI28" i="78"/>
  <c r="K27" i="78"/>
  <c r="K17" i="78"/>
  <c r="AF28" i="78"/>
  <c r="U26" i="78"/>
  <c r="O26" i="78"/>
  <c r="K26" i="78"/>
  <c r="N26" i="78"/>
  <c r="L26" i="78"/>
  <c r="AO51" i="77"/>
  <c r="AM51" i="77"/>
  <c r="AL31" i="77"/>
  <c r="AH42" i="77"/>
  <c r="H38" i="77"/>
  <c r="H31" i="77"/>
  <c r="I25" i="77" s="1"/>
  <c r="M28" i="77"/>
  <c r="R28" i="77" s="1"/>
  <c r="AI28" i="77"/>
  <c r="AD28" i="77"/>
  <c r="P38" i="77"/>
  <c r="P42" i="77" s="1"/>
  <c r="AR38" i="77"/>
  <c r="AY38" i="77"/>
  <c r="BJ38" i="77"/>
  <c r="AA28" i="77"/>
  <c r="AE28" i="77"/>
  <c r="Q38" i="77"/>
  <c r="Y28" i="77"/>
  <c r="AC28" i="77"/>
  <c r="AN34" i="77"/>
  <c r="AN52" i="77" s="1"/>
  <c r="AN31" i="76"/>
  <c r="AG31" i="76"/>
  <c r="BI38" i="76" s="1"/>
  <c r="Y31" i="76"/>
  <c r="X31" i="76"/>
  <c r="AK31" i="76" s="1"/>
  <c r="BJ17" i="76"/>
  <c r="BJ17" i="77" s="1"/>
  <c r="BJ17" i="78" s="1"/>
  <c r="BJ17" i="79" s="1"/>
  <c r="BJ17" i="80" s="1"/>
  <c r="BJ17" i="81" s="1"/>
  <c r="BJ17" i="82" s="1"/>
  <c r="BJ17" i="83" s="1"/>
  <c r="BJ17" i="84" s="1"/>
  <c r="BJ17" i="85" s="1"/>
  <c r="BJ17" i="86" s="1"/>
  <c r="BJ17" i="87" s="1"/>
  <c r="AY17" i="76"/>
  <c r="AY17" i="77" s="1"/>
  <c r="AY17" i="78" s="1"/>
  <c r="AY17" i="79" s="1"/>
  <c r="AY17" i="80" s="1"/>
  <c r="AY17" i="81" s="1"/>
  <c r="AY17" i="82" s="1"/>
  <c r="AY17" i="83" s="1"/>
  <c r="AY17" i="84" s="1"/>
  <c r="AY17" i="85" s="1"/>
  <c r="AY17" i="86" s="1"/>
  <c r="AY17" i="87" s="1"/>
  <c r="AR17" i="76"/>
  <c r="AR17" i="77" s="1"/>
  <c r="AR17" i="78" s="1"/>
  <c r="AR17" i="79" s="1"/>
  <c r="AR17" i="80" s="1"/>
  <c r="AR17" i="81" s="1"/>
  <c r="AR17" i="82" s="1"/>
  <c r="AR17" i="83" s="1"/>
  <c r="AR17" i="84" s="1"/>
  <c r="AR17" i="85" s="1"/>
  <c r="AR17" i="86" s="1"/>
  <c r="AR17" i="87" s="1"/>
  <c r="BJ16" i="76"/>
  <c r="BJ16" i="77" s="1"/>
  <c r="BJ16" i="78" s="1"/>
  <c r="BJ16" i="79" s="1"/>
  <c r="BJ16" i="80" s="1"/>
  <c r="BJ16" i="81" s="1"/>
  <c r="BJ16" i="82" s="1"/>
  <c r="BJ16" i="83" s="1"/>
  <c r="BJ16" i="84" s="1"/>
  <c r="BJ16" i="85" s="1"/>
  <c r="BJ16" i="86" s="1"/>
  <c r="BJ16" i="87" s="1"/>
  <c r="AY16" i="76"/>
  <c r="AY16" i="77" s="1"/>
  <c r="AY16" i="78" s="1"/>
  <c r="AY16" i="79" s="1"/>
  <c r="AY16" i="80" s="1"/>
  <c r="AY16" i="81" s="1"/>
  <c r="AY16" i="82" s="1"/>
  <c r="AY16" i="83" s="1"/>
  <c r="AY16" i="84" s="1"/>
  <c r="AY16" i="85" s="1"/>
  <c r="AY16" i="86" s="1"/>
  <c r="AY16" i="87" s="1"/>
  <c r="AR16" i="76"/>
  <c r="AR16" i="77" s="1"/>
  <c r="AR16" i="78" s="1"/>
  <c r="AR16" i="79" s="1"/>
  <c r="AR16" i="80" s="1"/>
  <c r="AR16" i="81" s="1"/>
  <c r="AR16" i="82" s="1"/>
  <c r="AR16" i="83" s="1"/>
  <c r="AR16" i="84" s="1"/>
  <c r="AR16" i="85" s="1"/>
  <c r="AR16" i="86" s="1"/>
  <c r="AR16" i="87" s="1"/>
  <c r="BJ15" i="76"/>
  <c r="BJ15" i="77" s="1"/>
  <c r="BJ15" i="78" s="1"/>
  <c r="BJ15" i="79" s="1"/>
  <c r="BJ15" i="80" s="1"/>
  <c r="BJ15" i="81" s="1"/>
  <c r="BJ15" i="82" s="1"/>
  <c r="BJ15" i="83" s="1"/>
  <c r="BJ15" i="84" s="1"/>
  <c r="BJ15" i="85" s="1"/>
  <c r="BJ15" i="86" s="1"/>
  <c r="BJ15" i="87" s="1"/>
  <c r="AY15" i="76"/>
  <c r="AY15" i="77" s="1"/>
  <c r="AY15" i="78" s="1"/>
  <c r="AY15" i="79" s="1"/>
  <c r="AY15" i="80" s="1"/>
  <c r="AY15" i="81" s="1"/>
  <c r="AY15" i="82" s="1"/>
  <c r="AY15" i="83" s="1"/>
  <c r="AY15" i="84" s="1"/>
  <c r="AY15" i="85" s="1"/>
  <c r="AY15" i="86" s="1"/>
  <c r="AY15" i="87" s="1"/>
  <c r="AR15" i="76"/>
  <c r="AR15" i="77" s="1"/>
  <c r="AR15" i="78" s="1"/>
  <c r="AR15" i="79" s="1"/>
  <c r="AR15" i="80" s="1"/>
  <c r="AR15" i="81" s="1"/>
  <c r="AR15" i="82" s="1"/>
  <c r="AR15" i="83" s="1"/>
  <c r="AR15" i="84" s="1"/>
  <c r="AR15" i="85" s="1"/>
  <c r="AR15" i="86" s="1"/>
  <c r="AR15" i="87" s="1"/>
  <c r="BJ14" i="76"/>
  <c r="BJ14" i="77" s="1"/>
  <c r="BJ14" i="78" s="1"/>
  <c r="BJ14" i="79" s="1"/>
  <c r="BJ14" i="80" s="1"/>
  <c r="BJ14" i="81" s="1"/>
  <c r="BJ14" i="82" s="1"/>
  <c r="BJ14" i="83" s="1"/>
  <c r="BJ14" i="84" s="1"/>
  <c r="BJ14" i="85" s="1"/>
  <c r="BJ14" i="86" s="1"/>
  <c r="BJ14" i="87" s="1"/>
  <c r="AY14" i="76"/>
  <c r="AY14" i="77" s="1"/>
  <c r="AY14" i="78" s="1"/>
  <c r="AY14" i="79" s="1"/>
  <c r="AY14" i="80" s="1"/>
  <c r="AY14" i="81" s="1"/>
  <c r="AY14" i="82" s="1"/>
  <c r="AY14" i="83" s="1"/>
  <c r="AY14" i="84" s="1"/>
  <c r="AY14" i="85" s="1"/>
  <c r="AY14" i="86" s="1"/>
  <c r="AY14" i="87" s="1"/>
  <c r="AR14" i="76"/>
  <c r="AR14" i="77" s="1"/>
  <c r="AR14" i="78" s="1"/>
  <c r="AR14" i="79" s="1"/>
  <c r="AR14" i="80" s="1"/>
  <c r="AR14" i="81" s="1"/>
  <c r="AR14" i="82" s="1"/>
  <c r="AR14" i="83" s="1"/>
  <c r="AR14" i="84" s="1"/>
  <c r="AR14" i="85" s="1"/>
  <c r="AR14" i="86" s="1"/>
  <c r="AR14" i="87" s="1"/>
  <c r="BJ13" i="76"/>
  <c r="BJ13" i="77" s="1"/>
  <c r="BJ13" i="78" s="1"/>
  <c r="BJ13" i="79" s="1"/>
  <c r="BJ13" i="80" s="1"/>
  <c r="BJ13" i="81" s="1"/>
  <c r="BJ13" i="82" s="1"/>
  <c r="BJ13" i="83" s="1"/>
  <c r="BJ13" i="84" s="1"/>
  <c r="BJ13" i="85" s="1"/>
  <c r="BJ13" i="86" s="1"/>
  <c r="BJ13" i="87" s="1"/>
  <c r="AY13" i="76"/>
  <c r="AY13" i="77" s="1"/>
  <c r="AY13" i="78" s="1"/>
  <c r="AY13" i="79" s="1"/>
  <c r="AY13" i="80" s="1"/>
  <c r="AY13" i="81" s="1"/>
  <c r="AY13" i="82" s="1"/>
  <c r="AY13" i="83" s="1"/>
  <c r="AY13" i="84" s="1"/>
  <c r="AY13" i="85" s="1"/>
  <c r="AY13" i="86" s="1"/>
  <c r="AY13" i="87" s="1"/>
  <c r="AR13" i="76"/>
  <c r="AR13" i="77" s="1"/>
  <c r="AR13" i="78" s="1"/>
  <c r="AR13" i="79" s="1"/>
  <c r="AR13" i="80" s="1"/>
  <c r="AR13" i="81" s="1"/>
  <c r="AR13" i="82" s="1"/>
  <c r="AR13" i="83" s="1"/>
  <c r="AR13" i="84" s="1"/>
  <c r="AR13" i="85" s="1"/>
  <c r="AR13" i="86" s="1"/>
  <c r="AR13" i="87" s="1"/>
  <c r="BJ12" i="76"/>
  <c r="BJ12" i="77" s="1"/>
  <c r="BJ12" i="78" s="1"/>
  <c r="AY12" i="76"/>
  <c r="AY12" i="77" s="1"/>
  <c r="AY12" i="78" s="1"/>
  <c r="AR12" i="76"/>
  <c r="AR12" i="77" s="1"/>
  <c r="AR12" i="78" s="1"/>
  <c r="AN51" i="76"/>
  <c r="AM49" i="76"/>
  <c r="AO49" i="76" s="1"/>
  <c r="AO46" i="76"/>
  <c r="AM46" i="76"/>
  <c r="AO45" i="76"/>
  <c r="AX38" i="76"/>
  <c r="AW38" i="76"/>
  <c r="M38" i="76"/>
  <c r="G38" i="76"/>
  <c r="BA31" i="76"/>
  <c r="AQ31" i="76"/>
  <c r="AP31" i="76"/>
  <c r="T31" i="76"/>
  <c r="P31" i="76"/>
  <c r="Q38" i="76" s="1"/>
  <c r="G31" i="76"/>
  <c r="F31" i="76"/>
  <c r="F34" i="76" s="1"/>
  <c r="U28" i="76"/>
  <c r="O28" i="76"/>
  <c r="N28" i="76"/>
  <c r="L28" i="76"/>
  <c r="K28" i="76"/>
  <c r="H28" i="76"/>
  <c r="H25" i="76"/>
  <c r="H24" i="76"/>
  <c r="H23" i="76"/>
  <c r="H22" i="76"/>
  <c r="H21" i="76"/>
  <c r="H20" i="76"/>
  <c r="H19" i="76"/>
  <c r="H18" i="76"/>
  <c r="H26" i="76"/>
  <c r="H27" i="76"/>
  <c r="H17" i="76"/>
  <c r="H16" i="76"/>
  <c r="H15" i="76"/>
  <c r="H14" i="76"/>
  <c r="H13" i="76"/>
  <c r="H12" i="76"/>
  <c r="S38" i="84" l="1"/>
  <c r="S42" i="84" s="1"/>
  <c r="S24" i="82"/>
  <c r="BJ31" i="77"/>
  <c r="BJ41" i="78" s="1"/>
  <c r="AR31" i="77"/>
  <c r="AR41" i="78" s="1"/>
  <c r="U24" i="78"/>
  <c r="L24" i="78"/>
  <c r="AB20" i="79"/>
  <c r="M22" i="79"/>
  <c r="X24" i="79"/>
  <c r="AA24" i="79"/>
  <c r="AE24" i="79"/>
  <c r="Y24" i="79"/>
  <c r="Y20" i="79"/>
  <c r="Q22" i="79"/>
  <c r="M23" i="79"/>
  <c r="R23" i="79" s="1"/>
  <c r="AN24" i="83"/>
  <c r="AS24" i="83" s="1"/>
  <c r="AR12" i="79"/>
  <c r="AR31" i="78"/>
  <c r="AY12" i="79"/>
  <c r="AY31" i="78"/>
  <c r="AE20" i="79"/>
  <c r="AC20" i="79"/>
  <c r="AG23" i="79"/>
  <c r="AC24" i="79"/>
  <c r="Q27" i="79"/>
  <c r="Q14" i="79"/>
  <c r="AM51" i="76"/>
  <c r="BJ12" i="79"/>
  <c r="BJ31" i="78"/>
  <c r="Q25" i="79"/>
  <c r="AA20" i="79"/>
  <c r="AG20" i="79"/>
  <c r="AI20" i="79" s="1"/>
  <c r="Q15" i="79"/>
  <c r="Z28" i="77"/>
  <c r="AY31" i="77"/>
  <c r="AY41" i="78" s="1"/>
  <c r="N23" i="78"/>
  <c r="Q26" i="79"/>
  <c r="AN38" i="84"/>
  <c r="AN42" i="84" s="1"/>
  <c r="AS12" i="84"/>
  <c r="AS31" i="84" s="1"/>
  <c r="AN23" i="83"/>
  <c r="AS23" i="83" s="1"/>
  <c r="AF42" i="83"/>
  <c r="BH38" i="83"/>
  <c r="AN26" i="83"/>
  <c r="AS26" i="83" s="1"/>
  <c r="AN13" i="83"/>
  <c r="AS13" i="83" s="1"/>
  <c r="AN22" i="83"/>
  <c r="AS22" i="83" s="1"/>
  <c r="AN20" i="83"/>
  <c r="AS20" i="83" s="1"/>
  <c r="AN19" i="83"/>
  <c r="AS19" i="83" s="1"/>
  <c r="AN14" i="83"/>
  <c r="AS14" i="83" s="1"/>
  <c r="AN15" i="83"/>
  <c r="AS15" i="83" s="1"/>
  <c r="AN17" i="83"/>
  <c r="AS17" i="83" s="1"/>
  <c r="AN21" i="83"/>
  <c r="AS21" i="83" s="1"/>
  <c r="AN25" i="83"/>
  <c r="AS25" i="83" s="1"/>
  <c r="AN18" i="83"/>
  <c r="AS18" i="83" s="1"/>
  <c r="AJ42" i="83"/>
  <c r="AN28" i="83"/>
  <c r="AS28" i="83" s="1"/>
  <c r="AM38" i="83"/>
  <c r="AM42" i="83" s="1"/>
  <c r="S38" i="83"/>
  <c r="S42" i="83" s="1"/>
  <c r="AN12" i="83"/>
  <c r="AN16" i="83"/>
  <c r="AS16" i="83" s="1"/>
  <c r="AM34" i="83"/>
  <c r="AM52" i="83" s="1"/>
  <c r="AN27" i="83"/>
  <c r="AS27" i="83" s="1"/>
  <c r="AF38" i="82"/>
  <c r="AF31" i="82"/>
  <c r="BH38" i="82" s="1"/>
  <c r="S26" i="82"/>
  <c r="S25" i="82"/>
  <c r="S21" i="82"/>
  <c r="S27" i="82"/>
  <c r="S16" i="82"/>
  <c r="S34" i="82"/>
  <c r="S12" i="82"/>
  <c r="S22" i="82"/>
  <c r="S17" i="82"/>
  <c r="S19" i="82"/>
  <c r="S23" i="82"/>
  <c r="AJ31" i="82"/>
  <c r="T38" i="83" s="1"/>
  <c r="T42" i="83" s="1"/>
  <c r="AM12" i="82"/>
  <c r="AM31" i="82" s="1"/>
  <c r="S20" i="82"/>
  <c r="S18" i="82"/>
  <c r="S14" i="82"/>
  <c r="S13" i="82"/>
  <c r="AM24" i="81"/>
  <c r="AF27" i="81"/>
  <c r="AJ27" i="81" s="1"/>
  <c r="AM27" i="81" s="1"/>
  <c r="AF17" i="81"/>
  <c r="AJ17" i="81" s="1"/>
  <c r="AM17" i="81" s="1"/>
  <c r="AF21" i="81"/>
  <c r="AF25" i="81"/>
  <c r="AJ25" i="81" s="1"/>
  <c r="AM25" i="81" s="1"/>
  <c r="AJ21" i="81"/>
  <c r="AM21" i="81" s="1"/>
  <c r="AF16" i="81"/>
  <c r="AF23" i="81"/>
  <c r="AJ23" i="81" s="1"/>
  <c r="AM23" i="81" s="1"/>
  <c r="AF14" i="81"/>
  <c r="AJ14" i="81" s="1"/>
  <c r="AM14" i="81" s="1"/>
  <c r="AV38" i="81"/>
  <c r="M42" i="81"/>
  <c r="Z38" i="81"/>
  <c r="Z31" i="81"/>
  <c r="AF12" i="81"/>
  <c r="AJ16" i="81"/>
  <c r="AM16" i="81" s="1"/>
  <c r="AI31" i="81"/>
  <c r="AF13" i="81"/>
  <c r="AJ13" i="81" s="1"/>
  <c r="AM13" i="81" s="1"/>
  <c r="AF26" i="81"/>
  <c r="AJ26" i="81" s="1"/>
  <c r="AM26" i="81" s="1"/>
  <c r="AF18" i="81"/>
  <c r="AJ18" i="81" s="1"/>
  <c r="AM18" i="81" s="1"/>
  <c r="AF15" i="81"/>
  <c r="AJ15" i="81" s="1"/>
  <c r="AM15" i="81" s="1"/>
  <c r="R38" i="81"/>
  <c r="R31" i="81"/>
  <c r="AF19" i="81"/>
  <c r="AJ19" i="81" s="1"/>
  <c r="AM19" i="81" s="1"/>
  <c r="AI38" i="81"/>
  <c r="AG42" i="81"/>
  <c r="Q42" i="81"/>
  <c r="AZ38" i="81"/>
  <c r="AI16" i="80"/>
  <c r="AF26" i="80"/>
  <c r="AJ26" i="80" s="1"/>
  <c r="AM26" i="80" s="1"/>
  <c r="AF16" i="80"/>
  <c r="AJ16" i="80" s="1"/>
  <c r="AM16" i="80" s="1"/>
  <c r="AF25" i="80"/>
  <c r="AJ25" i="80" s="1"/>
  <c r="AM25" i="80" s="1"/>
  <c r="AI22" i="80"/>
  <c r="R17" i="80"/>
  <c r="Z23" i="80"/>
  <c r="Z20" i="80"/>
  <c r="AF20" i="80" s="1"/>
  <c r="Z18" i="80"/>
  <c r="Q31" i="80"/>
  <c r="AZ38" i="80" s="1"/>
  <c r="Z24" i="80"/>
  <c r="Y38" i="80"/>
  <c r="Y42" i="80" s="1"/>
  <c r="AI19" i="80"/>
  <c r="AA38" i="80"/>
  <c r="AA42" i="80" s="1"/>
  <c r="AF12" i="80"/>
  <c r="Z17" i="80"/>
  <c r="R23" i="80"/>
  <c r="R19" i="80"/>
  <c r="R18" i="80"/>
  <c r="R20" i="80"/>
  <c r="AF15" i="80"/>
  <c r="AJ15" i="80" s="1"/>
  <c r="AM15" i="80" s="1"/>
  <c r="Z27" i="80"/>
  <c r="Z21" i="80"/>
  <c r="X38" i="80"/>
  <c r="X42" i="80" s="1"/>
  <c r="AI17" i="80"/>
  <c r="R24" i="80"/>
  <c r="AB38" i="80"/>
  <c r="AB42" i="80" s="1"/>
  <c r="AF13" i="80"/>
  <c r="AJ13" i="80" s="1"/>
  <c r="AM13" i="80" s="1"/>
  <c r="AC38" i="80"/>
  <c r="AC42" i="80" s="1"/>
  <c r="AI18" i="80"/>
  <c r="Z19" i="80"/>
  <c r="AG38" i="80"/>
  <c r="R21" i="80"/>
  <c r="AI20" i="80"/>
  <c r="AI27" i="80"/>
  <c r="AI23" i="80"/>
  <c r="AI24" i="80"/>
  <c r="AD38" i="80"/>
  <c r="AD42" i="80" s="1"/>
  <c r="R27" i="80"/>
  <c r="M31" i="80"/>
  <c r="AF22" i="80"/>
  <c r="AE38" i="80"/>
  <c r="AE42" i="80" s="1"/>
  <c r="AF14" i="80"/>
  <c r="AJ14" i="80" s="1"/>
  <c r="AM14" i="80" s="1"/>
  <c r="AI21" i="80"/>
  <c r="AI15" i="79"/>
  <c r="Q12" i="79"/>
  <c r="AG12" i="79"/>
  <c r="AE25" i="79"/>
  <c r="AA12" i="79"/>
  <c r="AC12" i="79"/>
  <c r="AC25" i="79"/>
  <c r="M21" i="79"/>
  <c r="M26" i="79"/>
  <c r="R26" i="79" s="1"/>
  <c r="AE12" i="79"/>
  <c r="AD12" i="79"/>
  <c r="AG25" i="79"/>
  <c r="X12" i="79"/>
  <c r="Z12" i="79" s="1"/>
  <c r="AA19" i="79"/>
  <c r="Y19" i="79"/>
  <c r="X19" i="79"/>
  <c r="AG19" i="79"/>
  <c r="M18" i="79"/>
  <c r="AE19" i="79"/>
  <c r="AC14" i="79"/>
  <c r="K38" i="79"/>
  <c r="K42" i="79" s="1"/>
  <c r="O38" i="79"/>
  <c r="O42" i="79" s="1"/>
  <c r="X25" i="79"/>
  <c r="Y25" i="79"/>
  <c r="Q24" i="79"/>
  <c r="L38" i="79"/>
  <c r="L42" i="79" s="1"/>
  <c r="M16" i="79"/>
  <c r="AB25" i="79"/>
  <c r="Q16" i="79"/>
  <c r="R16" i="79" s="1"/>
  <c r="AG14" i="79"/>
  <c r="Q18" i="79"/>
  <c r="AB14" i="79"/>
  <c r="AA14" i="79"/>
  <c r="R19" i="79"/>
  <c r="X14" i="79"/>
  <c r="Z14" i="79" s="1"/>
  <c r="AD14" i="79"/>
  <c r="AE14" i="79"/>
  <c r="AD18" i="79"/>
  <c r="Y22" i="79"/>
  <c r="AC18" i="79"/>
  <c r="AA22" i="79"/>
  <c r="X22" i="79"/>
  <c r="AG22" i="79"/>
  <c r="M14" i="79"/>
  <c r="R14" i="79" s="1"/>
  <c r="AE22" i="79"/>
  <c r="AB22" i="79"/>
  <c r="M15" i="79"/>
  <c r="R15" i="79" s="1"/>
  <c r="AD22" i="79"/>
  <c r="Z15" i="79"/>
  <c r="N38" i="79"/>
  <c r="N42" i="79" s="1"/>
  <c r="Y18" i="79"/>
  <c r="AB18" i="79"/>
  <c r="Z26" i="79"/>
  <c r="AA18" i="79"/>
  <c r="AG18" i="79"/>
  <c r="U31" i="79"/>
  <c r="U42" i="79" s="1"/>
  <c r="R13" i="79"/>
  <c r="R18" i="79"/>
  <c r="AE18" i="79"/>
  <c r="Z21" i="79"/>
  <c r="Z23" i="79"/>
  <c r="AI17" i="79"/>
  <c r="AI21" i="79"/>
  <c r="Z20" i="79"/>
  <c r="Z27" i="79"/>
  <c r="Z17" i="79"/>
  <c r="AF13" i="79"/>
  <c r="AJ13" i="79" s="1"/>
  <c r="AI19" i="79"/>
  <c r="AI25" i="79"/>
  <c r="AI23" i="79"/>
  <c r="AI26" i="79"/>
  <c r="AI24" i="79"/>
  <c r="R24" i="79"/>
  <c r="AM28" i="79"/>
  <c r="R17" i="79"/>
  <c r="AI16" i="79"/>
  <c r="R12" i="79"/>
  <c r="AI27" i="79"/>
  <c r="AI12" i="79"/>
  <c r="Z16" i="79"/>
  <c r="R22" i="79"/>
  <c r="R21" i="79"/>
  <c r="R25" i="79"/>
  <c r="R27" i="79"/>
  <c r="Z24" i="79"/>
  <c r="AJ28" i="78"/>
  <c r="AM28" i="78" s="1"/>
  <c r="L23" i="78"/>
  <c r="O23" i="78"/>
  <c r="U23" i="78"/>
  <c r="U19" i="78"/>
  <c r="AB19" i="78" s="1"/>
  <c r="L22" i="78"/>
  <c r="U13" i="78"/>
  <c r="AC13" i="78" s="1"/>
  <c r="O20" i="78"/>
  <c r="O27" i="78"/>
  <c r="U27" i="78"/>
  <c r="AG27" i="78" s="1"/>
  <c r="N15" i="78"/>
  <c r="O25" i="78"/>
  <c r="L27" i="78"/>
  <c r="N24" i="78"/>
  <c r="K25" i="78"/>
  <c r="L15" i="78"/>
  <c r="U15" i="78"/>
  <c r="AC15" i="78" s="1"/>
  <c r="L25" i="78"/>
  <c r="U25" i="78"/>
  <c r="AA25" i="78" s="1"/>
  <c r="K15" i="78"/>
  <c r="K24" i="78"/>
  <c r="O24" i="78"/>
  <c r="K21" i="78"/>
  <c r="AA16" i="78"/>
  <c r="X16" i="78"/>
  <c r="AG16" i="78"/>
  <c r="AD16" i="78"/>
  <c r="AC16" i="78"/>
  <c r="AB16" i="78"/>
  <c r="AE16" i="78"/>
  <c r="Y16" i="78"/>
  <c r="L13" i="78"/>
  <c r="N13" i="78"/>
  <c r="N17" i="78"/>
  <c r="U20" i="78"/>
  <c r="AA20" i="78" s="1"/>
  <c r="O22" i="78"/>
  <c r="N22" i="78"/>
  <c r="O19" i="78"/>
  <c r="L19" i="78"/>
  <c r="O21" i="78"/>
  <c r="L21" i="78"/>
  <c r="K13" i="78"/>
  <c r="K22" i="78"/>
  <c r="O17" i="78"/>
  <c r="K19" i="78"/>
  <c r="N20" i="78"/>
  <c r="U21" i="78"/>
  <c r="AB21" i="78" s="1"/>
  <c r="N16" i="78"/>
  <c r="O16" i="78"/>
  <c r="L16" i="78"/>
  <c r="L17" i="78"/>
  <c r="K20" i="78"/>
  <c r="K16" i="78"/>
  <c r="K12" i="78"/>
  <c r="L12" i="78"/>
  <c r="N12" i="78"/>
  <c r="O12" i="78"/>
  <c r="U12" i="78"/>
  <c r="L18" i="78"/>
  <c r="O18" i="78"/>
  <c r="N18" i="78"/>
  <c r="K18" i="78"/>
  <c r="U18" i="78"/>
  <c r="I31" i="78"/>
  <c r="I42" i="78" s="1"/>
  <c r="N14" i="78"/>
  <c r="O14" i="78"/>
  <c r="L14" i="78"/>
  <c r="U14" i="78"/>
  <c r="K14" i="78"/>
  <c r="Q23" i="78"/>
  <c r="Q15" i="78"/>
  <c r="Q25" i="78"/>
  <c r="AB22" i="78"/>
  <c r="X22" i="78"/>
  <c r="AD22" i="78"/>
  <c r="AG22" i="78"/>
  <c r="Y22" i="78"/>
  <c r="AE22" i="78"/>
  <c r="AA22" i="78"/>
  <c r="AC22" i="78"/>
  <c r="AE25" i="78"/>
  <c r="AB25" i="78"/>
  <c r="AE17" i="78"/>
  <c r="AA17" i="78"/>
  <c r="AG17" i="78"/>
  <c r="AC17" i="78"/>
  <c r="Y17" i="78"/>
  <c r="AD17" i="78"/>
  <c r="AB17" i="78"/>
  <c r="X17" i="78"/>
  <c r="AC24" i="78"/>
  <c r="AB24" i="78"/>
  <c r="AD24" i="78"/>
  <c r="X20" i="78"/>
  <c r="AD20" i="78"/>
  <c r="AG20" i="78"/>
  <c r="AC20" i="78"/>
  <c r="Q26" i="78"/>
  <c r="AG13" i="78"/>
  <c r="AB13" i="78"/>
  <c r="M23" i="78"/>
  <c r="M26" i="78"/>
  <c r="Q13" i="78"/>
  <c r="AE23" i="78"/>
  <c r="AA23" i="78"/>
  <c r="AD23" i="78"/>
  <c r="Y23" i="78"/>
  <c r="AG23" i="78"/>
  <c r="AB23" i="78"/>
  <c r="AC23" i="78"/>
  <c r="X23" i="78"/>
  <c r="AE26" i="78"/>
  <c r="AA26" i="78"/>
  <c r="AD26" i="78"/>
  <c r="AG26" i="78"/>
  <c r="AC26" i="78"/>
  <c r="Y26" i="78"/>
  <c r="X26" i="78"/>
  <c r="AB26" i="78"/>
  <c r="M17" i="78"/>
  <c r="AD19" i="78"/>
  <c r="AE19" i="78"/>
  <c r="M24" i="78"/>
  <c r="AD21" i="78"/>
  <c r="AE21" i="78"/>
  <c r="Y21" i="78"/>
  <c r="AA21" i="78"/>
  <c r="AY40" i="77"/>
  <c r="AF28" i="77"/>
  <c r="AJ28" i="77" s="1"/>
  <c r="AM28" i="77" s="1"/>
  <c r="U25" i="77"/>
  <c r="O25" i="77"/>
  <c r="K25" i="77"/>
  <c r="L25" i="77"/>
  <c r="N25" i="77"/>
  <c r="H42" i="77"/>
  <c r="I27" i="77"/>
  <c r="I24" i="77"/>
  <c r="I23" i="77"/>
  <c r="I22" i="77"/>
  <c r="I21" i="77"/>
  <c r="I16" i="77"/>
  <c r="I14" i="77"/>
  <c r="I12" i="77"/>
  <c r="I26" i="77"/>
  <c r="I20" i="77"/>
  <c r="I19" i="77"/>
  <c r="I17" i="77"/>
  <c r="I15" i="77"/>
  <c r="I18" i="77"/>
  <c r="I13" i="77"/>
  <c r="AE28" i="76"/>
  <c r="AB28" i="76"/>
  <c r="AG28" i="76"/>
  <c r="Y28" i="76"/>
  <c r="AC28" i="76"/>
  <c r="AD28" i="76"/>
  <c r="AO51" i="76"/>
  <c r="AY31" i="76"/>
  <c r="AY41" i="77" s="1"/>
  <c r="H31" i="76"/>
  <c r="I15" i="76" s="1"/>
  <c r="AR31" i="76"/>
  <c r="AR41" i="77" s="1"/>
  <c r="Q28" i="76"/>
  <c r="M28" i="76"/>
  <c r="AH38" i="76"/>
  <c r="AH31" i="76"/>
  <c r="AL31" i="76" s="1"/>
  <c r="BJ31" i="76"/>
  <c r="BJ41" i="77" s="1"/>
  <c r="X28" i="76"/>
  <c r="AN34" i="76"/>
  <c r="AN52" i="76" s="1"/>
  <c r="G42" i="76"/>
  <c r="AA28" i="76"/>
  <c r="P38" i="76"/>
  <c r="P42" i="76" s="1"/>
  <c r="AR38" i="76"/>
  <c r="AY38" i="76"/>
  <c r="H38" i="76"/>
  <c r="AH21" i="75"/>
  <c r="AR40" i="77" l="1"/>
  <c r="AR42" i="77" s="1"/>
  <c r="Y25" i="78"/>
  <c r="Z25" i="78" s="1"/>
  <c r="AN24" i="82"/>
  <c r="AS24" i="82" s="1"/>
  <c r="AY42" i="77"/>
  <c r="AC25" i="78"/>
  <c r="F38" i="82"/>
  <c r="F42" i="82" s="1"/>
  <c r="AY40" i="78"/>
  <c r="AY42" i="78" s="1"/>
  <c r="AY41" i="79"/>
  <c r="Y24" i="78"/>
  <c r="AE24" i="78"/>
  <c r="AA24" i="78"/>
  <c r="X24" i="78"/>
  <c r="Z24" i="78" s="1"/>
  <c r="AG24" i="78"/>
  <c r="BJ40" i="77"/>
  <c r="BJ42" i="77" s="1"/>
  <c r="Z23" i="78"/>
  <c r="Q20" i="78"/>
  <c r="AG25" i="78"/>
  <c r="X27" i="78"/>
  <c r="M20" i="78"/>
  <c r="Z22" i="79"/>
  <c r="AY12" i="80"/>
  <c r="AY31" i="79"/>
  <c r="AD25" i="78"/>
  <c r="BJ41" i="79"/>
  <c r="BJ40" i="78"/>
  <c r="BJ42" i="78" s="1"/>
  <c r="AR40" i="78"/>
  <c r="AR42" i="78" s="1"/>
  <c r="AR41" i="79"/>
  <c r="X25" i="78"/>
  <c r="Q19" i="78"/>
  <c r="Q27" i="78"/>
  <c r="Z19" i="79"/>
  <c r="BJ12" i="80"/>
  <c r="BJ31" i="79"/>
  <c r="AR12" i="80"/>
  <c r="AR31" i="79"/>
  <c r="AN38" i="83"/>
  <c r="AN42" i="83" s="1"/>
  <c r="AS12" i="83"/>
  <c r="AS31" i="83" s="1"/>
  <c r="AN21" i="82"/>
  <c r="AS21" i="82" s="1"/>
  <c r="AJ38" i="82"/>
  <c r="AJ42" i="82" s="1"/>
  <c r="AF42" i="82"/>
  <c r="AN27" i="82"/>
  <c r="AS27" i="82" s="1"/>
  <c r="AN13" i="82"/>
  <c r="AS13" i="82" s="1"/>
  <c r="AN20" i="82"/>
  <c r="AS20" i="82" s="1"/>
  <c r="AN14" i="82"/>
  <c r="AS14" i="82" s="1"/>
  <c r="AN23" i="82"/>
  <c r="AS23" i="82" s="1"/>
  <c r="AN18" i="82"/>
  <c r="AS18" i="82" s="1"/>
  <c r="AM34" i="82"/>
  <c r="AM52" i="82" s="1"/>
  <c r="AN17" i="82"/>
  <c r="AS17" i="82" s="1"/>
  <c r="AN28" i="82"/>
  <c r="AS28" i="82" s="1"/>
  <c r="AM38" i="82"/>
  <c r="AM42" i="82" s="1"/>
  <c r="AN22" i="82"/>
  <c r="AS22" i="82" s="1"/>
  <c r="AN15" i="82"/>
  <c r="AS15" i="82" s="1"/>
  <c r="S38" i="82"/>
  <c r="S42" i="82" s="1"/>
  <c r="AN12" i="82"/>
  <c r="AN26" i="82"/>
  <c r="AS26" i="82" s="1"/>
  <c r="AN16" i="82"/>
  <c r="AS16" i="82" s="1"/>
  <c r="AN19" i="82"/>
  <c r="AS19" i="82" s="1"/>
  <c r="AN25" i="82"/>
  <c r="AS25" i="82" s="1"/>
  <c r="S31" i="81"/>
  <c r="S22" i="81" s="1"/>
  <c r="R42" i="81"/>
  <c r="R34" i="81"/>
  <c r="BK38" i="81"/>
  <c r="AI42" i="81"/>
  <c r="Z42" i="81"/>
  <c r="AF38" i="81"/>
  <c r="AF31" i="81"/>
  <c r="AJ12" i="81"/>
  <c r="AF18" i="80"/>
  <c r="AJ18" i="80" s="1"/>
  <c r="AM18" i="80" s="1"/>
  <c r="AJ22" i="80"/>
  <c r="AM22" i="80" s="1"/>
  <c r="Q42" i="80"/>
  <c r="AF23" i="80"/>
  <c r="AJ23" i="80" s="1"/>
  <c r="AM23" i="80" s="1"/>
  <c r="R38" i="80"/>
  <c r="AF24" i="80"/>
  <c r="AJ24" i="80" s="1"/>
  <c r="AM24" i="80" s="1"/>
  <c r="R31" i="80"/>
  <c r="AI31" i="80"/>
  <c r="M42" i="80"/>
  <c r="AV38" i="80"/>
  <c r="AI38" i="80"/>
  <c r="AG42" i="80"/>
  <c r="AF21" i="80"/>
  <c r="AJ21" i="80" s="1"/>
  <c r="AM21" i="80" s="1"/>
  <c r="AF17" i="80"/>
  <c r="AJ17" i="80" s="1"/>
  <c r="AM17" i="80" s="1"/>
  <c r="Z38" i="80"/>
  <c r="AF27" i="80"/>
  <c r="AJ27" i="80" s="1"/>
  <c r="AM27" i="80" s="1"/>
  <c r="AJ12" i="80"/>
  <c r="AJ20" i="80"/>
  <c r="AM20" i="80" s="1"/>
  <c r="AF19" i="80"/>
  <c r="AJ19" i="80" s="1"/>
  <c r="AM19" i="80" s="1"/>
  <c r="Z31" i="80"/>
  <c r="AC38" i="79"/>
  <c r="AC42" i="79" s="1"/>
  <c r="AI14" i="79"/>
  <c r="AI22" i="79"/>
  <c r="AI18" i="79"/>
  <c r="AF21" i="79"/>
  <c r="AJ21" i="79" s="1"/>
  <c r="AM21" i="79" s="1"/>
  <c r="AF26" i="79"/>
  <c r="AJ26" i="79" s="1"/>
  <c r="AM26" i="79" s="1"/>
  <c r="Q31" i="79"/>
  <c r="AB38" i="79"/>
  <c r="AB42" i="79" s="1"/>
  <c r="Y38" i="79"/>
  <c r="Y42" i="79" s="1"/>
  <c r="X38" i="79"/>
  <c r="X42" i="79" s="1"/>
  <c r="Z25" i="79"/>
  <c r="Z18" i="79"/>
  <c r="AD38" i="79"/>
  <c r="AD42" i="79" s="1"/>
  <c r="M31" i="79"/>
  <c r="AV38" i="79" s="1"/>
  <c r="AE38" i="79"/>
  <c r="AE42" i="79" s="1"/>
  <c r="AG38" i="79"/>
  <c r="AG42" i="79" s="1"/>
  <c r="AF19" i="79"/>
  <c r="AJ19" i="79" s="1"/>
  <c r="AM19" i="79" s="1"/>
  <c r="AF15" i="79"/>
  <c r="AJ15" i="79" s="1"/>
  <c r="AM15" i="79" s="1"/>
  <c r="AA38" i="79"/>
  <c r="AA42" i="79" s="1"/>
  <c r="AF23" i="79"/>
  <c r="AJ23" i="79" s="1"/>
  <c r="AM23" i="79" s="1"/>
  <c r="AF14" i="79"/>
  <c r="AJ14" i="79" s="1"/>
  <c r="AM14" i="79" s="1"/>
  <c r="AM13" i="79"/>
  <c r="AF24" i="79"/>
  <c r="AJ24" i="79" s="1"/>
  <c r="AM24" i="79" s="1"/>
  <c r="AF17" i="79"/>
  <c r="AJ17" i="79" s="1"/>
  <c r="AM17" i="79" s="1"/>
  <c r="AF20" i="79"/>
  <c r="AJ20" i="79" s="1"/>
  <c r="AM20" i="79" s="1"/>
  <c r="R31" i="79"/>
  <c r="F38" i="80" s="1"/>
  <c r="F42" i="80" s="1"/>
  <c r="R38" i="79"/>
  <c r="AF27" i="79"/>
  <c r="AJ27" i="79" s="1"/>
  <c r="AM27" i="79" s="1"/>
  <c r="AZ38" i="79"/>
  <c r="Q42" i="79"/>
  <c r="AF16" i="79"/>
  <c r="AJ16" i="79" s="1"/>
  <c r="AM16" i="79" s="1"/>
  <c r="AF22" i="79"/>
  <c r="AJ22" i="79" s="1"/>
  <c r="AM22" i="79" s="1"/>
  <c r="AI31" i="79"/>
  <c r="AF12" i="79"/>
  <c r="AI16" i="78"/>
  <c r="AD27" i="78"/>
  <c r="M22" i="78"/>
  <c r="Y27" i="78"/>
  <c r="Z27" i="78" s="1"/>
  <c r="AA27" i="78"/>
  <c r="AA19" i="78"/>
  <c r="AG19" i="78"/>
  <c r="AA15" i="78"/>
  <c r="AC19" i="78"/>
  <c r="X19" i="78"/>
  <c r="Z16" i="78"/>
  <c r="Y19" i="78"/>
  <c r="X15" i="78"/>
  <c r="M25" i="78"/>
  <c r="Q24" i="78"/>
  <c r="R24" i="78" s="1"/>
  <c r="Y13" i="78"/>
  <c r="AE13" i="78"/>
  <c r="AC27" i="78"/>
  <c r="AE27" i="78"/>
  <c r="AD13" i="78"/>
  <c r="AA13" i="78"/>
  <c r="X13" i="78"/>
  <c r="AB27" i="78"/>
  <c r="M15" i="78"/>
  <c r="R15" i="78" s="1"/>
  <c r="Q22" i="78"/>
  <c r="AD15" i="78"/>
  <c r="AG15" i="78"/>
  <c r="M27" i="78"/>
  <c r="Y15" i="78"/>
  <c r="AE15" i="78"/>
  <c r="AB15" i="78"/>
  <c r="M13" i="78"/>
  <c r="R13" i="78" s="1"/>
  <c r="AG21" i="78"/>
  <c r="X21" i="78"/>
  <c r="Z21" i="78" s="1"/>
  <c r="AE20" i="78"/>
  <c r="AB20" i="78"/>
  <c r="AC21" i="78"/>
  <c r="Y20" i="78"/>
  <c r="Z20" i="78" s="1"/>
  <c r="Z22" i="78"/>
  <c r="M21" i="78"/>
  <c r="O38" i="78"/>
  <c r="O42" i="78" s="1"/>
  <c r="L38" i="78"/>
  <c r="L42" i="78" s="1"/>
  <c r="R26" i="78"/>
  <c r="Z17" i="78"/>
  <c r="M19" i="78"/>
  <c r="M16" i="78"/>
  <c r="Q16" i="78"/>
  <c r="Q21" i="78"/>
  <c r="Q17" i="78"/>
  <c r="R17" i="78" s="1"/>
  <c r="M14" i="78"/>
  <c r="R25" i="78"/>
  <c r="Q14" i="78"/>
  <c r="X18" i="78"/>
  <c r="Y18" i="78"/>
  <c r="AD18" i="78"/>
  <c r="AG18" i="78"/>
  <c r="AE18" i="78"/>
  <c r="AC18" i="78"/>
  <c r="AB18" i="78"/>
  <c r="AA18" i="78"/>
  <c r="M18" i="78"/>
  <c r="AC12" i="78"/>
  <c r="Y12" i="78"/>
  <c r="AB12" i="78"/>
  <c r="AE12" i="78"/>
  <c r="X12" i="78"/>
  <c r="AA12" i="78"/>
  <c r="AG12" i="78"/>
  <c r="AD12" i="78"/>
  <c r="M12" i="78"/>
  <c r="K38" i="78"/>
  <c r="K42" i="78" s="1"/>
  <c r="R23" i="78"/>
  <c r="AE14" i="78"/>
  <c r="Y14" i="78"/>
  <c r="AA14" i="78"/>
  <c r="AB14" i="78"/>
  <c r="AG14" i="78"/>
  <c r="X14" i="78"/>
  <c r="AC14" i="78"/>
  <c r="AD14" i="78"/>
  <c r="Q12" i="78"/>
  <c r="Q18" i="78"/>
  <c r="N38" i="78"/>
  <c r="N42" i="78" s="1"/>
  <c r="U31" i="78"/>
  <c r="U42" i="78" s="1"/>
  <c r="AI26" i="78"/>
  <c r="Z26" i="78"/>
  <c r="AI23" i="78"/>
  <c r="AI13" i="78"/>
  <c r="AI24" i="78"/>
  <c r="AI17" i="78"/>
  <c r="AI19" i="78"/>
  <c r="R20" i="78"/>
  <c r="AI27" i="78"/>
  <c r="AI20" i="78"/>
  <c r="AI25" i="78"/>
  <c r="AI22" i="78"/>
  <c r="I31" i="77"/>
  <c r="I42" i="77" s="1"/>
  <c r="U12" i="77"/>
  <c r="O12" i="77"/>
  <c r="K12" i="77"/>
  <c r="N12" i="77"/>
  <c r="L12" i="77"/>
  <c r="N13" i="77"/>
  <c r="U13" i="77"/>
  <c r="O13" i="77"/>
  <c r="K13" i="77"/>
  <c r="L13" i="77"/>
  <c r="U19" i="77"/>
  <c r="O19" i="77"/>
  <c r="K19" i="77"/>
  <c r="L19" i="77"/>
  <c r="N19" i="77"/>
  <c r="U14" i="77"/>
  <c r="O14" i="77"/>
  <c r="K14" i="77"/>
  <c r="L14" i="77"/>
  <c r="N14" i="77"/>
  <c r="N23" i="77"/>
  <c r="U23" i="77"/>
  <c r="O23" i="77"/>
  <c r="K23" i="77"/>
  <c r="L23" i="77"/>
  <c r="Q25" i="77"/>
  <c r="U17" i="77"/>
  <c r="O17" i="77"/>
  <c r="K17" i="77"/>
  <c r="L17" i="77"/>
  <c r="N17" i="77"/>
  <c r="N22" i="77"/>
  <c r="U22" i="77"/>
  <c r="O22" i="77"/>
  <c r="K22" i="77"/>
  <c r="L22" i="77"/>
  <c r="U18" i="77"/>
  <c r="O18" i="77"/>
  <c r="K18" i="77"/>
  <c r="N18" i="77"/>
  <c r="L18" i="77"/>
  <c r="U20" i="77"/>
  <c r="O20" i="77"/>
  <c r="K20" i="77"/>
  <c r="N20" i="77"/>
  <c r="L20" i="77"/>
  <c r="U16" i="77"/>
  <c r="O16" i="77"/>
  <c r="K16" i="77"/>
  <c r="N16" i="77"/>
  <c r="L16" i="77"/>
  <c r="U24" i="77"/>
  <c r="O24" i="77"/>
  <c r="K24" i="77"/>
  <c r="L24" i="77"/>
  <c r="N24" i="77"/>
  <c r="AE25" i="77"/>
  <c r="AA25" i="77"/>
  <c r="AB25" i="77"/>
  <c r="X25" i="77"/>
  <c r="AG25" i="77"/>
  <c r="Y25" i="77"/>
  <c r="AD25" i="77"/>
  <c r="AC25" i="77"/>
  <c r="U15" i="77"/>
  <c r="O15" i="77"/>
  <c r="K15" i="77"/>
  <c r="L15" i="77"/>
  <c r="N15" i="77"/>
  <c r="U26" i="77"/>
  <c r="O26" i="77"/>
  <c r="K26" i="77"/>
  <c r="L26" i="77"/>
  <c r="N26" i="77"/>
  <c r="N21" i="77"/>
  <c r="U21" i="77"/>
  <c r="O21" i="77"/>
  <c r="K21" i="77"/>
  <c r="L21" i="77"/>
  <c r="U27" i="77"/>
  <c r="O27" i="77"/>
  <c r="K27" i="77"/>
  <c r="L27" i="77"/>
  <c r="N27" i="77"/>
  <c r="M25" i="77"/>
  <c r="AI28" i="76"/>
  <c r="Z28" i="76"/>
  <c r="I24" i="76"/>
  <c r="AY40" i="76"/>
  <c r="I12" i="76"/>
  <c r="O12" i="76" s="1"/>
  <c r="AX12" i="76" s="1"/>
  <c r="I26" i="76"/>
  <c r="K26" i="76" s="1"/>
  <c r="U15" i="76"/>
  <c r="O15" i="76"/>
  <c r="AX15" i="76" s="1"/>
  <c r="K15" i="76"/>
  <c r="AT15" i="76" s="1"/>
  <c r="N15" i="76"/>
  <c r="AW15" i="76" s="1"/>
  <c r="L15" i="76"/>
  <c r="AU15" i="76" s="1"/>
  <c r="H42" i="76"/>
  <c r="I25" i="76"/>
  <c r="I23" i="76"/>
  <c r="I20" i="76"/>
  <c r="I22" i="76"/>
  <c r="I18" i="76"/>
  <c r="I27" i="76"/>
  <c r="I17" i="76"/>
  <c r="I16" i="76"/>
  <c r="R28" i="76"/>
  <c r="I19" i="76"/>
  <c r="I13" i="76"/>
  <c r="I21" i="76"/>
  <c r="AR40" i="76"/>
  <c r="U26" i="76"/>
  <c r="L26" i="76"/>
  <c r="N26" i="76"/>
  <c r="AH42" i="76"/>
  <c r="BJ38" i="76"/>
  <c r="BJ40" i="76" s="1"/>
  <c r="I14" i="76"/>
  <c r="AN31" i="75"/>
  <c r="AG31" i="75"/>
  <c r="Y31" i="75"/>
  <c r="X31" i="75"/>
  <c r="AK31" i="75" s="1"/>
  <c r="AD31" i="75"/>
  <c r="AN51" i="75"/>
  <c r="AM49" i="75"/>
  <c r="AO49" i="75" s="1"/>
  <c r="AO46" i="75"/>
  <c r="AM46" i="75"/>
  <c r="AO45" i="75"/>
  <c r="AX38" i="75"/>
  <c r="AW38" i="75"/>
  <c r="AH38" i="75"/>
  <c r="M38" i="75"/>
  <c r="G38" i="75"/>
  <c r="BA31" i="75"/>
  <c r="AQ31" i="75"/>
  <c r="AP31" i="75"/>
  <c r="AH31" i="75"/>
  <c r="T31" i="75"/>
  <c r="P31" i="75"/>
  <c r="Q38" i="75" s="1"/>
  <c r="G31" i="75"/>
  <c r="F31" i="75"/>
  <c r="F34" i="75" s="1"/>
  <c r="U28" i="75"/>
  <c r="AE28" i="75" s="1"/>
  <c r="O28" i="75"/>
  <c r="N28" i="75"/>
  <c r="L28" i="75"/>
  <c r="K28" i="75"/>
  <c r="H28" i="75"/>
  <c r="H25" i="75"/>
  <c r="H24" i="75"/>
  <c r="H23" i="75"/>
  <c r="H22" i="75"/>
  <c r="H21" i="75"/>
  <c r="H20" i="75"/>
  <c r="H19" i="75"/>
  <c r="H18" i="75"/>
  <c r="H26" i="75"/>
  <c r="H27" i="75"/>
  <c r="H17" i="75"/>
  <c r="H16" i="75"/>
  <c r="H15" i="75"/>
  <c r="H14" i="75"/>
  <c r="H13" i="75"/>
  <c r="H12" i="75"/>
  <c r="R25" i="77" l="1"/>
  <c r="AA24" i="77"/>
  <c r="AC24" i="77"/>
  <c r="Y24" i="77"/>
  <c r="X24" i="77"/>
  <c r="AG24" i="77"/>
  <c r="AE24" i="77"/>
  <c r="AX17" i="77"/>
  <c r="AX17" i="78" s="1"/>
  <c r="R19" i="78"/>
  <c r="R27" i="78"/>
  <c r="BJ41" i="80"/>
  <c r="BJ40" i="79"/>
  <c r="BJ42" i="79" s="1"/>
  <c r="AR12" i="81"/>
  <c r="AR31" i="80"/>
  <c r="AW15" i="77"/>
  <c r="AW15" i="78" s="1"/>
  <c r="AW15" i="79" s="1"/>
  <c r="AW15" i="80" s="1"/>
  <c r="AW15" i="81" s="1"/>
  <c r="AW15" i="82" s="1"/>
  <c r="AW15" i="83" s="1"/>
  <c r="AW15" i="84" s="1"/>
  <c r="AW15" i="85" s="1"/>
  <c r="AW15" i="86" s="1"/>
  <c r="AW15" i="87" s="1"/>
  <c r="AF23" i="78"/>
  <c r="AJ23" i="78" s="1"/>
  <c r="AM23" i="78" s="1"/>
  <c r="BJ12" i="81"/>
  <c r="BJ31" i="80"/>
  <c r="AY41" i="80"/>
  <c r="AY40" i="79"/>
  <c r="AY42" i="79" s="1"/>
  <c r="AW13" i="77"/>
  <c r="AW13" i="78" s="1"/>
  <c r="AW13" i="79" s="1"/>
  <c r="AW13" i="80" s="1"/>
  <c r="AW13" i="81" s="1"/>
  <c r="AW13" i="82" s="1"/>
  <c r="AW13" i="83" s="1"/>
  <c r="AW13" i="84" s="1"/>
  <c r="AW13" i="85" s="1"/>
  <c r="AW13" i="86" s="1"/>
  <c r="AW13" i="87" s="1"/>
  <c r="AU15" i="77"/>
  <c r="AU15" i="78" s="1"/>
  <c r="AU15" i="79" s="1"/>
  <c r="AU15" i="80" s="1"/>
  <c r="AU15" i="81" s="1"/>
  <c r="AU15" i="82" s="1"/>
  <c r="AU15" i="83" s="1"/>
  <c r="AU15" i="84" s="1"/>
  <c r="AU15" i="85" s="1"/>
  <c r="AU15" i="86" s="1"/>
  <c r="AU15" i="87" s="1"/>
  <c r="AW16" i="77"/>
  <c r="AW16" i="78" s="1"/>
  <c r="AW16" i="79" s="1"/>
  <c r="AW16" i="80" s="1"/>
  <c r="AW16" i="81" s="1"/>
  <c r="AW16" i="82" s="1"/>
  <c r="AW16" i="83" s="1"/>
  <c r="AW16" i="84" s="1"/>
  <c r="AW16" i="85" s="1"/>
  <c r="AW16" i="86" s="1"/>
  <c r="AW16" i="87" s="1"/>
  <c r="AT13" i="77"/>
  <c r="AT13" i="78" s="1"/>
  <c r="R34" i="80"/>
  <c r="F38" i="81"/>
  <c r="F42" i="81" s="1"/>
  <c r="AY12" i="81"/>
  <c r="AY31" i="80"/>
  <c r="S24" i="81"/>
  <c r="AT15" i="77"/>
  <c r="AT15" i="78" s="1"/>
  <c r="AW17" i="77"/>
  <c r="AW17" i="78" s="1"/>
  <c r="AW17" i="79" s="1"/>
  <c r="AW17" i="80" s="1"/>
  <c r="AW17" i="81" s="1"/>
  <c r="AW17" i="82" s="1"/>
  <c r="AW17" i="83" s="1"/>
  <c r="AW17" i="84" s="1"/>
  <c r="AW17" i="85" s="1"/>
  <c r="AW17" i="86" s="1"/>
  <c r="AW17" i="87" s="1"/>
  <c r="AX12" i="77"/>
  <c r="AX12" i="78" s="1"/>
  <c r="Z14" i="78"/>
  <c r="AF14" i="78" s="1"/>
  <c r="AX15" i="77"/>
  <c r="AX15" i="78" s="1"/>
  <c r="AU14" i="77"/>
  <c r="AU14" i="78" s="1"/>
  <c r="AU14" i="79" s="1"/>
  <c r="AU14" i="80" s="1"/>
  <c r="AU14" i="81" s="1"/>
  <c r="AU14" i="82" s="1"/>
  <c r="AU14" i="83" s="1"/>
  <c r="AU14" i="84" s="1"/>
  <c r="AU14" i="85" s="1"/>
  <c r="AU14" i="86" s="1"/>
  <c r="AU14" i="87" s="1"/>
  <c r="AR40" i="79"/>
  <c r="AR42" i="79" s="1"/>
  <c r="AR41" i="80"/>
  <c r="AN38" i="82"/>
  <c r="AN42" i="82" s="1"/>
  <c r="AS12" i="82"/>
  <c r="AS31" i="82" s="1"/>
  <c r="S27" i="81"/>
  <c r="S34" i="81"/>
  <c r="S18" i="81"/>
  <c r="S25" i="81"/>
  <c r="S16" i="81"/>
  <c r="S12" i="81"/>
  <c r="S17" i="81"/>
  <c r="S19" i="81"/>
  <c r="S21" i="81"/>
  <c r="S26" i="81"/>
  <c r="S23" i="81"/>
  <c r="AJ31" i="81"/>
  <c r="T38" i="82" s="1"/>
  <c r="T42" i="82" s="1"/>
  <c r="AM12" i="81"/>
  <c r="AM31" i="81" s="1"/>
  <c r="S15" i="81"/>
  <c r="S20" i="81"/>
  <c r="BH38" i="81"/>
  <c r="AF42" i="81"/>
  <c r="AJ38" i="81"/>
  <c r="S14" i="81"/>
  <c r="S13" i="81"/>
  <c r="S31" i="80"/>
  <c r="S26" i="80" s="1"/>
  <c r="R42" i="80"/>
  <c r="AI42" i="80"/>
  <c r="BK38" i="80"/>
  <c r="Z42" i="80"/>
  <c r="AF38" i="80"/>
  <c r="AJ31" i="80"/>
  <c r="T38" i="81" s="1"/>
  <c r="T42" i="81" s="1"/>
  <c r="AM12" i="80"/>
  <c r="AM31" i="80" s="1"/>
  <c r="AF31" i="80"/>
  <c r="AF18" i="79"/>
  <c r="AJ18" i="79" s="1"/>
  <c r="AM18" i="79" s="1"/>
  <c r="Z38" i="79"/>
  <c r="Z31" i="79"/>
  <c r="AF38" i="79" s="1"/>
  <c r="AF25" i="79"/>
  <c r="AJ25" i="79" s="1"/>
  <c r="AM25" i="79" s="1"/>
  <c r="M42" i="79"/>
  <c r="AI38" i="79"/>
  <c r="AI42" i="79" s="1"/>
  <c r="BK38" i="79"/>
  <c r="AJ12" i="79"/>
  <c r="R42" i="79"/>
  <c r="R34" i="79"/>
  <c r="S31" i="79"/>
  <c r="S15" i="79" s="1"/>
  <c r="AI15" i="78"/>
  <c r="AF17" i="78"/>
  <c r="AJ17" i="78" s="1"/>
  <c r="AM17" i="78" s="1"/>
  <c r="AF16" i="78"/>
  <c r="AJ16" i="78" s="1"/>
  <c r="R22" i="78"/>
  <c r="Z19" i="78"/>
  <c r="AF27" i="78"/>
  <c r="AJ27" i="78" s="1"/>
  <c r="AM27" i="78" s="1"/>
  <c r="Z15" i="78"/>
  <c r="Z13" i="78"/>
  <c r="R21" i="78"/>
  <c r="AF24" i="78"/>
  <c r="AJ24" i="78" s="1"/>
  <c r="AM24" i="78" s="1"/>
  <c r="AG38" i="78"/>
  <c r="AI38" i="78" s="1"/>
  <c r="AF20" i="78"/>
  <c r="AJ20" i="78" s="1"/>
  <c r="AM20" i="78" s="1"/>
  <c r="AI21" i="78"/>
  <c r="X38" i="78"/>
  <c r="X42" i="78" s="1"/>
  <c r="Z12" i="78"/>
  <c r="AF22" i="78"/>
  <c r="AJ22" i="78" s="1"/>
  <c r="AM22" i="78" s="1"/>
  <c r="Y38" i="78"/>
  <c r="Y42" i="78" s="1"/>
  <c r="M31" i="78"/>
  <c r="AV38" i="78" s="1"/>
  <c r="R16" i="78"/>
  <c r="AM16" i="78" s="1"/>
  <c r="AE38" i="78"/>
  <c r="AE42" i="78" s="1"/>
  <c r="AA38" i="78"/>
  <c r="AA42" i="78" s="1"/>
  <c r="AF21" i="78"/>
  <c r="Z18" i="78"/>
  <c r="Q31" i="78"/>
  <c r="AZ38" i="78" s="1"/>
  <c r="AD38" i="78"/>
  <c r="AD42" i="78" s="1"/>
  <c r="AI14" i="78"/>
  <c r="R12" i="78"/>
  <c r="AI18" i="78"/>
  <c r="AC38" i="78"/>
  <c r="AC42" i="78" s="1"/>
  <c r="R18" i="78"/>
  <c r="AB38" i="78"/>
  <c r="AB42" i="78" s="1"/>
  <c r="AI12" i="78"/>
  <c r="R14" i="78"/>
  <c r="AF25" i="78"/>
  <c r="AJ25" i="78" s="1"/>
  <c r="AM25" i="78" s="1"/>
  <c r="AF26" i="78"/>
  <c r="AJ26" i="78" s="1"/>
  <c r="AM26" i="78" s="1"/>
  <c r="Q20" i="77"/>
  <c r="M18" i="77"/>
  <c r="M22" i="77"/>
  <c r="AG17" i="77"/>
  <c r="AC17" i="77"/>
  <c r="Y17" i="77"/>
  <c r="AE17" i="77"/>
  <c r="AA17" i="77"/>
  <c r="AD17" i="77"/>
  <c r="AB17" i="77"/>
  <c r="X17" i="77"/>
  <c r="M23" i="77"/>
  <c r="AB14" i="77"/>
  <c r="AE14" i="77"/>
  <c r="AA14" i="77"/>
  <c r="AG14" i="77"/>
  <c r="AC14" i="77"/>
  <c r="Y14" i="77"/>
  <c r="X14" i="77"/>
  <c r="AD14" i="77"/>
  <c r="Q19" i="77"/>
  <c r="Q13" i="77"/>
  <c r="N38" i="77"/>
  <c r="N42" i="77" s="1"/>
  <c r="M27" i="77"/>
  <c r="M21" i="77"/>
  <c r="AE26" i="77"/>
  <c r="AA26" i="77"/>
  <c r="AG26" i="77"/>
  <c r="AC26" i="77"/>
  <c r="Y26" i="77"/>
  <c r="AB26" i="77"/>
  <c r="X26" i="77"/>
  <c r="AD26" i="77"/>
  <c r="AZ15" i="77"/>
  <c r="Q15" i="77"/>
  <c r="M24" i="77"/>
  <c r="AG20" i="77"/>
  <c r="AC20" i="77"/>
  <c r="Y20" i="77"/>
  <c r="AE20" i="77"/>
  <c r="AA20" i="77"/>
  <c r="X20" i="77"/>
  <c r="AD20" i="77"/>
  <c r="AB20" i="77"/>
  <c r="Q18" i="77"/>
  <c r="Q22" i="77"/>
  <c r="Q23" i="77"/>
  <c r="AG19" i="77"/>
  <c r="AC19" i="77"/>
  <c r="Y19" i="77"/>
  <c r="AE19" i="77"/>
  <c r="AA19" i="77"/>
  <c r="X19" i="77"/>
  <c r="AD19" i="77"/>
  <c r="AB19" i="77"/>
  <c r="AB13" i="77"/>
  <c r="X13" i="77"/>
  <c r="AE13" i="77"/>
  <c r="AA13" i="77"/>
  <c r="AD13" i="77"/>
  <c r="AG13" i="77"/>
  <c r="AC13" i="77"/>
  <c r="Y13" i="77"/>
  <c r="K38" i="77"/>
  <c r="K42" i="77" s="1"/>
  <c r="M12" i="77"/>
  <c r="Q21" i="77"/>
  <c r="AI25" i="77"/>
  <c r="Q24" i="77"/>
  <c r="M16" i="77"/>
  <c r="AG18" i="77"/>
  <c r="AC18" i="77"/>
  <c r="Y18" i="77"/>
  <c r="AE18" i="77"/>
  <c r="AA18" i="77"/>
  <c r="X18" i="77"/>
  <c r="AD18" i="77"/>
  <c r="AB18" i="77"/>
  <c r="AD22" i="77"/>
  <c r="AG22" i="77"/>
  <c r="AC22" i="77"/>
  <c r="Y22" i="77"/>
  <c r="AE22" i="77"/>
  <c r="AA22" i="77"/>
  <c r="AB22" i="77"/>
  <c r="X22" i="77"/>
  <c r="M17" i="77"/>
  <c r="AD23" i="77"/>
  <c r="AG23" i="77"/>
  <c r="AC23" i="77"/>
  <c r="Y23" i="77"/>
  <c r="AE23" i="77"/>
  <c r="AA23" i="77"/>
  <c r="AB23" i="77"/>
  <c r="X23" i="77"/>
  <c r="Z23" i="77" s="1"/>
  <c r="M14" i="77"/>
  <c r="O38" i="77"/>
  <c r="O42" i="77" s="1"/>
  <c r="Q12" i="77"/>
  <c r="AE27" i="77"/>
  <c r="AA27" i="77"/>
  <c r="AG27" i="77"/>
  <c r="AC27" i="77"/>
  <c r="Y27" i="77"/>
  <c r="AB27" i="77"/>
  <c r="X27" i="77"/>
  <c r="AD27" i="77"/>
  <c r="AD21" i="77"/>
  <c r="AG21" i="77"/>
  <c r="AC21" i="77"/>
  <c r="Y21" i="77"/>
  <c r="AE21" i="77"/>
  <c r="AA21" i="77"/>
  <c r="AB21" i="77"/>
  <c r="X21" i="77"/>
  <c r="M26" i="77"/>
  <c r="Z25" i="77"/>
  <c r="AB24" i="77"/>
  <c r="AD24" i="77"/>
  <c r="Q16" i="77"/>
  <c r="M20" i="77"/>
  <c r="R20" i="77" s="1"/>
  <c r="AZ17" i="77"/>
  <c r="Q17" i="77"/>
  <c r="Q14" i="77"/>
  <c r="M19" i="77"/>
  <c r="R19" i="77" s="1"/>
  <c r="M13" i="77"/>
  <c r="L38" i="77"/>
  <c r="L42" i="77" s="1"/>
  <c r="U31" i="77"/>
  <c r="U42" i="77" s="1"/>
  <c r="AB12" i="77"/>
  <c r="AE12" i="77"/>
  <c r="BG12" i="77" s="1"/>
  <c r="BG12" i="78" s="1"/>
  <c r="AA12" i="77"/>
  <c r="AD12" i="77"/>
  <c r="AG12" i="77"/>
  <c r="AC12" i="77"/>
  <c r="Y12" i="77"/>
  <c r="X12" i="77"/>
  <c r="Q27" i="77"/>
  <c r="AE15" i="77"/>
  <c r="AA15" i="77"/>
  <c r="AG15" i="77"/>
  <c r="AB15" i="77"/>
  <c r="BD15" i="77" s="1"/>
  <c r="BD15" i="78" s="1"/>
  <c r="BD15" i="79" s="1"/>
  <c r="BD15" i="80" s="1"/>
  <c r="BD15" i="81" s="1"/>
  <c r="BD15" i="82" s="1"/>
  <c r="BD15" i="83" s="1"/>
  <c r="BD15" i="84" s="1"/>
  <c r="BD15" i="85" s="1"/>
  <c r="BD15" i="86" s="1"/>
  <c r="BD15" i="87" s="1"/>
  <c r="Y15" i="77"/>
  <c r="AC15" i="77"/>
  <c r="BE15" i="77" s="1"/>
  <c r="BE15" i="78" s="1"/>
  <c r="BE15" i="79" s="1"/>
  <c r="BE15" i="80" s="1"/>
  <c r="BE15" i="81" s="1"/>
  <c r="BE15" i="82" s="1"/>
  <c r="BE15" i="83" s="1"/>
  <c r="BE15" i="84" s="1"/>
  <c r="BE15" i="85" s="1"/>
  <c r="BE15" i="86" s="1"/>
  <c r="BE15" i="87" s="1"/>
  <c r="X15" i="77"/>
  <c r="AD15" i="77"/>
  <c r="Q26" i="77"/>
  <c r="M15" i="77"/>
  <c r="AV15" i="77"/>
  <c r="AE16" i="77"/>
  <c r="AA16" i="77"/>
  <c r="Y16" i="77"/>
  <c r="AC16" i="77"/>
  <c r="X16" i="77"/>
  <c r="AG16" i="77"/>
  <c r="AB16" i="77"/>
  <c r="AD16" i="77"/>
  <c r="O26" i="76"/>
  <c r="AF28" i="76"/>
  <c r="AJ28" i="76" s="1"/>
  <c r="AM28" i="76" s="1"/>
  <c r="N12" i="76"/>
  <c r="AW12" i="76" s="1"/>
  <c r="AW12" i="77" s="1"/>
  <c r="K12" i="76"/>
  <c r="AT12" i="76" s="1"/>
  <c r="AT12" i="77" s="1"/>
  <c r="AT12" i="78" s="1"/>
  <c r="U12" i="76"/>
  <c r="AE12" i="76" s="1"/>
  <c r="BG12" i="76" s="1"/>
  <c r="L12" i="76"/>
  <c r="AU12" i="76" s="1"/>
  <c r="AU12" i="77" s="1"/>
  <c r="L24" i="76"/>
  <c r="N24" i="76"/>
  <c r="U24" i="76"/>
  <c r="K24" i="76"/>
  <c r="O24" i="76"/>
  <c r="M26" i="76"/>
  <c r="U21" i="76"/>
  <c r="O21" i="76"/>
  <c r="K21" i="76"/>
  <c r="L21" i="76"/>
  <c r="N21" i="76"/>
  <c r="L16" i="76"/>
  <c r="AU16" i="76" s="1"/>
  <c r="AU16" i="77" s="1"/>
  <c r="AU16" i="78" s="1"/>
  <c r="AU16" i="79" s="1"/>
  <c r="AU16" i="80" s="1"/>
  <c r="AU16" i="81" s="1"/>
  <c r="AU16" i="82" s="1"/>
  <c r="AU16" i="83" s="1"/>
  <c r="AU16" i="84" s="1"/>
  <c r="AU16" i="85" s="1"/>
  <c r="N16" i="76"/>
  <c r="AW16" i="76" s="1"/>
  <c r="U16" i="76"/>
  <c r="K16" i="76"/>
  <c r="AT16" i="76" s="1"/>
  <c r="AT16" i="77" s="1"/>
  <c r="O16" i="76"/>
  <c r="AX16" i="76" s="1"/>
  <c r="AX16" i="77" s="1"/>
  <c r="L22" i="76"/>
  <c r="K22" i="76"/>
  <c r="N22" i="76"/>
  <c r="O22" i="76"/>
  <c r="U22" i="76"/>
  <c r="L25" i="76"/>
  <c r="N25" i="76"/>
  <c r="U25" i="76"/>
  <c r="K25" i="76"/>
  <c r="O25" i="76"/>
  <c r="AB15" i="76"/>
  <c r="BD15" i="76" s="1"/>
  <c r="AG15" i="76"/>
  <c r="BI15" i="76" s="1"/>
  <c r="AA15" i="76"/>
  <c r="BC15" i="76" s="1"/>
  <c r="AE15" i="76"/>
  <c r="BG15" i="76" s="1"/>
  <c r="AC15" i="76"/>
  <c r="BE15" i="76" s="1"/>
  <c r="Y15" i="76"/>
  <c r="X15" i="76"/>
  <c r="AD15" i="76"/>
  <c r="BF15" i="76" s="1"/>
  <c r="Q12" i="76"/>
  <c r="Q26" i="76"/>
  <c r="U13" i="76"/>
  <c r="O13" i="76"/>
  <c r="AX13" i="76" s="1"/>
  <c r="AX13" i="77" s="1"/>
  <c r="K13" i="76"/>
  <c r="AT13" i="76" s="1"/>
  <c r="N13" i="76"/>
  <c r="AW13" i="76" s="1"/>
  <c r="L13" i="76"/>
  <c r="AU13" i="76" s="1"/>
  <c r="AU13" i="77" s="1"/>
  <c r="L17" i="76"/>
  <c r="AU17" i="76" s="1"/>
  <c r="AU17" i="77" s="1"/>
  <c r="AU17" i="78" s="1"/>
  <c r="AU17" i="79" s="1"/>
  <c r="AU17" i="80" s="1"/>
  <c r="AU17" i="81" s="1"/>
  <c r="AU17" i="82" s="1"/>
  <c r="AU17" i="83" s="1"/>
  <c r="AU17" i="84" s="1"/>
  <c r="AU17" i="85" s="1"/>
  <c r="AU17" i="86" s="1"/>
  <c r="AU17" i="87" s="1"/>
  <c r="N17" i="76"/>
  <c r="AW17" i="76" s="1"/>
  <c r="U17" i="76"/>
  <c r="K17" i="76"/>
  <c r="AT17" i="76" s="1"/>
  <c r="AT17" i="77" s="1"/>
  <c r="O17" i="76"/>
  <c r="AX17" i="76" s="1"/>
  <c r="U20" i="76"/>
  <c r="O20" i="76"/>
  <c r="K20" i="76"/>
  <c r="N20" i="76"/>
  <c r="L20" i="76"/>
  <c r="AA12" i="76"/>
  <c r="BC12" i="76" s="1"/>
  <c r="AD12" i="76"/>
  <c r="BF12" i="76" s="1"/>
  <c r="AG12" i="76"/>
  <c r="BI12" i="76" s="1"/>
  <c r="X12" i="76"/>
  <c r="U14" i="76"/>
  <c r="O14" i="76"/>
  <c r="AX14" i="76" s="1"/>
  <c r="AX14" i="77" s="1"/>
  <c r="K14" i="76"/>
  <c r="AT14" i="76" s="1"/>
  <c r="AT14" i="77" s="1"/>
  <c r="N14" i="76"/>
  <c r="AW14" i="76" s="1"/>
  <c r="AW14" i="77" s="1"/>
  <c r="AW14" i="78" s="1"/>
  <c r="AW14" i="79" s="1"/>
  <c r="AW14" i="80" s="1"/>
  <c r="AW14" i="81" s="1"/>
  <c r="AW14" i="82" s="1"/>
  <c r="AW14" i="83" s="1"/>
  <c r="AW14" i="84" s="1"/>
  <c r="AW14" i="85" s="1"/>
  <c r="AW14" i="86" s="1"/>
  <c r="AW14" i="87" s="1"/>
  <c r="L14" i="76"/>
  <c r="AU14" i="76" s="1"/>
  <c r="U18" i="76"/>
  <c r="O18" i="76"/>
  <c r="K18" i="76"/>
  <c r="N18" i="76"/>
  <c r="L18" i="76"/>
  <c r="AE26" i="76"/>
  <c r="AA26" i="76"/>
  <c r="AD26" i="76"/>
  <c r="Y26" i="76"/>
  <c r="X26" i="76"/>
  <c r="AG26" i="76"/>
  <c r="AC26" i="76"/>
  <c r="AB26" i="76"/>
  <c r="U19" i="76"/>
  <c r="O19" i="76"/>
  <c r="K19" i="76"/>
  <c r="L19" i="76"/>
  <c r="N19" i="76"/>
  <c r="L27" i="76"/>
  <c r="O27" i="76"/>
  <c r="N27" i="76"/>
  <c r="U27" i="76"/>
  <c r="K27" i="76"/>
  <c r="L23" i="76"/>
  <c r="N23" i="76"/>
  <c r="O23" i="76"/>
  <c r="U23" i="76"/>
  <c r="K23" i="76"/>
  <c r="AV15" i="76"/>
  <c r="M15" i="76"/>
  <c r="I31" i="76"/>
  <c r="I42" i="76" s="1"/>
  <c r="AZ15" i="76"/>
  <c r="Q15" i="76"/>
  <c r="AB28" i="75"/>
  <c r="Y28" i="75"/>
  <c r="AC28" i="75"/>
  <c r="AD28" i="75"/>
  <c r="X28" i="75"/>
  <c r="AG28" i="75"/>
  <c r="AL31" i="75"/>
  <c r="BI38" i="75"/>
  <c r="AO51" i="75"/>
  <c r="Q28" i="75"/>
  <c r="M28" i="75"/>
  <c r="AH42" i="75"/>
  <c r="H31" i="75"/>
  <c r="I25" i="75" s="1"/>
  <c r="N25" i="75" s="1"/>
  <c r="AN34" i="75"/>
  <c r="AN52" i="75" s="1"/>
  <c r="G42" i="75"/>
  <c r="AR38" i="75"/>
  <c r="H38" i="75"/>
  <c r="AY38" i="75"/>
  <c r="P38" i="75"/>
  <c r="P42" i="75" s="1"/>
  <c r="AM51" i="75"/>
  <c r="BJ38" i="75"/>
  <c r="AA28" i="75"/>
  <c r="S24" i="79" l="1"/>
  <c r="BG12" i="79"/>
  <c r="AX13" i="78"/>
  <c r="AZ13" i="77"/>
  <c r="AW12" i="78"/>
  <c r="AW31" i="77"/>
  <c r="AX14" i="78"/>
  <c r="AZ14" i="77"/>
  <c r="AT17" i="78"/>
  <c r="AV17" i="77"/>
  <c r="AT16" i="78"/>
  <c r="AV16" i="77"/>
  <c r="AT12" i="79"/>
  <c r="AU16" i="86"/>
  <c r="AU16" i="87" s="1"/>
  <c r="AU13" i="78"/>
  <c r="AU13" i="79" s="1"/>
  <c r="AU13" i="80" s="1"/>
  <c r="AU13" i="81" s="1"/>
  <c r="AU13" i="82" s="1"/>
  <c r="AU13" i="83" s="1"/>
  <c r="AU13" i="84" s="1"/>
  <c r="AU13" i="85" s="1"/>
  <c r="AU13" i="86" s="1"/>
  <c r="AU13" i="87" s="1"/>
  <c r="AV13" i="77"/>
  <c r="AU12" i="78"/>
  <c r="AU31" i="77"/>
  <c r="AT14" i="78"/>
  <c r="AV14" i="77"/>
  <c r="AX16" i="78"/>
  <c r="AZ16" i="77"/>
  <c r="R28" i="75"/>
  <c r="BI15" i="77"/>
  <c r="BI15" i="78" s="1"/>
  <c r="AY12" i="82"/>
  <c r="AY31" i="81"/>
  <c r="AX17" i="79"/>
  <c r="AZ17" i="78"/>
  <c r="BF16" i="77"/>
  <c r="BF16" i="78" s="1"/>
  <c r="BF16" i="79" s="1"/>
  <c r="BF16" i="80" s="1"/>
  <c r="BF16" i="81" s="1"/>
  <c r="BF16" i="82" s="1"/>
  <c r="BF16" i="83" s="1"/>
  <c r="BF16" i="84" s="1"/>
  <c r="BF16" i="85" s="1"/>
  <c r="BF16" i="86" s="1"/>
  <c r="BF16" i="87" s="1"/>
  <c r="BF15" i="77"/>
  <c r="BF15" i="78" s="1"/>
  <c r="BF15" i="79" s="1"/>
  <c r="BF15" i="80" s="1"/>
  <c r="BF15" i="81" s="1"/>
  <c r="BF15" i="82" s="1"/>
  <c r="BF15" i="83" s="1"/>
  <c r="BF15" i="84" s="1"/>
  <c r="BF15" i="85" s="1"/>
  <c r="BF15" i="86" s="1"/>
  <c r="BF15" i="87" s="1"/>
  <c r="BC15" i="77"/>
  <c r="BC15" i="78" s="1"/>
  <c r="BC15" i="79" s="1"/>
  <c r="BC15" i="80" s="1"/>
  <c r="BC15" i="81" s="1"/>
  <c r="BC15" i="82" s="1"/>
  <c r="BC15" i="83" s="1"/>
  <c r="BC15" i="84" s="1"/>
  <c r="BC15" i="85" s="1"/>
  <c r="BC15" i="86" s="1"/>
  <c r="BC15" i="87" s="1"/>
  <c r="AX12" i="79"/>
  <c r="AZ12" i="78"/>
  <c r="Y12" i="76"/>
  <c r="BG15" i="77"/>
  <c r="BG15" i="78" s="1"/>
  <c r="BG15" i="79" s="1"/>
  <c r="BG15" i="80" s="1"/>
  <c r="BG15" i="81" s="1"/>
  <c r="BG15" i="82" s="1"/>
  <c r="BG15" i="83" s="1"/>
  <c r="BG15" i="84" s="1"/>
  <c r="BG15" i="85" s="1"/>
  <c r="BG15" i="86" s="1"/>
  <c r="BG15" i="87" s="1"/>
  <c r="BI12" i="77"/>
  <c r="BI12" i="78" s="1"/>
  <c r="BJ41" i="81"/>
  <c r="BJ40" i="80"/>
  <c r="BJ42" i="80" s="1"/>
  <c r="AR41" i="81"/>
  <c r="AR40" i="80"/>
  <c r="AR42" i="80" s="1"/>
  <c r="S24" i="80"/>
  <c r="AN24" i="80" s="1"/>
  <c r="AS24" i="80" s="1"/>
  <c r="BF12" i="77"/>
  <c r="BF12" i="78" s="1"/>
  <c r="AN24" i="81"/>
  <c r="AS24" i="81" s="1"/>
  <c r="BJ12" i="82"/>
  <c r="BJ31" i="81"/>
  <c r="AR12" i="82"/>
  <c r="AR31" i="81"/>
  <c r="AT13" i="79"/>
  <c r="AV13" i="78"/>
  <c r="AC12" i="76"/>
  <c r="BE12" i="76" s="1"/>
  <c r="BE12" i="77" s="1"/>
  <c r="BC12" i="77"/>
  <c r="BC12" i="78" s="1"/>
  <c r="Z21" i="77"/>
  <c r="AF21" i="77" s="1"/>
  <c r="Z22" i="77"/>
  <c r="BF17" i="77"/>
  <c r="BF17" i="78" s="1"/>
  <c r="BF17" i="79" s="1"/>
  <c r="BF17" i="80" s="1"/>
  <c r="BF17" i="81" s="1"/>
  <c r="BF17" i="82" s="1"/>
  <c r="BF17" i="83" s="1"/>
  <c r="BF17" i="84" s="1"/>
  <c r="BF17" i="85" s="1"/>
  <c r="BF17" i="86" s="1"/>
  <c r="BF17" i="87" s="1"/>
  <c r="AX15" i="79"/>
  <c r="AZ15" i="78"/>
  <c r="AT15" i="79"/>
  <c r="AV15" i="78"/>
  <c r="AY41" i="81"/>
  <c r="AY40" i="80"/>
  <c r="AY42" i="80" s="1"/>
  <c r="AN14" i="81"/>
  <c r="AS14" i="81" s="1"/>
  <c r="AJ42" i="81"/>
  <c r="AN28" i="81"/>
  <c r="AS28" i="81" s="1"/>
  <c r="AM38" i="81"/>
  <c r="AM42" i="81" s="1"/>
  <c r="AN19" i="81"/>
  <c r="AS19" i="81" s="1"/>
  <c r="AN25" i="81"/>
  <c r="AS25" i="81" s="1"/>
  <c r="AN22" i="81"/>
  <c r="AS22" i="81" s="1"/>
  <c r="AN20" i="81"/>
  <c r="AS20" i="81" s="1"/>
  <c r="AN23" i="81"/>
  <c r="AS23" i="81" s="1"/>
  <c r="AN18" i="81"/>
  <c r="AS18" i="81" s="1"/>
  <c r="AN27" i="81"/>
  <c r="AS27" i="81" s="1"/>
  <c r="AN15" i="81"/>
  <c r="AS15" i="81" s="1"/>
  <c r="AN26" i="81"/>
  <c r="AS26" i="81" s="1"/>
  <c r="S38" i="81"/>
  <c r="S42" i="81" s="1"/>
  <c r="AN12" i="81"/>
  <c r="AN13" i="81"/>
  <c r="AS13" i="81" s="1"/>
  <c r="AM34" i="81"/>
  <c r="AM52" i="81" s="1"/>
  <c r="AN21" i="81"/>
  <c r="AS21" i="81" s="1"/>
  <c r="AN16" i="81"/>
  <c r="AS16" i="81" s="1"/>
  <c r="AN17" i="81"/>
  <c r="AS17" i="81" s="1"/>
  <c r="S22" i="80"/>
  <c r="AN22" i="80" s="1"/>
  <c r="AS22" i="80" s="1"/>
  <c r="S25" i="80"/>
  <c r="AN25" i="80" s="1"/>
  <c r="AS25" i="80" s="1"/>
  <c r="S21" i="80"/>
  <c r="AN21" i="80" s="1"/>
  <c r="AS21" i="80" s="1"/>
  <c r="S27" i="80"/>
  <c r="AN27" i="80" s="1"/>
  <c r="AS27" i="80" s="1"/>
  <c r="S16" i="80"/>
  <c r="AN16" i="80" s="1"/>
  <c r="AS16" i="80" s="1"/>
  <c r="S14" i="80"/>
  <c r="AN14" i="80" s="1"/>
  <c r="AS14" i="80" s="1"/>
  <c r="S34" i="80"/>
  <c r="S18" i="80"/>
  <c r="AN18" i="80" s="1"/>
  <c r="AS18" i="80" s="1"/>
  <c r="S20" i="80"/>
  <c r="AN20" i="80" s="1"/>
  <c r="AS20" i="80" s="1"/>
  <c r="S15" i="80"/>
  <c r="AN15" i="80" s="1"/>
  <c r="AS15" i="80" s="1"/>
  <c r="S13" i="80"/>
  <c r="S12" i="80"/>
  <c r="AN12" i="80" s="1"/>
  <c r="S19" i="80"/>
  <c r="AN19" i="80" s="1"/>
  <c r="AS19" i="80" s="1"/>
  <c r="S17" i="80"/>
  <c r="AN17" i="80" s="1"/>
  <c r="AS17" i="80" s="1"/>
  <c r="AN26" i="80"/>
  <c r="AS26" i="80" s="1"/>
  <c r="S23" i="80"/>
  <c r="AN23" i="80" s="1"/>
  <c r="AS23" i="80" s="1"/>
  <c r="AM34" i="80"/>
  <c r="AM52" i="80" s="1"/>
  <c r="BH38" i="80"/>
  <c r="AJ38" i="80"/>
  <c r="AJ42" i="80" s="1"/>
  <c r="AF42" i="80"/>
  <c r="AN28" i="80"/>
  <c r="AS28" i="80" s="1"/>
  <c r="AM38" i="80"/>
  <c r="AM42" i="80" s="1"/>
  <c r="Z42" i="79"/>
  <c r="AF31" i="79"/>
  <c r="BH38" i="79" s="1"/>
  <c r="S25" i="79"/>
  <c r="S23" i="79"/>
  <c r="S34" i="79"/>
  <c r="S17" i="79"/>
  <c r="S26" i="79"/>
  <c r="S16" i="79"/>
  <c r="S18" i="79"/>
  <c r="S13" i="79"/>
  <c r="S27" i="79"/>
  <c r="S20" i="79"/>
  <c r="AJ31" i="79"/>
  <c r="T38" i="80" s="1"/>
  <c r="T42" i="80" s="1"/>
  <c r="AM12" i="79"/>
  <c r="AM31" i="79" s="1"/>
  <c r="S22" i="79"/>
  <c r="S21" i="79"/>
  <c r="S19" i="79"/>
  <c r="S14" i="79"/>
  <c r="S12" i="79"/>
  <c r="AF19" i="78"/>
  <c r="AJ19" i="78" s="1"/>
  <c r="AM19" i="78" s="1"/>
  <c r="AF15" i="78"/>
  <c r="AJ15" i="78" s="1"/>
  <c r="AM15" i="78" s="1"/>
  <c r="AF13" i="78"/>
  <c r="AJ13" i="78" s="1"/>
  <c r="AM13" i="78" s="1"/>
  <c r="AG42" i="78"/>
  <c r="AJ21" i="78"/>
  <c r="AM21" i="78" s="1"/>
  <c r="AI31" i="78"/>
  <c r="BK38" i="78" s="1"/>
  <c r="Z31" i="78"/>
  <c r="AF38" i="78" s="1"/>
  <c r="Z38" i="78"/>
  <c r="AF12" i="78"/>
  <c r="AJ12" i="78" s="1"/>
  <c r="AM12" i="78" s="1"/>
  <c r="M42" i="78"/>
  <c r="Q42" i="78"/>
  <c r="AJ14" i="78"/>
  <c r="AM14" i="78" s="1"/>
  <c r="AF18" i="78"/>
  <c r="AJ18" i="78" s="1"/>
  <c r="AM18" i="78" s="1"/>
  <c r="AI42" i="78"/>
  <c r="R38" i="78"/>
  <c r="R31" i="78"/>
  <c r="Z17" i="77"/>
  <c r="AF17" i="77" s="1"/>
  <c r="Z16" i="77"/>
  <c r="Z13" i="77"/>
  <c r="AF13" i="77" s="1"/>
  <c r="R15" i="77"/>
  <c r="R13" i="77"/>
  <c r="R26" i="77"/>
  <c r="R14" i="77"/>
  <c r="Z14" i="77"/>
  <c r="AC38" i="77"/>
  <c r="AC42" i="77" s="1"/>
  <c r="AE38" i="77"/>
  <c r="AE42" i="77" s="1"/>
  <c r="AX31" i="77"/>
  <c r="AZ12" i="77"/>
  <c r="AV12" i="77"/>
  <c r="AI13" i="77"/>
  <c r="Z19" i="77"/>
  <c r="R24" i="77"/>
  <c r="Z15" i="77"/>
  <c r="AI15" i="77"/>
  <c r="AG38" i="77"/>
  <c r="AI12" i="77"/>
  <c r="AB38" i="77"/>
  <c r="AB42" i="77" s="1"/>
  <c r="Z24" i="77"/>
  <c r="AF25" i="77"/>
  <c r="AJ25" i="77" s="1"/>
  <c r="AM25" i="77" s="1"/>
  <c r="Z27" i="77"/>
  <c r="AI27" i="77"/>
  <c r="Q31" i="77"/>
  <c r="AF23" i="77"/>
  <c r="R17" i="77"/>
  <c r="AI22" i="77"/>
  <c r="Z18" i="77"/>
  <c r="AI19" i="77"/>
  <c r="Z26" i="77"/>
  <c r="AI26" i="77"/>
  <c r="R21" i="77"/>
  <c r="R22" i="77"/>
  <c r="AI16" i="77"/>
  <c r="X38" i="77"/>
  <c r="X42" i="77" s="1"/>
  <c r="Z12" i="77"/>
  <c r="AD38" i="77"/>
  <c r="AD42" i="77" s="1"/>
  <c r="AI24" i="77"/>
  <c r="AI21" i="77"/>
  <c r="AI18" i="77"/>
  <c r="Z20" i="77"/>
  <c r="AI14" i="77"/>
  <c r="Y38" i="77"/>
  <c r="Y42" i="77" s="1"/>
  <c r="AA38" i="77"/>
  <c r="AA42" i="77" s="1"/>
  <c r="AI23" i="77"/>
  <c r="AF22" i="77"/>
  <c r="R16" i="77"/>
  <c r="M31" i="77"/>
  <c r="R12" i="77"/>
  <c r="AI20" i="77"/>
  <c r="R27" i="77"/>
  <c r="R23" i="77"/>
  <c r="AI17" i="77"/>
  <c r="R18" i="77"/>
  <c r="M12" i="76"/>
  <c r="R12" i="76" s="1"/>
  <c r="AI26" i="76"/>
  <c r="AC24" i="76"/>
  <c r="X24" i="76"/>
  <c r="AE24" i="76"/>
  <c r="AD24" i="76"/>
  <c r="AB12" i="76"/>
  <c r="BD12" i="76" s="1"/>
  <c r="BD12" i="77" s="1"/>
  <c r="Z26" i="76"/>
  <c r="N38" i="76"/>
  <c r="N42" i="76" s="1"/>
  <c r="AV12" i="76"/>
  <c r="K38" i="76"/>
  <c r="K42" i="76" s="1"/>
  <c r="U31" i="76"/>
  <c r="U42" i="76" s="1"/>
  <c r="O38" i="76"/>
  <c r="O42" i="76" s="1"/>
  <c r="Q23" i="76"/>
  <c r="AB27" i="76"/>
  <c r="X27" i="76"/>
  <c r="AG27" i="76"/>
  <c r="AC27" i="76"/>
  <c r="Y27" i="76"/>
  <c r="AA27" i="76"/>
  <c r="AE27" i="76"/>
  <c r="AD27" i="76"/>
  <c r="AE19" i="76"/>
  <c r="AA19" i="76"/>
  <c r="AD19" i="76"/>
  <c r="Y19" i="76"/>
  <c r="AC19" i="76"/>
  <c r="AB19" i="76"/>
  <c r="X19" i="76"/>
  <c r="AG19" i="76"/>
  <c r="AW31" i="76"/>
  <c r="AE18" i="76"/>
  <c r="AA18" i="76"/>
  <c r="AG18" i="76"/>
  <c r="AB18" i="76"/>
  <c r="AC18" i="76"/>
  <c r="X18" i="76"/>
  <c r="AD18" i="76"/>
  <c r="Y18" i="76"/>
  <c r="AZ14" i="76"/>
  <c r="Q14" i="76"/>
  <c r="AI12" i="76"/>
  <c r="L38" i="76"/>
  <c r="L42" i="76" s="1"/>
  <c r="Q20" i="76"/>
  <c r="AB17" i="76"/>
  <c r="BD17" i="76" s="1"/>
  <c r="BD17" i="77" s="1"/>
  <c r="BD17" i="78" s="1"/>
  <c r="BD17" i="79" s="1"/>
  <c r="BD17" i="80" s="1"/>
  <c r="BD17" i="81" s="1"/>
  <c r="BD17" i="82" s="1"/>
  <c r="BD17" i="83" s="1"/>
  <c r="BD17" i="84" s="1"/>
  <c r="BD17" i="85" s="1"/>
  <c r="BD17" i="86" s="1"/>
  <c r="BD17" i="87" s="1"/>
  <c r="X17" i="76"/>
  <c r="AG17" i="76"/>
  <c r="BI17" i="76" s="1"/>
  <c r="BI17" i="77" s="1"/>
  <c r="AC17" i="76"/>
  <c r="BE17" i="76" s="1"/>
  <c r="BE17" i="77" s="1"/>
  <c r="BE17" i="78" s="1"/>
  <c r="BE17" i="79" s="1"/>
  <c r="BE17" i="80" s="1"/>
  <c r="BE17" i="81" s="1"/>
  <c r="BE17" i="82" s="1"/>
  <c r="BE17" i="83" s="1"/>
  <c r="BE17" i="84" s="1"/>
  <c r="BE17" i="85" s="1"/>
  <c r="BE17" i="86" s="1"/>
  <c r="BE17" i="87" s="1"/>
  <c r="Y17" i="76"/>
  <c r="AA17" i="76"/>
  <c r="BC17" i="76" s="1"/>
  <c r="BC17" i="77" s="1"/>
  <c r="BC17" i="78" s="1"/>
  <c r="BC17" i="79" s="1"/>
  <c r="BC17" i="80" s="1"/>
  <c r="BC17" i="81" s="1"/>
  <c r="BC17" i="82" s="1"/>
  <c r="BC17" i="83" s="1"/>
  <c r="BC17" i="84" s="1"/>
  <c r="BC17" i="85" s="1"/>
  <c r="BC17" i="86" s="1"/>
  <c r="BC17" i="87" s="1"/>
  <c r="AE17" i="76"/>
  <c r="BG17" i="76" s="1"/>
  <c r="BG17" i="77" s="1"/>
  <c r="BG17" i="78" s="1"/>
  <c r="BG17" i="79" s="1"/>
  <c r="BG17" i="80" s="1"/>
  <c r="BG17" i="81" s="1"/>
  <c r="BG17" i="82" s="1"/>
  <c r="BG17" i="83" s="1"/>
  <c r="BG17" i="84" s="1"/>
  <c r="BG17" i="85" s="1"/>
  <c r="BG17" i="86" s="1"/>
  <c r="BG17" i="87" s="1"/>
  <c r="AD17" i="76"/>
  <c r="BF17" i="76" s="1"/>
  <c r="AV16" i="76"/>
  <c r="M16" i="76"/>
  <c r="AE21" i="76"/>
  <c r="AA21" i="76"/>
  <c r="AD21" i="76"/>
  <c r="Y21" i="76"/>
  <c r="X21" i="76"/>
  <c r="AG21" i="76"/>
  <c r="AC21" i="76"/>
  <c r="AB21" i="76"/>
  <c r="M24" i="76"/>
  <c r="M23" i="76"/>
  <c r="Q27" i="76"/>
  <c r="M19" i="76"/>
  <c r="AE14" i="76"/>
  <c r="BG14" i="76" s="1"/>
  <c r="BG14" i="77" s="1"/>
  <c r="BG14" i="78" s="1"/>
  <c r="BG14" i="79" s="1"/>
  <c r="BG14" i="80" s="1"/>
  <c r="BG14" i="81" s="1"/>
  <c r="BG14" i="82" s="1"/>
  <c r="BG14" i="83" s="1"/>
  <c r="BG14" i="84" s="1"/>
  <c r="BG14" i="85" s="1"/>
  <c r="BG14" i="86" s="1"/>
  <c r="BG14" i="87" s="1"/>
  <c r="AA14" i="76"/>
  <c r="BC14" i="76" s="1"/>
  <c r="BC14" i="77" s="1"/>
  <c r="BC14" i="78" s="1"/>
  <c r="BC14" i="79" s="1"/>
  <c r="BC14" i="80" s="1"/>
  <c r="BC14" i="81" s="1"/>
  <c r="BC14" i="82" s="1"/>
  <c r="BC14" i="83" s="1"/>
  <c r="BC14" i="84" s="1"/>
  <c r="BC14" i="85" s="1"/>
  <c r="BC14" i="86" s="1"/>
  <c r="BC14" i="87" s="1"/>
  <c r="AD14" i="76"/>
  <c r="BF14" i="76" s="1"/>
  <c r="BF14" i="77" s="1"/>
  <c r="BF14" i="78" s="1"/>
  <c r="BF14" i="79" s="1"/>
  <c r="BF14" i="80" s="1"/>
  <c r="BF14" i="81" s="1"/>
  <c r="BF14" i="82" s="1"/>
  <c r="BF14" i="83" s="1"/>
  <c r="BF14" i="84" s="1"/>
  <c r="BF14" i="85" s="1"/>
  <c r="BF14" i="86" s="1"/>
  <c r="BF14" i="87" s="1"/>
  <c r="AC14" i="76"/>
  <c r="BE14" i="76" s="1"/>
  <c r="BE14" i="77" s="1"/>
  <c r="BE14" i="78" s="1"/>
  <c r="BE14" i="79" s="1"/>
  <c r="BE14" i="80" s="1"/>
  <c r="BE14" i="81" s="1"/>
  <c r="BE14" i="82" s="1"/>
  <c r="BE14" i="83" s="1"/>
  <c r="BE14" i="84" s="1"/>
  <c r="BE14" i="85" s="1"/>
  <c r="BE14" i="86" s="1"/>
  <c r="BE14" i="87" s="1"/>
  <c r="AB14" i="76"/>
  <c r="BD14" i="76" s="1"/>
  <c r="BD14" i="77" s="1"/>
  <c r="BD14" i="78" s="1"/>
  <c r="BD14" i="79" s="1"/>
  <c r="BD14" i="80" s="1"/>
  <c r="BD14" i="81" s="1"/>
  <c r="BD14" i="82" s="1"/>
  <c r="BD14" i="83" s="1"/>
  <c r="BD14" i="84" s="1"/>
  <c r="BD14" i="85" s="1"/>
  <c r="BD14" i="86" s="1"/>
  <c r="BD14" i="87" s="1"/>
  <c r="AG14" i="76"/>
  <c r="BI14" i="76" s="1"/>
  <c r="BI14" i="77" s="1"/>
  <c r="Y14" i="76"/>
  <c r="X14" i="76"/>
  <c r="AE20" i="76"/>
  <c r="AA20" i="76"/>
  <c r="AG20" i="76"/>
  <c r="AB20" i="76"/>
  <c r="AC20" i="76"/>
  <c r="X20" i="76"/>
  <c r="Y20" i="76"/>
  <c r="AD20" i="76"/>
  <c r="AV13" i="76"/>
  <c r="M13" i="76"/>
  <c r="Q25" i="76"/>
  <c r="M22" i="76"/>
  <c r="AB16" i="76"/>
  <c r="BD16" i="76" s="1"/>
  <c r="BD16" i="77" s="1"/>
  <c r="BD16" i="78" s="1"/>
  <c r="BD16" i="79" s="1"/>
  <c r="BD16" i="80" s="1"/>
  <c r="BD16" i="81" s="1"/>
  <c r="BD16" i="82" s="1"/>
  <c r="BD16" i="83" s="1"/>
  <c r="BD16" i="84" s="1"/>
  <c r="BD16" i="85" s="1"/>
  <c r="BD16" i="86" s="1"/>
  <c r="BD16" i="87" s="1"/>
  <c r="X16" i="76"/>
  <c r="AG16" i="76"/>
  <c r="BI16" i="76" s="1"/>
  <c r="BI16" i="77" s="1"/>
  <c r="AC16" i="76"/>
  <c r="BE16" i="76" s="1"/>
  <c r="BE16" i="77" s="1"/>
  <c r="BE16" i="78" s="1"/>
  <c r="BE16" i="79" s="1"/>
  <c r="BE16" i="80" s="1"/>
  <c r="BE16" i="81" s="1"/>
  <c r="BE16" i="82" s="1"/>
  <c r="BE16" i="83" s="1"/>
  <c r="BE16" i="84" s="1"/>
  <c r="BE16" i="85" s="1"/>
  <c r="BE16" i="86" s="1"/>
  <c r="BE16" i="87" s="1"/>
  <c r="Y16" i="76"/>
  <c r="AE16" i="76"/>
  <c r="BG16" i="76" s="1"/>
  <c r="BG16" i="77" s="1"/>
  <c r="BG16" i="78" s="1"/>
  <c r="BG16" i="79" s="1"/>
  <c r="BG16" i="80" s="1"/>
  <c r="BG16" i="81" s="1"/>
  <c r="BG16" i="82" s="1"/>
  <c r="BG16" i="83" s="1"/>
  <c r="BG16" i="84" s="1"/>
  <c r="BG16" i="85" s="1"/>
  <c r="BG16" i="86" s="1"/>
  <c r="BG16" i="87" s="1"/>
  <c r="AA16" i="76"/>
  <c r="BC16" i="76" s="1"/>
  <c r="BC16" i="77" s="1"/>
  <c r="BC16" i="78" s="1"/>
  <c r="BC16" i="79" s="1"/>
  <c r="BC16" i="80" s="1"/>
  <c r="BC16" i="81" s="1"/>
  <c r="BC16" i="82" s="1"/>
  <c r="BC16" i="83" s="1"/>
  <c r="BC16" i="84" s="1"/>
  <c r="BC16" i="85" s="1"/>
  <c r="BC16" i="86" s="1"/>
  <c r="BC16" i="87" s="1"/>
  <c r="AD16" i="76"/>
  <c r="BF16" i="76" s="1"/>
  <c r="R26" i="76"/>
  <c r="AB24" i="76"/>
  <c r="AG24" i="76"/>
  <c r="Y24" i="76"/>
  <c r="AA24" i="76"/>
  <c r="R15" i="76"/>
  <c r="AB23" i="76"/>
  <c r="X23" i="76"/>
  <c r="AG23" i="76"/>
  <c r="AC23" i="76"/>
  <c r="Y23" i="76"/>
  <c r="AD23" i="76"/>
  <c r="AE23" i="76"/>
  <c r="AA23" i="76"/>
  <c r="M27" i="76"/>
  <c r="Q19" i="76"/>
  <c r="M18" i="76"/>
  <c r="Z12" i="76"/>
  <c r="BB12" i="76" s="1"/>
  <c r="AZ17" i="76"/>
  <c r="Q17" i="76"/>
  <c r="AZ13" i="76"/>
  <c r="Q13" i="76"/>
  <c r="Z15" i="76"/>
  <c r="BB15" i="76" s="1"/>
  <c r="M25" i="76"/>
  <c r="AB22" i="76"/>
  <c r="X22" i="76"/>
  <c r="AE22" i="76"/>
  <c r="AG22" i="76"/>
  <c r="Y22" i="76"/>
  <c r="AA22" i="76"/>
  <c r="AD22" i="76"/>
  <c r="AC22" i="76"/>
  <c r="M21" i="76"/>
  <c r="Q18" i="76"/>
  <c r="AV14" i="76"/>
  <c r="M14" i="76"/>
  <c r="AU31" i="76"/>
  <c r="M20" i="76"/>
  <c r="AV17" i="76"/>
  <c r="M17" i="76"/>
  <c r="AE13" i="76"/>
  <c r="BG13" i="76" s="1"/>
  <c r="BG13" i="77" s="1"/>
  <c r="AA13" i="76"/>
  <c r="BC13" i="76" s="1"/>
  <c r="BC13" i="77" s="1"/>
  <c r="AD13" i="76"/>
  <c r="BF13" i="76" s="1"/>
  <c r="BF13" i="77" s="1"/>
  <c r="BF13" i="78" s="1"/>
  <c r="BF13" i="79" s="1"/>
  <c r="BF13" i="80" s="1"/>
  <c r="BF13" i="81" s="1"/>
  <c r="BF13" i="82" s="1"/>
  <c r="BF13" i="83" s="1"/>
  <c r="BF13" i="84" s="1"/>
  <c r="BF13" i="85" s="1"/>
  <c r="BF13" i="86" s="1"/>
  <c r="BF13" i="87" s="1"/>
  <c r="AG13" i="76"/>
  <c r="BI13" i="76" s="1"/>
  <c r="BI13" i="77" s="1"/>
  <c r="AC13" i="76"/>
  <c r="BE13" i="76" s="1"/>
  <c r="BE13" i="77" s="1"/>
  <c r="BE13" i="78" s="1"/>
  <c r="BE13" i="79" s="1"/>
  <c r="BE13" i="80" s="1"/>
  <c r="BE13" i="81" s="1"/>
  <c r="BE13" i="82" s="1"/>
  <c r="BE13" i="83" s="1"/>
  <c r="BE13" i="84" s="1"/>
  <c r="BE13" i="85" s="1"/>
  <c r="BE13" i="86" s="1"/>
  <c r="BE13" i="87" s="1"/>
  <c r="AB13" i="76"/>
  <c r="BD13" i="76" s="1"/>
  <c r="BD13" i="77" s="1"/>
  <c r="BD13" i="78" s="1"/>
  <c r="BD13" i="79" s="1"/>
  <c r="BD13" i="80" s="1"/>
  <c r="BD13" i="81" s="1"/>
  <c r="BD13" i="82" s="1"/>
  <c r="BD13" i="83" s="1"/>
  <c r="BD13" i="84" s="1"/>
  <c r="BD13" i="85" s="1"/>
  <c r="BD13" i="86" s="1"/>
  <c r="BD13" i="87" s="1"/>
  <c r="Y13" i="76"/>
  <c r="X13" i="76"/>
  <c r="AZ12" i="76"/>
  <c r="AI15" i="76"/>
  <c r="BK15" i="76"/>
  <c r="AB25" i="76"/>
  <c r="X25" i="76"/>
  <c r="AG25" i="76"/>
  <c r="AC25" i="76"/>
  <c r="Y25" i="76"/>
  <c r="AA25" i="76"/>
  <c r="AD25" i="76"/>
  <c r="AE25" i="76"/>
  <c r="Q22" i="76"/>
  <c r="AZ16" i="76"/>
  <c r="Q16" i="76"/>
  <c r="Q21" i="76"/>
  <c r="Q24" i="76"/>
  <c r="Z28" i="75"/>
  <c r="AI28" i="75"/>
  <c r="H42" i="75"/>
  <c r="I16" i="75"/>
  <c r="O16" i="75" s="1"/>
  <c r="I22" i="75"/>
  <c r="L22" i="75" s="1"/>
  <c r="I27" i="75"/>
  <c r="K27" i="75" s="1"/>
  <c r="U25" i="75"/>
  <c r="AB25" i="75" s="1"/>
  <c r="I14" i="75"/>
  <c r="L14" i="75" s="1"/>
  <c r="I24" i="75"/>
  <c r="K24" i="75" s="1"/>
  <c r="I19" i="75"/>
  <c r="O19" i="75" s="1"/>
  <c r="I13" i="75"/>
  <c r="N13" i="75" s="1"/>
  <c r="K25" i="75"/>
  <c r="I15" i="75"/>
  <c r="U15" i="75" s="1"/>
  <c r="AC15" i="75" s="1"/>
  <c r="I23" i="75"/>
  <c r="K23" i="75" s="1"/>
  <c r="I12" i="75"/>
  <c r="N12" i="75" s="1"/>
  <c r="I26" i="75"/>
  <c r="U26" i="75" s="1"/>
  <c r="I17" i="75"/>
  <c r="U17" i="75" s="1"/>
  <c r="O25" i="75"/>
  <c r="L25" i="75"/>
  <c r="I20" i="75"/>
  <c r="N20" i="75" s="1"/>
  <c r="I21" i="75"/>
  <c r="O21" i="75" s="1"/>
  <c r="I18" i="75"/>
  <c r="O18" i="75" s="1"/>
  <c r="AF28" i="75"/>
  <c r="AJ28" i="75" s="1"/>
  <c r="L23" i="75"/>
  <c r="AJ22" i="77" l="1"/>
  <c r="BK15" i="77"/>
  <c r="BI13" i="78"/>
  <c r="BK13" i="77"/>
  <c r="BI14" i="78"/>
  <c r="BK14" i="77"/>
  <c r="BC13" i="78"/>
  <c r="BC13" i="79" s="1"/>
  <c r="BC13" i="80" s="1"/>
  <c r="BC13" i="81" s="1"/>
  <c r="BC13" i="82" s="1"/>
  <c r="BC13" i="83" s="1"/>
  <c r="BC13" i="84" s="1"/>
  <c r="BC13" i="85" s="1"/>
  <c r="BC13" i="86" s="1"/>
  <c r="BC13" i="87" s="1"/>
  <c r="BC31" i="77"/>
  <c r="BG13" i="78"/>
  <c r="BG31" i="77"/>
  <c r="BI16" i="78"/>
  <c r="BK16" i="77"/>
  <c r="BI17" i="78"/>
  <c r="BK17" i="77"/>
  <c r="BD12" i="78"/>
  <c r="BD31" i="77"/>
  <c r="BE12" i="78"/>
  <c r="BE31" i="77"/>
  <c r="R14" i="76"/>
  <c r="AW40" i="76"/>
  <c r="AW41" i="77"/>
  <c r="BF31" i="77"/>
  <c r="AT13" i="80"/>
  <c r="AV13" i="79"/>
  <c r="AR40" i="81"/>
  <c r="AR42" i="81" s="1"/>
  <c r="AR41" i="82"/>
  <c r="AX12" i="80"/>
  <c r="AZ12" i="79"/>
  <c r="AY12" i="83"/>
  <c r="AY31" i="82"/>
  <c r="AX16" i="79"/>
  <c r="AZ16" i="78"/>
  <c r="AT16" i="79"/>
  <c r="AV16" i="78"/>
  <c r="AX13" i="79"/>
  <c r="AZ13" i="78"/>
  <c r="AX31" i="78"/>
  <c r="BG12" i="80"/>
  <c r="AX40" i="77"/>
  <c r="AX41" i="78"/>
  <c r="BC12" i="79"/>
  <c r="BC31" i="78"/>
  <c r="AR12" i="83"/>
  <c r="AR31" i="82"/>
  <c r="AX17" i="80"/>
  <c r="AZ17" i="79"/>
  <c r="BF12" i="79"/>
  <c r="BF31" i="78"/>
  <c r="BB12" i="77"/>
  <c r="BB12" i="78" s="1"/>
  <c r="BB15" i="77"/>
  <c r="BB15" i="78" s="1"/>
  <c r="F38" i="79"/>
  <c r="F42" i="79" s="1"/>
  <c r="AT15" i="80"/>
  <c r="AV15" i="79"/>
  <c r="BJ41" i="82"/>
  <c r="BJ40" i="81"/>
  <c r="BJ42" i="81" s="1"/>
  <c r="BK15" i="78"/>
  <c r="BI15" i="79"/>
  <c r="AT14" i="79"/>
  <c r="AV14" i="78"/>
  <c r="AU12" i="79"/>
  <c r="AU31" i="78"/>
  <c r="AV17" i="78"/>
  <c r="AT17" i="79"/>
  <c r="AV31" i="77"/>
  <c r="AV41" i="78" s="1"/>
  <c r="BJ12" i="83"/>
  <c r="BJ31" i="82"/>
  <c r="AV12" i="78"/>
  <c r="AW40" i="77"/>
  <c r="AW41" i="78"/>
  <c r="AY40" i="81"/>
  <c r="AY42" i="81" s="1"/>
  <c r="AY41" i="82"/>
  <c r="AZ31" i="77"/>
  <c r="AZ41" i="78" s="1"/>
  <c r="AX15" i="80"/>
  <c r="AZ15" i="79"/>
  <c r="BI12" i="79"/>
  <c r="BK12" i="78"/>
  <c r="AN24" i="79"/>
  <c r="AS24" i="79" s="1"/>
  <c r="AT12" i="80"/>
  <c r="AV12" i="79"/>
  <c r="AX14" i="79"/>
  <c r="AZ14" i="78"/>
  <c r="AW12" i="79"/>
  <c r="AW31" i="78"/>
  <c r="AN38" i="81"/>
  <c r="AN42" i="81" s="1"/>
  <c r="AS12" i="81"/>
  <c r="AS31" i="81" s="1"/>
  <c r="S38" i="80"/>
  <c r="S42" i="80" s="1"/>
  <c r="AN13" i="80"/>
  <c r="AS13" i="80" s="1"/>
  <c r="AS12" i="80"/>
  <c r="AF42" i="79"/>
  <c r="AJ38" i="79"/>
  <c r="AN23" i="79"/>
  <c r="AS23" i="79" s="1"/>
  <c r="AN21" i="79"/>
  <c r="AS21" i="79" s="1"/>
  <c r="AN15" i="79"/>
  <c r="AS15" i="79" s="1"/>
  <c r="AN20" i="79"/>
  <c r="AS20" i="79" s="1"/>
  <c r="AN14" i="79"/>
  <c r="AS14" i="79" s="1"/>
  <c r="AN22" i="79"/>
  <c r="AS22" i="79" s="1"/>
  <c r="AN19" i="79"/>
  <c r="AS19" i="79" s="1"/>
  <c r="AN16" i="79"/>
  <c r="AS16" i="79" s="1"/>
  <c r="AN17" i="79"/>
  <c r="AS17" i="79" s="1"/>
  <c r="AN18" i="79"/>
  <c r="AS18" i="79" s="1"/>
  <c r="S38" i="79"/>
  <c r="S42" i="79" s="1"/>
  <c r="AN12" i="79"/>
  <c r="AN27" i="79"/>
  <c r="AS27" i="79" s="1"/>
  <c r="AM34" i="79"/>
  <c r="AM52" i="79" s="1"/>
  <c r="AJ42" i="79"/>
  <c r="AN28" i="79"/>
  <c r="AS28" i="79" s="1"/>
  <c r="AM38" i="79"/>
  <c r="AM42" i="79" s="1"/>
  <c r="AN13" i="79"/>
  <c r="AS13" i="79" s="1"/>
  <c r="AN26" i="79"/>
  <c r="AS26" i="79" s="1"/>
  <c r="AN25" i="79"/>
  <c r="AS25" i="79" s="1"/>
  <c r="Z42" i="78"/>
  <c r="AJ31" i="78"/>
  <c r="AF31" i="78"/>
  <c r="AJ38" i="78" s="1"/>
  <c r="AM31" i="78"/>
  <c r="AM34" i="78" s="1"/>
  <c r="AM52" i="78" s="1"/>
  <c r="R42" i="78"/>
  <c r="R34" i="78"/>
  <c r="S31" i="78"/>
  <c r="S15" i="78" s="1"/>
  <c r="AF16" i="77"/>
  <c r="AF14" i="77"/>
  <c r="AJ14" i="77" s="1"/>
  <c r="AM14" i="77" s="1"/>
  <c r="BB13" i="77"/>
  <c r="AJ13" i="77"/>
  <c r="AM13" i="77" s="1"/>
  <c r="R31" i="77"/>
  <c r="F38" i="78" s="1"/>
  <c r="F42" i="78" s="1"/>
  <c r="R38" i="77"/>
  <c r="AF20" i="77"/>
  <c r="AJ20" i="77" s="1"/>
  <c r="AM20" i="77" s="1"/>
  <c r="AZ38" i="77"/>
  <c r="Q42" i="77"/>
  <c r="AI31" i="77"/>
  <c r="AF15" i="77"/>
  <c r="AJ15" i="77" s="1"/>
  <c r="AM15" i="77" s="1"/>
  <c r="AV38" i="77"/>
  <c r="M42" i="77"/>
  <c r="AI38" i="77"/>
  <c r="AG42" i="77"/>
  <c r="AF18" i="77"/>
  <c r="AJ18" i="77" s="1"/>
  <c r="AM18" i="77" s="1"/>
  <c r="AJ23" i="77"/>
  <c r="AM23" i="77" s="1"/>
  <c r="AF24" i="77"/>
  <c r="AJ24" i="77" s="1"/>
  <c r="AM24" i="77" s="1"/>
  <c r="AF19" i="77"/>
  <c r="AJ19" i="77" s="1"/>
  <c r="AM19" i="77" s="1"/>
  <c r="AJ21" i="77"/>
  <c r="AM21" i="77" s="1"/>
  <c r="AJ16" i="77"/>
  <c r="AM16" i="77" s="1"/>
  <c r="Z38" i="77"/>
  <c r="Z31" i="77"/>
  <c r="AF12" i="77"/>
  <c r="AM22" i="77"/>
  <c r="AF26" i="77"/>
  <c r="AJ26" i="77" s="1"/>
  <c r="AM26" i="77" s="1"/>
  <c r="AF27" i="77"/>
  <c r="AJ27" i="77" s="1"/>
  <c r="AM27" i="77" s="1"/>
  <c r="BI31" i="77"/>
  <c r="BK12" i="77"/>
  <c r="AJ17" i="77"/>
  <c r="AM17" i="77" s="1"/>
  <c r="AF26" i="76"/>
  <c r="R20" i="76"/>
  <c r="R27" i="76"/>
  <c r="R25" i="76"/>
  <c r="X38" i="76"/>
  <c r="X42" i="76" s="1"/>
  <c r="R17" i="76"/>
  <c r="Z22" i="76"/>
  <c r="AV31" i="76"/>
  <c r="AV41" i="77" s="1"/>
  <c r="Q31" i="76"/>
  <c r="AZ38" i="76" s="1"/>
  <c r="Z23" i="76"/>
  <c r="Z20" i="76"/>
  <c r="Z14" i="76"/>
  <c r="R23" i="76"/>
  <c r="Z17" i="76"/>
  <c r="Z18" i="76"/>
  <c r="Y38" i="76"/>
  <c r="Y42" i="76" s="1"/>
  <c r="Z16" i="76"/>
  <c r="Z19" i="76"/>
  <c r="Z25" i="76"/>
  <c r="AZ31" i="76"/>
  <c r="AZ41" i="77" s="1"/>
  <c r="AD38" i="76"/>
  <c r="AD42" i="76" s="1"/>
  <c r="Z24" i="76"/>
  <c r="AI16" i="76"/>
  <c r="BK16" i="76"/>
  <c r="AB38" i="76"/>
  <c r="AB42" i="76" s="1"/>
  <c r="Z21" i="76"/>
  <c r="AI17" i="76"/>
  <c r="BK17" i="76"/>
  <c r="AI19" i="76"/>
  <c r="AX31" i="76"/>
  <c r="AI22" i="76"/>
  <c r="BE31" i="76"/>
  <c r="BG31" i="76"/>
  <c r="R19" i="76"/>
  <c r="R16" i="76"/>
  <c r="BK12" i="76"/>
  <c r="AI27" i="76"/>
  <c r="Z13" i="76"/>
  <c r="BB13" i="76" s="1"/>
  <c r="BK13" i="76"/>
  <c r="AI13" i="76"/>
  <c r="AC38" i="76"/>
  <c r="AC42" i="76" s="1"/>
  <c r="R18" i="76"/>
  <c r="AI23" i="76"/>
  <c r="AI20" i="76"/>
  <c r="AE38" i="76"/>
  <c r="AE42" i="76" s="1"/>
  <c r="BC31" i="76"/>
  <c r="AG38" i="76"/>
  <c r="AI18" i="76"/>
  <c r="AJ26" i="76"/>
  <c r="AM26" i="76" s="1"/>
  <c r="Z27" i="76"/>
  <c r="AI25" i="76"/>
  <c r="BF31" i="76"/>
  <c r="R21" i="76"/>
  <c r="AF15" i="76"/>
  <c r="AJ15" i="76" s="1"/>
  <c r="AM15" i="76" s="1"/>
  <c r="BH15" i="76"/>
  <c r="AF12" i="76"/>
  <c r="AI24" i="76"/>
  <c r="R22" i="76"/>
  <c r="R13" i="76"/>
  <c r="BD31" i="76"/>
  <c r="BK14" i="76"/>
  <c r="AI14" i="76"/>
  <c r="R24" i="76"/>
  <c r="AI21" i="76"/>
  <c r="AA38" i="76"/>
  <c r="AA42" i="76" s="1"/>
  <c r="M31" i="76"/>
  <c r="Q25" i="75"/>
  <c r="K19" i="75"/>
  <c r="Q18" i="75"/>
  <c r="AD25" i="75"/>
  <c r="U24" i="75"/>
  <c r="K26" i="75"/>
  <c r="L16" i="75"/>
  <c r="O20" i="75"/>
  <c r="Q20" i="75" s="1"/>
  <c r="L26" i="75"/>
  <c r="N16" i="75"/>
  <c r="U14" i="75"/>
  <c r="AB14" i="75" s="1"/>
  <c r="K12" i="75"/>
  <c r="K20" i="75"/>
  <c r="O26" i="75"/>
  <c r="U16" i="75"/>
  <c r="AC16" i="75" s="1"/>
  <c r="K16" i="75"/>
  <c r="L20" i="75"/>
  <c r="N26" i="75"/>
  <c r="U20" i="75"/>
  <c r="AC20" i="75" s="1"/>
  <c r="AC25" i="75"/>
  <c r="N23" i="75"/>
  <c r="N27" i="75"/>
  <c r="K13" i="75"/>
  <c r="O27" i="75"/>
  <c r="U23" i="75"/>
  <c r="Y23" i="75" s="1"/>
  <c r="L19" i="75"/>
  <c r="U27" i="75"/>
  <c r="Y27" i="75" s="1"/>
  <c r="L27" i="75"/>
  <c r="O23" i="75"/>
  <c r="U19" i="75"/>
  <c r="AD19" i="75" s="1"/>
  <c r="N19" i="75"/>
  <c r="U18" i="75"/>
  <c r="X18" i="75" s="1"/>
  <c r="O12" i="75"/>
  <c r="U12" i="75"/>
  <c r="AG12" i="75" s="1"/>
  <c r="AA25" i="75"/>
  <c r="AG25" i="75"/>
  <c r="O13" i="75"/>
  <c r="U13" i="75"/>
  <c r="AG13" i="75" s="1"/>
  <c r="AE25" i="75"/>
  <c r="X25" i="75"/>
  <c r="L13" i="75"/>
  <c r="M25" i="75"/>
  <c r="R25" i="75" s="1"/>
  <c r="L12" i="75"/>
  <c r="Y25" i="75"/>
  <c r="N22" i="75"/>
  <c r="L18" i="75"/>
  <c r="N18" i="75"/>
  <c r="AG14" i="75"/>
  <c r="N24" i="75"/>
  <c r="N21" i="75"/>
  <c r="N15" i="75"/>
  <c r="AE15" i="75"/>
  <c r="AB15" i="75"/>
  <c r="K17" i="75"/>
  <c r="L15" i="75"/>
  <c r="AA15" i="75"/>
  <c r="X15" i="75"/>
  <c r="I31" i="75"/>
  <c r="I42" i="75" s="1"/>
  <c r="O22" i="75"/>
  <c r="O24" i="75"/>
  <c r="N17" i="75"/>
  <c r="L21" i="75"/>
  <c r="U21" i="75"/>
  <c r="AB21" i="75" s="1"/>
  <c r="Y15" i="75"/>
  <c r="U22" i="75"/>
  <c r="AC22" i="75" s="1"/>
  <c r="K22" i="75"/>
  <c r="L24" i="75"/>
  <c r="O17" i="75"/>
  <c r="K21" i="75"/>
  <c r="K15" i="75"/>
  <c r="N14" i="75"/>
  <c r="O14" i="75"/>
  <c r="K14" i="75"/>
  <c r="AG15" i="75"/>
  <c r="AD15" i="75"/>
  <c r="L17" i="75"/>
  <c r="K18" i="75"/>
  <c r="O15" i="75"/>
  <c r="AD14" i="75"/>
  <c r="M23" i="75"/>
  <c r="Q19" i="75"/>
  <c r="AE17" i="75"/>
  <c r="AA17" i="75"/>
  <c r="AD17" i="75"/>
  <c r="Y17" i="75"/>
  <c r="AG17" i="75"/>
  <c r="AB17" i="75"/>
  <c r="X17" i="75"/>
  <c r="AC17" i="75"/>
  <c r="Q21" i="75"/>
  <c r="AM28" i="75"/>
  <c r="AE26" i="75"/>
  <c r="AA26" i="75"/>
  <c r="AG26" i="75"/>
  <c r="AB26" i="75"/>
  <c r="AD26" i="75"/>
  <c r="X26" i="75"/>
  <c r="Y26" i="75"/>
  <c r="AC26" i="75"/>
  <c r="Q16" i="75"/>
  <c r="AV40" i="77" l="1"/>
  <c r="AZ40" i="77"/>
  <c r="AZ42" i="77" s="1"/>
  <c r="AX31" i="79"/>
  <c r="AX40" i="79" s="1"/>
  <c r="AZ31" i="78"/>
  <c r="AZ41" i="79" s="1"/>
  <c r="AV42" i="77"/>
  <c r="AT13" i="81"/>
  <c r="AV13" i="80"/>
  <c r="AW12" i="80"/>
  <c r="AW31" i="79"/>
  <c r="AT14" i="80"/>
  <c r="AV14" i="79"/>
  <c r="BH12" i="78"/>
  <c r="BB12" i="79"/>
  <c r="BF12" i="80"/>
  <c r="BF31" i="79"/>
  <c r="AR12" i="84"/>
  <c r="AR31" i="83"/>
  <c r="AX40" i="78"/>
  <c r="AX42" i="78" s="1"/>
  <c r="AX41" i="79"/>
  <c r="AX16" i="80"/>
  <c r="AZ16" i="79"/>
  <c r="BI14" i="79"/>
  <c r="BK14" i="78"/>
  <c r="AR40" i="82"/>
  <c r="AR42" i="82" s="1"/>
  <c r="AR41" i="83"/>
  <c r="BK31" i="77"/>
  <c r="BK41" i="78" s="1"/>
  <c r="BH15" i="77"/>
  <c r="AX15" i="81"/>
  <c r="AZ15" i="80"/>
  <c r="AX12" i="81"/>
  <c r="AZ12" i="80"/>
  <c r="AV31" i="78"/>
  <c r="BI40" i="77"/>
  <c r="BI41" i="78"/>
  <c r="AN28" i="78"/>
  <c r="AS28" i="78" s="1"/>
  <c r="T38" i="79"/>
  <c r="T42" i="79" s="1"/>
  <c r="AX14" i="80"/>
  <c r="AZ14" i="79"/>
  <c r="BJ40" i="82"/>
  <c r="BJ42" i="82" s="1"/>
  <c r="BJ41" i="83"/>
  <c r="AT15" i="81"/>
  <c r="AV15" i="80"/>
  <c r="BC12" i="80"/>
  <c r="BC31" i="79"/>
  <c r="AX13" i="80"/>
  <c r="AZ13" i="79"/>
  <c r="AT16" i="80"/>
  <c r="AV16" i="79"/>
  <c r="BE12" i="79"/>
  <c r="BE31" i="78"/>
  <c r="BI17" i="79"/>
  <c r="BK17" i="78"/>
  <c r="AX40" i="76"/>
  <c r="AX41" i="77"/>
  <c r="AX42" i="77" s="1"/>
  <c r="BH13" i="77"/>
  <c r="BB13" i="78"/>
  <c r="BH15" i="78"/>
  <c r="BB15" i="79"/>
  <c r="BI12" i="80"/>
  <c r="BK12" i="79"/>
  <c r="BJ12" i="84"/>
  <c r="BJ31" i="83"/>
  <c r="AT17" i="80"/>
  <c r="AV17" i="79"/>
  <c r="BI15" i="80"/>
  <c r="BK15" i="79"/>
  <c r="S24" i="78"/>
  <c r="AN24" i="78" s="1"/>
  <c r="AS24" i="78" s="1"/>
  <c r="AY41" i="83"/>
  <c r="AY40" i="82"/>
  <c r="AY42" i="82" s="1"/>
  <c r="AW40" i="78"/>
  <c r="AW42" i="78" s="1"/>
  <c r="AW41" i="79"/>
  <c r="BG12" i="81"/>
  <c r="AT12" i="81"/>
  <c r="AW42" i="77"/>
  <c r="AU12" i="80"/>
  <c r="AU31" i="79"/>
  <c r="AX17" i="81"/>
  <c r="AZ17" i="80"/>
  <c r="AY12" i="84"/>
  <c r="AY31" i="83"/>
  <c r="BD12" i="79"/>
  <c r="BD31" i="78"/>
  <c r="BI16" i="79"/>
  <c r="BK16" i="78"/>
  <c r="BG13" i="79"/>
  <c r="BG31" i="78"/>
  <c r="BI13" i="79"/>
  <c r="BK13" i="78"/>
  <c r="BI31" i="78"/>
  <c r="AS31" i="80"/>
  <c r="AN38" i="80"/>
  <c r="AN42" i="80" s="1"/>
  <c r="AN38" i="79"/>
  <c r="AN42" i="79" s="1"/>
  <c r="AS12" i="79"/>
  <c r="AS31" i="79" s="1"/>
  <c r="S16" i="78"/>
  <c r="AN16" i="78" s="1"/>
  <c r="AS16" i="78" s="1"/>
  <c r="AF42" i="78"/>
  <c r="AM38" i="78"/>
  <c r="AM42" i="78" s="1"/>
  <c r="AJ42" i="78"/>
  <c r="AN15" i="78"/>
  <c r="AS15" i="78" s="1"/>
  <c r="S14" i="78"/>
  <c r="AN14" i="78" s="1"/>
  <c r="AS14" i="78" s="1"/>
  <c r="S21" i="78"/>
  <c r="AN21" i="78" s="1"/>
  <c r="AS21" i="78" s="1"/>
  <c r="BH38" i="78"/>
  <c r="S23" i="78"/>
  <c r="AN23" i="78" s="1"/>
  <c r="AS23" i="78" s="1"/>
  <c r="S20" i="78"/>
  <c r="AN20" i="78" s="1"/>
  <c r="AS20" i="78" s="1"/>
  <c r="S25" i="78"/>
  <c r="AN25" i="78" s="1"/>
  <c r="AS25" i="78" s="1"/>
  <c r="S27" i="78"/>
  <c r="AN27" i="78" s="1"/>
  <c r="AS27" i="78" s="1"/>
  <c r="S26" i="78"/>
  <c r="AN26" i="78" s="1"/>
  <c r="AS26" i="78" s="1"/>
  <c r="S22" i="78"/>
  <c r="AN22" i="78" s="1"/>
  <c r="AS22" i="78" s="1"/>
  <c r="S12" i="78"/>
  <c r="S34" i="78"/>
  <c r="S17" i="78"/>
  <c r="AN17" i="78" s="1"/>
  <c r="AS17" i="78" s="1"/>
  <c r="S18" i="78"/>
  <c r="AN18" i="78" s="1"/>
  <c r="AS18" i="78" s="1"/>
  <c r="S19" i="78"/>
  <c r="AN19" i="78" s="1"/>
  <c r="AS19" i="78" s="1"/>
  <c r="S13" i="78"/>
  <c r="AN13" i="78" s="1"/>
  <c r="AS13" i="78" s="1"/>
  <c r="Z42" i="77"/>
  <c r="AF38" i="77"/>
  <c r="AF31" i="77"/>
  <c r="AJ12" i="77"/>
  <c r="BK38" i="77"/>
  <c r="AI42" i="77"/>
  <c r="BH12" i="77"/>
  <c r="S31" i="77"/>
  <c r="S22" i="77" s="1"/>
  <c r="R42" i="77"/>
  <c r="R34" i="77"/>
  <c r="AF18" i="76"/>
  <c r="AJ18" i="76" s="1"/>
  <c r="AM18" i="76" s="1"/>
  <c r="AF22" i="76"/>
  <c r="AJ22" i="76" s="1"/>
  <c r="AM22" i="76" s="1"/>
  <c r="AF20" i="76"/>
  <c r="AJ20" i="76" s="1"/>
  <c r="AM20" i="76" s="1"/>
  <c r="AF16" i="76"/>
  <c r="AJ16" i="76" s="1"/>
  <c r="AM16" i="76" s="1"/>
  <c r="BB16" i="76"/>
  <c r="AF14" i="76"/>
  <c r="AJ14" i="76" s="1"/>
  <c r="AM14" i="76" s="1"/>
  <c r="BB14" i="76"/>
  <c r="AF19" i="76"/>
  <c r="AF17" i="76"/>
  <c r="AJ17" i="76" s="1"/>
  <c r="AM17" i="76" s="1"/>
  <c r="BB17" i="76"/>
  <c r="AF23" i="76"/>
  <c r="AJ19" i="76"/>
  <c r="AM19" i="76" s="1"/>
  <c r="AZ40" i="76"/>
  <c r="AI31" i="76"/>
  <c r="BK38" i="76" s="1"/>
  <c r="Q42" i="76"/>
  <c r="M42" i="76"/>
  <c r="AV38" i="76"/>
  <c r="AV40" i="76" s="1"/>
  <c r="AJ23" i="76"/>
  <c r="AM23" i="76" s="1"/>
  <c r="BH12" i="76"/>
  <c r="BH13" i="76"/>
  <c r="AF13" i="76"/>
  <c r="AJ13" i="76" s="1"/>
  <c r="AM13" i="76" s="1"/>
  <c r="AF25" i="76"/>
  <c r="AJ25" i="76" s="1"/>
  <c r="AM25" i="76" s="1"/>
  <c r="AJ12" i="76"/>
  <c r="Z31" i="76"/>
  <c r="R31" i="76"/>
  <c r="F38" i="77" s="1"/>
  <c r="F42" i="77" s="1"/>
  <c r="BK31" i="76"/>
  <c r="BK41" i="77" s="1"/>
  <c r="AF21" i="76"/>
  <c r="AJ21" i="76" s="1"/>
  <c r="AM21" i="76" s="1"/>
  <c r="AF24" i="76"/>
  <c r="AJ24" i="76" s="1"/>
  <c r="Z38" i="76"/>
  <c r="R38" i="76"/>
  <c r="BI31" i="76"/>
  <c r="AF27" i="76"/>
  <c r="AJ27" i="76" s="1"/>
  <c r="AM27" i="76" s="1"/>
  <c r="AI38" i="76"/>
  <c r="AG42" i="76"/>
  <c r="AD18" i="75"/>
  <c r="AD24" i="75"/>
  <c r="X24" i="75"/>
  <c r="AC24" i="75"/>
  <c r="AA24" i="75"/>
  <c r="AE24" i="75"/>
  <c r="Y24" i="75"/>
  <c r="Q26" i="75"/>
  <c r="Q27" i="75"/>
  <c r="AB24" i="75"/>
  <c r="AD27" i="75"/>
  <c r="Q17" i="75"/>
  <c r="Q24" i="75"/>
  <c r="AI14" i="75"/>
  <c r="Q12" i="75"/>
  <c r="AB23" i="75"/>
  <c r="AI25" i="75"/>
  <c r="AD23" i="75"/>
  <c r="M20" i="75"/>
  <c r="R20" i="75" s="1"/>
  <c r="AG24" i="75"/>
  <c r="AA27" i="75"/>
  <c r="M26" i="75"/>
  <c r="R26" i="75" s="1"/>
  <c r="Y14" i="75"/>
  <c r="AB20" i="75"/>
  <c r="X16" i="75"/>
  <c r="AD20" i="75"/>
  <c r="Y16" i="75"/>
  <c r="AC14" i="75"/>
  <c r="M12" i="75"/>
  <c r="Y20" i="75"/>
  <c r="AA16" i="75"/>
  <c r="AE14" i="75"/>
  <c r="X20" i="75"/>
  <c r="AE16" i="75"/>
  <c r="AG23" i="75"/>
  <c r="AE23" i="75"/>
  <c r="AG18" i="75"/>
  <c r="AE18" i="75"/>
  <c r="X14" i="75"/>
  <c r="AA14" i="75"/>
  <c r="AC23" i="75"/>
  <c r="X23" i="75"/>
  <c r="Z23" i="75" s="1"/>
  <c r="M27" i="75"/>
  <c r="AA18" i="75"/>
  <c r="AA23" i="75"/>
  <c r="AE22" i="75"/>
  <c r="Y18" i="75"/>
  <c r="Z18" i="75" s="1"/>
  <c r="AC18" i="75"/>
  <c r="AB18" i="75"/>
  <c r="AA19" i="75"/>
  <c r="AE20" i="75"/>
  <c r="AA20" i="75"/>
  <c r="M16" i="75"/>
  <c r="R16" i="75" s="1"/>
  <c r="AD16" i="75"/>
  <c r="AG16" i="75"/>
  <c r="AB13" i="75"/>
  <c r="AG20" i="75"/>
  <c r="AB16" i="75"/>
  <c r="X27" i="75"/>
  <c r="Z27" i="75" s="1"/>
  <c r="Y19" i="75"/>
  <c r="AE12" i="75"/>
  <c r="AD21" i="75"/>
  <c r="AG27" i="75"/>
  <c r="AB27" i="75"/>
  <c r="AA13" i="75"/>
  <c r="AE27" i="75"/>
  <c r="Q22" i="75"/>
  <c r="AC12" i="75"/>
  <c r="AE21" i="75"/>
  <c r="AC27" i="75"/>
  <c r="Z15" i="75"/>
  <c r="Q23" i="75"/>
  <c r="R23" i="75" s="1"/>
  <c r="Q13" i="75"/>
  <c r="M19" i="75"/>
  <c r="R19" i="75" s="1"/>
  <c r="AD22" i="75"/>
  <c r="AE19" i="75"/>
  <c r="AC19" i="75"/>
  <c r="M13" i="75"/>
  <c r="M24" i="75"/>
  <c r="X12" i="75"/>
  <c r="AD12" i="75"/>
  <c r="AG21" i="75"/>
  <c r="AC21" i="75"/>
  <c r="Y13" i="75"/>
  <c r="AD13" i="75"/>
  <c r="Z25" i="75"/>
  <c r="X19" i="75"/>
  <c r="AG19" i="75"/>
  <c r="Y12" i="75"/>
  <c r="AB12" i="75"/>
  <c r="AA21" i="75"/>
  <c r="X21" i="75"/>
  <c r="AE13" i="75"/>
  <c r="AC13" i="75"/>
  <c r="AB19" i="75"/>
  <c r="AA12" i="75"/>
  <c r="Y21" i="75"/>
  <c r="X13" i="75"/>
  <c r="U31" i="75"/>
  <c r="U42" i="75" s="1"/>
  <c r="X22" i="75"/>
  <c r="AG22" i="75"/>
  <c r="K38" i="75"/>
  <c r="K42" i="75" s="1"/>
  <c r="AA22" i="75"/>
  <c r="Y22" i="75"/>
  <c r="AB22" i="75"/>
  <c r="M14" i="75"/>
  <c r="N38" i="75"/>
  <c r="N42" i="75" s="1"/>
  <c r="L38" i="75"/>
  <c r="L42" i="75" s="1"/>
  <c r="AI15" i="75"/>
  <c r="M21" i="75"/>
  <c r="R21" i="75" s="1"/>
  <c r="M22" i="75"/>
  <c r="M18" i="75"/>
  <c r="R18" i="75" s="1"/>
  <c r="O38" i="75"/>
  <c r="O42" i="75" s="1"/>
  <c r="Q15" i="75"/>
  <c r="M15" i="75"/>
  <c r="M17" i="75"/>
  <c r="Q14" i="75"/>
  <c r="Z17" i="75"/>
  <c r="Z26" i="75"/>
  <c r="AI12" i="75"/>
  <c r="AI13" i="75"/>
  <c r="AI26" i="75"/>
  <c r="AI17" i="75"/>
  <c r="AX41" i="80" l="1"/>
  <c r="BK31" i="78"/>
  <c r="BK41" i="79" s="1"/>
  <c r="AZ31" i="79"/>
  <c r="AZ40" i="79" s="1"/>
  <c r="AZ42" i="79" s="1"/>
  <c r="AZ40" i="78"/>
  <c r="AZ42" i="78" s="1"/>
  <c r="AV31" i="79"/>
  <c r="AV41" i="80" s="1"/>
  <c r="BK40" i="77"/>
  <c r="BK42" i="77" s="1"/>
  <c r="BH17" i="76"/>
  <c r="BB17" i="77"/>
  <c r="BI13" i="80"/>
  <c r="BK13" i="79"/>
  <c r="BC12" i="81"/>
  <c r="BC31" i="80"/>
  <c r="BI31" i="79"/>
  <c r="BH13" i="78"/>
  <c r="BB13" i="79"/>
  <c r="AR41" i="84"/>
  <c r="AR40" i="83"/>
  <c r="AR42" i="83" s="1"/>
  <c r="AW40" i="79"/>
  <c r="AW42" i="79" s="1"/>
  <c r="AW41" i="80"/>
  <c r="BH15" i="79"/>
  <c r="BB15" i="80"/>
  <c r="BI16" i="80"/>
  <c r="BK16" i="79"/>
  <c r="BD12" i="80"/>
  <c r="BD31" i="79"/>
  <c r="AU12" i="81"/>
  <c r="AU31" i="80"/>
  <c r="BG12" i="82"/>
  <c r="AT17" i="81"/>
  <c r="AV17" i="80"/>
  <c r="BE31" i="79"/>
  <c r="BE12" i="80"/>
  <c r="AT16" i="81"/>
  <c r="AV16" i="80"/>
  <c r="AX14" i="81"/>
  <c r="AZ14" i="80"/>
  <c r="AX12" i="82"/>
  <c r="AZ12" i="81"/>
  <c r="AX16" i="81"/>
  <c r="AZ16" i="80"/>
  <c r="AR12" i="85"/>
  <c r="AR31" i="84"/>
  <c r="AT14" i="81"/>
  <c r="AV14" i="80"/>
  <c r="AW12" i="81"/>
  <c r="AW31" i="80"/>
  <c r="AX42" i="79"/>
  <c r="AT12" i="82"/>
  <c r="AT15" i="82"/>
  <c r="AV15" i="81"/>
  <c r="AX31" i="80"/>
  <c r="AT13" i="82"/>
  <c r="AV13" i="81"/>
  <c r="BI40" i="76"/>
  <c r="BI41" i="77"/>
  <c r="BI42" i="77" s="1"/>
  <c r="BH14" i="76"/>
  <c r="BB14" i="77"/>
  <c r="AY40" i="83"/>
  <c r="AY42" i="83" s="1"/>
  <c r="AY41" i="84"/>
  <c r="BJ40" i="83"/>
  <c r="BJ42" i="83" s="1"/>
  <c r="BJ41" i="84"/>
  <c r="BI12" i="81"/>
  <c r="BK12" i="80"/>
  <c r="S24" i="77"/>
  <c r="AV41" i="79"/>
  <c r="AV40" i="78"/>
  <c r="AV42" i="78" s="1"/>
  <c r="AX15" i="82"/>
  <c r="AZ15" i="81"/>
  <c r="BH16" i="76"/>
  <c r="BH31" i="76" s="1"/>
  <c r="BH41" i="77" s="1"/>
  <c r="BB16" i="77"/>
  <c r="BB12" i="80"/>
  <c r="BH12" i="79"/>
  <c r="BI15" i="81"/>
  <c r="BK15" i="80"/>
  <c r="BI17" i="80"/>
  <c r="BK17" i="79"/>
  <c r="BK14" i="79"/>
  <c r="BI14" i="80"/>
  <c r="R17" i="75"/>
  <c r="BI40" i="78"/>
  <c r="BI42" i="78" s="1"/>
  <c r="BI41" i="79"/>
  <c r="BG13" i="80"/>
  <c r="BG31" i="79"/>
  <c r="AY12" i="85"/>
  <c r="AY31" i="84"/>
  <c r="AX17" i="82"/>
  <c r="AZ17" i="81"/>
  <c r="AV12" i="80"/>
  <c r="BJ12" i="85"/>
  <c r="BJ31" i="84"/>
  <c r="AX13" i="81"/>
  <c r="AZ13" i="80"/>
  <c r="BF12" i="81"/>
  <c r="BF31" i="80"/>
  <c r="S38" i="78"/>
  <c r="S42" i="78" s="1"/>
  <c r="AN12" i="78"/>
  <c r="S20" i="77"/>
  <c r="S14" i="77"/>
  <c r="S19" i="77"/>
  <c r="S13" i="77"/>
  <c r="S25" i="77"/>
  <c r="S26" i="77"/>
  <c r="S18" i="77"/>
  <c r="AJ31" i="77"/>
  <c r="T38" i="78" s="1"/>
  <c r="T42" i="78" s="1"/>
  <c r="AM12" i="77"/>
  <c r="AM31" i="77" s="1"/>
  <c r="AF42" i="77"/>
  <c r="BH38" i="77"/>
  <c r="AJ38" i="77"/>
  <c r="S34" i="77"/>
  <c r="S12" i="77"/>
  <c r="S17" i="77"/>
  <c r="S15" i="77"/>
  <c r="S16" i="77"/>
  <c r="S21" i="77"/>
  <c r="S23" i="77"/>
  <c r="S27" i="77"/>
  <c r="AM24" i="76"/>
  <c r="AI42" i="76"/>
  <c r="BK40" i="76"/>
  <c r="Z42" i="76"/>
  <c r="AF38" i="76"/>
  <c r="AF31" i="76"/>
  <c r="BB31" i="76"/>
  <c r="S31" i="76"/>
  <c r="S16" i="76" s="1"/>
  <c r="R34" i="76"/>
  <c r="R42" i="76"/>
  <c r="AJ31" i="76"/>
  <c r="AM12" i="76"/>
  <c r="R12" i="75"/>
  <c r="Z14" i="75"/>
  <c r="AF14" i="75" s="1"/>
  <c r="AJ14" i="75" s="1"/>
  <c r="Z20" i="75"/>
  <c r="AI24" i="75"/>
  <c r="AI21" i="75"/>
  <c r="AI20" i="75"/>
  <c r="AI27" i="75"/>
  <c r="AI16" i="75"/>
  <c r="R24" i="75"/>
  <c r="R27" i="75"/>
  <c r="AI23" i="75"/>
  <c r="AF17" i="75"/>
  <c r="AJ17" i="75" s="1"/>
  <c r="AM17" i="75" s="1"/>
  <c r="AF15" i="75"/>
  <c r="AJ15" i="75" s="1"/>
  <c r="Z21" i="75"/>
  <c r="Z24" i="75"/>
  <c r="AF18" i="75"/>
  <c r="Z16" i="75"/>
  <c r="AF25" i="75"/>
  <c r="AJ25" i="75" s="1"/>
  <c r="AM25" i="75" s="1"/>
  <c r="AI18" i="75"/>
  <c r="Z13" i="75"/>
  <c r="Z19" i="75"/>
  <c r="R22" i="75"/>
  <c r="AD38" i="75"/>
  <c r="AD42" i="75" s="1"/>
  <c r="AI19" i="75"/>
  <c r="Z12" i="75"/>
  <c r="AF13" i="75"/>
  <c r="AJ13" i="75" s="1"/>
  <c r="AC38" i="75"/>
  <c r="AC42" i="75" s="1"/>
  <c r="AG38" i="75"/>
  <c r="AG42" i="75" s="1"/>
  <c r="X38" i="75"/>
  <c r="X42" i="75" s="1"/>
  <c r="R13" i="75"/>
  <c r="AA38" i="75"/>
  <c r="AA42" i="75" s="1"/>
  <c r="AI22" i="75"/>
  <c r="Y38" i="75"/>
  <c r="Y42" i="75" s="1"/>
  <c r="AE38" i="75"/>
  <c r="AE42" i="75" s="1"/>
  <c r="R15" i="75"/>
  <c r="R14" i="75"/>
  <c r="Q31" i="75"/>
  <c r="AZ38" i="75" s="1"/>
  <c r="Z22" i="75"/>
  <c r="AB38" i="75"/>
  <c r="AB42" i="75" s="1"/>
  <c r="M31" i="75"/>
  <c r="AV38" i="75" s="1"/>
  <c r="AF23" i="75"/>
  <c r="AJ23" i="75" s="1"/>
  <c r="AM23" i="75" s="1"/>
  <c r="AF27" i="75"/>
  <c r="AF26" i="75"/>
  <c r="AJ26" i="75" s="1"/>
  <c r="AM26" i="75" s="1"/>
  <c r="AV40" i="79" l="1"/>
  <c r="AV42" i="79" s="1"/>
  <c r="BK40" i="78"/>
  <c r="BK42" i="78" s="1"/>
  <c r="AZ41" i="80"/>
  <c r="AZ31" i="80"/>
  <c r="AZ40" i="80" s="1"/>
  <c r="BK31" i="79"/>
  <c r="BK41" i="80" s="1"/>
  <c r="AM38" i="76"/>
  <c r="T38" i="77"/>
  <c r="T42" i="77" s="1"/>
  <c r="AX13" i="82"/>
  <c r="AZ13" i="81"/>
  <c r="BI15" i="82"/>
  <c r="BK15" i="81"/>
  <c r="BI16" i="81"/>
  <c r="BK16" i="80"/>
  <c r="AY12" i="86"/>
  <c r="AY31" i="85"/>
  <c r="AT14" i="82"/>
  <c r="AV14" i="81"/>
  <c r="BH13" i="79"/>
  <c r="BB13" i="80"/>
  <c r="BF12" i="82"/>
  <c r="BF31" i="81"/>
  <c r="AT15" i="83"/>
  <c r="AV15" i="82"/>
  <c r="AW40" i="80"/>
  <c r="AW42" i="80" s="1"/>
  <c r="AW41" i="81"/>
  <c r="AR41" i="85"/>
  <c r="AR40" i="84"/>
  <c r="AR42" i="84" s="1"/>
  <c r="BD12" i="81"/>
  <c r="BD31" i="80"/>
  <c r="AX40" i="80"/>
  <c r="AX42" i="80" s="1"/>
  <c r="AX41" i="81"/>
  <c r="AT17" i="82"/>
  <c r="AV17" i="81"/>
  <c r="BI31" i="80"/>
  <c r="BJ41" i="85"/>
  <c r="BJ40" i="84"/>
  <c r="BJ42" i="84" s="1"/>
  <c r="BG13" i="81"/>
  <c r="BG31" i="80"/>
  <c r="BB12" i="81"/>
  <c r="BH12" i="80"/>
  <c r="BI12" i="82"/>
  <c r="BK12" i="81"/>
  <c r="AW12" i="82"/>
  <c r="AW31" i="81"/>
  <c r="AR12" i="86"/>
  <c r="AR31" i="85"/>
  <c r="AX31" i="81"/>
  <c r="BI40" i="79"/>
  <c r="BI42" i="79" s="1"/>
  <c r="BI41" i="80"/>
  <c r="AY41" i="85"/>
  <c r="AY40" i="84"/>
  <c r="AY42" i="84" s="1"/>
  <c r="BH16" i="77"/>
  <c r="BB16" i="78"/>
  <c r="AT12" i="83"/>
  <c r="AV12" i="82"/>
  <c r="AU12" i="82"/>
  <c r="AU31" i="81"/>
  <c r="AV31" i="80"/>
  <c r="BK13" i="80"/>
  <c r="BI13" i="81"/>
  <c r="BJ12" i="86"/>
  <c r="BJ31" i="85"/>
  <c r="BI17" i="81"/>
  <c r="BK17" i="80"/>
  <c r="AN24" i="77"/>
  <c r="AS24" i="77" s="1"/>
  <c r="BB14" i="78"/>
  <c r="BH14" i="77"/>
  <c r="BB31" i="77"/>
  <c r="AX12" i="83"/>
  <c r="AZ12" i="82"/>
  <c r="BG12" i="83"/>
  <c r="BB17" i="78"/>
  <c r="BH17" i="77"/>
  <c r="BE12" i="81"/>
  <c r="BE31" i="80"/>
  <c r="AZ15" i="82"/>
  <c r="AX15" i="83"/>
  <c r="AX14" i="82"/>
  <c r="AZ14" i="81"/>
  <c r="BH15" i="80"/>
  <c r="BB15" i="81"/>
  <c r="AX17" i="83"/>
  <c r="AZ17" i="82"/>
  <c r="BK14" i="80"/>
  <c r="BI14" i="81"/>
  <c r="AT13" i="83"/>
  <c r="AV13" i="82"/>
  <c r="AV12" i="81"/>
  <c r="AX16" i="82"/>
  <c r="AZ16" i="81"/>
  <c r="AT16" i="82"/>
  <c r="AV16" i="81"/>
  <c r="BC12" i="82"/>
  <c r="BC31" i="81"/>
  <c r="AS12" i="78"/>
  <c r="AS31" i="78" s="1"/>
  <c r="AN38" i="78"/>
  <c r="AN42" i="78" s="1"/>
  <c r="AN16" i="77"/>
  <c r="AS16" i="77" s="1"/>
  <c r="AN26" i="77"/>
  <c r="AS26" i="77" s="1"/>
  <c r="AN25" i="77"/>
  <c r="AS25" i="77" s="1"/>
  <c r="AN27" i="77"/>
  <c r="AS27" i="77" s="1"/>
  <c r="AN15" i="77"/>
  <c r="AS15" i="77" s="1"/>
  <c r="AN22" i="77"/>
  <c r="AS22" i="77" s="1"/>
  <c r="AN13" i="77"/>
  <c r="AS13" i="77" s="1"/>
  <c r="AN23" i="77"/>
  <c r="AS23" i="77" s="1"/>
  <c r="AN18" i="77"/>
  <c r="AS18" i="77" s="1"/>
  <c r="AN21" i="77"/>
  <c r="AS21" i="77" s="1"/>
  <c r="AN17" i="77"/>
  <c r="AS17" i="77" s="1"/>
  <c r="AM34" i="77"/>
  <c r="AM52" i="77" s="1"/>
  <c r="S38" i="77"/>
  <c r="S42" i="77" s="1"/>
  <c r="AN12" i="77"/>
  <c r="AJ42" i="77"/>
  <c r="AN28" i="77"/>
  <c r="AS28" i="77" s="1"/>
  <c r="AM38" i="77"/>
  <c r="AM42" i="77" s="1"/>
  <c r="AN20" i="77"/>
  <c r="AS20" i="77" s="1"/>
  <c r="AN14" i="77"/>
  <c r="AS14" i="77" s="1"/>
  <c r="AN19" i="77"/>
  <c r="AS19" i="77" s="1"/>
  <c r="AM31" i="76"/>
  <c r="AM34" i="76" s="1"/>
  <c r="AM52" i="76" s="1"/>
  <c r="S24" i="76"/>
  <c r="AN24" i="76" s="1"/>
  <c r="AS24" i="76" s="1"/>
  <c r="AN16" i="76"/>
  <c r="AS16" i="76" s="1"/>
  <c r="S27" i="76"/>
  <c r="AN27" i="76" s="1"/>
  <c r="AS27" i="76" s="1"/>
  <c r="S20" i="76"/>
  <c r="AN20" i="76" s="1"/>
  <c r="AS20" i="76" s="1"/>
  <c r="S22" i="76"/>
  <c r="AN22" i="76" s="1"/>
  <c r="AS22" i="76" s="1"/>
  <c r="S12" i="76"/>
  <c r="S25" i="76"/>
  <c r="AN25" i="76" s="1"/>
  <c r="AS25" i="76" s="1"/>
  <c r="S14" i="76"/>
  <c r="AN14" i="76" s="1"/>
  <c r="AS14" i="76" s="1"/>
  <c r="AN28" i="76"/>
  <c r="AS28" i="76" s="1"/>
  <c r="S26" i="76"/>
  <c r="AN26" i="76" s="1"/>
  <c r="AS26" i="76" s="1"/>
  <c r="S23" i="76"/>
  <c r="AN23" i="76" s="1"/>
  <c r="AS23" i="76" s="1"/>
  <c r="S18" i="76"/>
  <c r="AN18" i="76" s="1"/>
  <c r="AS18" i="76" s="1"/>
  <c r="S34" i="76"/>
  <c r="S19" i="76"/>
  <c r="AN19" i="76" s="1"/>
  <c r="AS19" i="76" s="1"/>
  <c r="S17" i="76"/>
  <c r="AN17" i="76" s="1"/>
  <c r="AS17" i="76" s="1"/>
  <c r="S15" i="76"/>
  <c r="AN15" i="76" s="1"/>
  <c r="AS15" i="76" s="1"/>
  <c r="S13" i="76"/>
  <c r="AN13" i="76" s="1"/>
  <c r="AS13" i="76" s="1"/>
  <c r="BH38" i="76"/>
  <c r="BH40" i="76" s="1"/>
  <c r="AF42" i="76"/>
  <c r="AJ38" i="76"/>
  <c r="AJ42" i="76" s="1"/>
  <c r="S21" i="76"/>
  <c r="AN21" i="76" s="1"/>
  <c r="AS21" i="76" s="1"/>
  <c r="AF20" i="75"/>
  <c r="AJ20" i="75" s="1"/>
  <c r="AM20" i="75" s="1"/>
  <c r="AJ27" i="75"/>
  <c r="AM27" i="75" s="1"/>
  <c r="AF24" i="75"/>
  <c r="AJ24" i="75" s="1"/>
  <c r="AM24" i="75" s="1"/>
  <c r="AF21" i="75"/>
  <c r="AJ21" i="75" s="1"/>
  <c r="AM21" i="75" s="1"/>
  <c r="AM14" i="75"/>
  <c r="AJ18" i="75"/>
  <c r="AM18" i="75" s="1"/>
  <c r="AI38" i="75"/>
  <c r="AF19" i="75"/>
  <c r="AJ19" i="75" s="1"/>
  <c r="AM19" i="75" s="1"/>
  <c r="AF16" i="75"/>
  <c r="AJ16" i="75" s="1"/>
  <c r="AM16" i="75" s="1"/>
  <c r="AI31" i="75"/>
  <c r="R38" i="75"/>
  <c r="AF12" i="75"/>
  <c r="AJ12" i="75" s="1"/>
  <c r="R31" i="75"/>
  <c r="AM13" i="75"/>
  <c r="M42" i="75"/>
  <c r="Z38" i="75"/>
  <c r="Q42" i="75"/>
  <c r="AM15" i="75"/>
  <c r="AF22" i="75"/>
  <c r="AJ22" i="75" s="1"/>
  <c r="AM22" i="75" s="1"/>
  <c r="Z31" i="75"/>
  <c r="AF38" i="75" s="1"/>
  <c r="AZ42" i="80" l="1"/>
  <c r="AZ41" i="81"/>
  <c r="BK31" i="80"/>
  <c r="BK41" i="81" s="1"/>
  <c r="AZ31" i="81"/>
  <c r="AZ41" i="82" s="1"/>
  <c r="AX31" i="82"/>
  <c r="AX40" i="82" s="1"/>
  <c r="BK40" i="79"/>
  <c r="BK42" i="79" s="1"/>
  <c r="AM42" i="76"/>
  <c r="BI14" i="82"/>
  <c r="BK14" i="81"/>
  <c r="AZ15" i="83"/>
  <c r="AX15" i="84"/>
  <c r="AT13" i="84"/>
  <c r="AV13" i="83"/>
  <c r="BI13" i="82"/>
  <c r="BK13" i="81"/>
  <c r="AZ16" i="82"/>
  <c r="AX16" i="83"/>
  <c r="BH31" i="77"/>
  <c r="BH16" i="78"/>
  <c r="BB16" i="79"/>
  <c r="AX40" i="81"/>
  <c r="AX42" i="81" s="1"/>
  <c r="AX41" i="82"/>
  <c r="AT15" i="84"/>
  <c r="AV15" i="83"/>
  <c r="BB13" i="81"/>
  <c r="BH13" i="80"/>
  <c r="BC12" i="83"/>
  <c r="BC31" i="82"/>
  <c r="BB15" i="82"/>
  <c r="BH15" i="81"/>
  <c r="AW12" i="83"/>
  <c r="AW31" i="82"/>
  <c r="AY41" i="86"/>
  <c r="AY40" i="85"/>
  <c r="AY42" i="85" s="1"/>
  <c r="BB17" i="79"/>
  <c r="BH17" i="78"/>
  <c r="AT12" i="84"/>
  <c r="BI15" i="83"/>
  <c r="BK15" i="82"/>
  <c r="AX17" i="84"/>
  <c r="AZ17" i="83"/>
  <c r="AZ14" i="82"/>
  <c r="AX14" i="83"/>
  <c r="BE12" i="82"/>
  <c r="BE31" i="81"/>
  <c r="BB14" i="79"/>
  <c r="BH14" i="78"/>
  <c r="BB31" i="78"/>
  <c r="BJ41" i="86"/>
  <c r="BJ40" i="85"/>
  <c r="BJ42" i="85" s="1"/>
  <c r="AR41" i="86"/>
  <c r="AR40" i="85"/>
  <c r="AR42" i="85" s="1"/>
  <c r="BD12" i="82"/>
  <c r="BD31" i="81"/>
  <c r="BI16" i="82"/>
  <c r="BK16" i="81"/>
  <c r="AZ13" i="82"/>
  <c r="AX13" i="83"/>
  <c r="AT16" i="83"/>
  <c r="AV16" i="82"/>
  <c r="BG13" i="82"/>
  <c r="BG31" i="81"/>
  <c r="AT17" i="83"/>
  <c r="AV17" i="82"/>
  <c r="AZ12" i="83"/>
  <c r="AX12" i="84"/>
  <c r="BJ12" i="87"/>
  <c r="BJ31" i="87" s="1"/>
  <c r="BJ40" i="87" s="1"/>
  <c r="BJ31" i="86"/>
  <c r="AR12" i="87"/>
  <c r="AR31" i="87" s="1"/>
  <c r="AR40" i="87" s="1"/>
  <c r="AR31" i="86"/>
  <c r="BI31" i="81"/>
  <c r="BB12" i="82"/>
  <c r="BH12" i="81"/>
  <c r="BF12" i="83"/>
  <c r="BF31" i="82"/>
  <c r="BI17" i="82"/>
  <c r="BK17" i="81"/>
  <c r="BG12" i="84"/>
  <c r="AY12" i="87"/>
  <c r="AY31" i="87" s="1"/>
  <c r="AY40" i="87" s="1"/>
  <c r="AY31" i="86"/>
  <c r="AV31" i="81"/>
  <c r="AV41" i="81"/>
  <c r="AV40" i="80"/>
  <c r="AV42" i="80" s="1"/>
  <c r="AU12" i="83"/>
  <c r="AU31" i="82"/>
  <c r="AW40" i="81"/>
  <c r="AW42" i="81" s="1"/>
  <c r="AW41" i="82"/>
  <c r="BI12" i="83"/>
  <c r="BK12" i="82"/>
  <c r="BI40" i="80"/>
  <c r="BI42" i="80" s="1"/>
  <c r="BI41" i="81"/>
  <c r="AV14" i="82"/>
  <c r="AT14" i="83"/>
  <c r="AN38" i="77"/>
  <c r="AN42" i="77" s="1"/>
  <c r="AS12" i="77"/>
  <c r="AS31" i="77" s="1"/>
  <c r="R34" i="75"/>
  <c r="F38" i="76"/>
  <c r="F42" i="76" s="1"/>
  <c r="S38" i="76"/>
  <c r="S42" i="76" s="1"/>
  <c r="AN12" i="76"/>
  <c r="AI42" i="75"/>
  <c r="BK38" i="75"/>
  <c r="R42" i="75"/>
  <c r="S31" i="75"/>
  <c r="S21" i="75" s="1"/>
  <c r="Z42" i="75"/>
  <c r="AF31" i="75"/>
  <c r="AF42" i="75" s="1"/>
  <c r="AJ31" i="75"/>
  <c r="T38" i="76" s="1"/>
  <c r="T42" i="76" s="1"/>
  <c r="AM12" i="75"/>
  <c r="AM31" i="75" s="1"/>
  <c r="F38" i="75"/>
  <c r="F42" i="75" s="1"/>
  <c r="BK40" i="80" l="1"/>
  <c r="BK42" i="80" s="1"/>
  <c r="AZ40" i="81"/>
  <c r="AZ42" i="81" s="1"/>
  <c r="AX41" i="83"/>
  <c r="AX31" i="83"/>
  <c r="AX41" i="84" s="1"/>
  <c r="AV31" i="82"/>
  <c r="AV40" i="82" s="1"/>
  <c r="AZ31" i="82"/>
  <c r="AZ41" i="83" s="1"/>
  <c r="BK31" i="81"/>
  <c r="BK41" i="82" s="1"/>
  <c r="BB14" i="80"/>
  <c r="BH14" i="79"/>
  <c r="BB31" i="79"/>
  <c r="AW40" i="82"/>
  <c r="AW42" i="82" s="1"/>
  <c r="AW41" i="83"/>
  <c r="AU12" i="84"/>
  <c r="AV12" i="84" s="1"/>
  <c r="AU31" i="83"/>
  <c r="AR40" i="86"/>
  <c r="AR42" i="86" s="1"/>
  <c r="AR41" i="87"/>
  <c r="AR42" i="87" s="1"/>
  <c r="AT17" i="84"/>
  <c r="AV17" i="83"/>
  <c r="BG13" i="83"/>
  <c r="BG31" i="82"/>
  <c r="BK16" i="82"/>
  <c r="BI16" i="83"/>
  <c r="BK15" i="83"/>
  <c r="BI15" i="84"/>
  <c r="BB17" i="80"/>
  <c r="BH17" i="79"/>
  <c r="AW12" i="84"/>
  <c r="AW31" i="83"/>
  <c r="BC12" i="84"/>
  <c r="BC31" i="83"/>
  <c r="AT15" i="85"/>
  <c r="AV15" i="84"/>
  <c r="AX42" i="82"/>
  <c r="BI40" i="81"/>
  <c r="BI42" i="81" s="1"/>
  <c r="BI41" i="82"/>
  <c r="BI13" i="83"/>
  <c r="BK13" i="82"/>
  <c r="BG12" i="85"/>
  <c r="BF12" i="84"/>
  <c r="BF31" i="83"/>
  <c r="AX12" i="85"/>
  <c r="AZ12" i="84"/>
  <c r="AT12" i="85"/>
  <c r="BH41" i="78"/>
  <c r="BH40" i="77"/>
  <c r="BH42" i="77" s="1"/>
  <c r="AX15" i="85"/>
  <c r="AZ15" i="84"/>
  <c r="AX14" i="84"/>
  <c r="AZ14" i="83"/>
  <c r="BI31" i="82"/>
  <c r="AT16" i="84"/>
  <c r="AV16" i="83"/>
  <c r="BD12" i="83"/>
  <c r="BD31" i="82"/>
  <c r="AX17" i="85"/>
  <c r="AZ17" i="84"/>
  <c r="AV12" i="83"/>
  <c r="BB13" i="82"/>
  <c r="BH13" i="81"/>
  <c r="AV41" i="82"/>
  <c r="AV40" i="81"/>
  <c r="AV42" i="81" s="1"/>
  <c r="BI17" i="83"/>
  <c r="BK17" i="82"/>
  <c r="AX13" i="84"/>
  <c r="AZ13" i="83"/>
  <c r="BB16" i="80"/>
  <c r="BH16" i="79"/>
  <c r="AT13" i="85"/>
  <c r="AV13" i="84"/>
  <c r="AT14" i="84"/>
  <c r="AV14" i="83"/>
  <c r="BK12" i="83"/>
  <c r="BI12" i="84"/>
  <c r="AY41" i="87"/>
  <c r="AY42" i="87" s="1"/>
  <c r="AY40" i="86"/>
  <c r="AY42" i="86" s="1"/>
  <c r="BB12" i="83"/>
  <c r="BH12" i="82"/>
  <c r="BJ40" i="86"/>
  <c r="BJ42" i="86" s="1"/>
  <c r="BJ41" i="87"/>
  <c r="BJ42" i="87" s="1"/>
  <c r="BH31" i="78"/>
  <c r="BE12" i="83"/>
  <c r="BE31" i="82"/>
  <c r="BB15" i="83"/>
  <c r="BH15" i="82"/>
  <c r="AX16" i="84"/>
  <c r="AZ16" i="83"/>
  <c r="BK14" i="82"/>
  <c r="BI14" i="83"/>
  <c r="AN38" i="76"/>
  <c r="AN42" i="76" s="1"/>
  <c r="AS12" i="76"/>
  <c r="AS31" i="76" s="1"/>
  <c r="S24" i="75"/>
  <c r="AN24" i="75" s="1"/>
  <c r="S34" i="75"/>
  <c r="S23" i="75"/>
  <c r="AN23" i="75" s="1"/>
  <c r="S16" i="75"/>
  <c r="AN16" i="75" s="1"/>
  <c r="S22" i="75"/>
  <c r="AN22" i="75" s="1"/>
  <c r="S13" i="75"/>
  <c r="AN13" i="75" s="1"/>
  <c r="S12" i="75"/>
  <c r="AN12" i="75" s="1"/>
  <c r="S26" i="75"/>
  <c r="AN26" i="75" s="1"/>
  <c r="S18" i="75"/>
  <c r="AN18" i="75" s="1"/>
  <c r="S19" i="75"/>
  <c r="AN19" i="75" s="1"/>
  <c r="S17" i="75"/>
  <c r="AN17" i="75" s="1"/>
  <c r="S20" i="75"/>
  <c r="AN20" i="75" s="1"/>
  <c r="S14" i="75"/>
  <c r="AN14" i="75" s="1"/>
  <c r="S25" i="75"/>
  <c r="AN25" i="75" s="1"/>
  <c r="S15" i="75"/>
  <c r="AN15" i="75" s="1"/>
  <c r="S27" i="75"/>
  <c r="AN27" i="75" s="1"/>
  <c r="BH38" i="75"/>
  <c r="AJ38" i="75"/>
  <c r="AJ42" i="75" s="1"/>
  <c r="AN21" i="75"/>
  <c r="AN28" i="75"/>
  <c r="AM38" i="75"/>
  <c r="AM42" i="75" s="1"/>
  <c r="AM34" i="75"/>
  <c r="AM52" i="75" s="1"/>
  <c r="T38" i="75"/>
  <c r="T42" i="75" s="1"/>
  <c r="AV41" i="83" l="1"/>
  <c r="AZ40" i="82"/>
  <c r="AZ42" i="82" s="1"/>
  <c r="AX40" i="83"/>
  <c r="AX42" i="83" s="1"/>
  <c r="AZ31" i="83"/>
  <c r="AZ41" i="84" s="1"/>
  <c r="BK40" i="81"/>
  <c r="BK42" i="81" s="1"/>
  <c r="BK31" i="82"/>
  <c r="BK41" i="83" s="1"/>
  <c r="BH41" i="79"/>
  <c r="BH40" i="78"/>
  <c r="BH42" i="78" s="1"/>
  <c r="BI40" i="82"/>
  <c r="BI42" i="82" s="1"/>
  <c r="BI41" i="83"/>
  <c r="BG12" i="86"/>
  <c r="BK15" i="84"/>
  <c r="BI15" i="85"/>
  <c r="BH15" i="83"/>
  <c r="BB15" i="84"/>
  <c r="BB16" i="81"/>
  <c r="BH16" i="80"/>
  <c r="AT16" i="85"/>
  <c r="AV16" i="84"/>
  <c r="BI14" i="84"/>
  <c r="BK14" i="83"/>
  <c r="BI31" i="83"/>
  <c r="BB13" i="83"/>
  <c r="BH13" i="82"/>
  <c r="BI13" i="84"/>
  <c r="BK13" i="83"/>
  <c r="BK16" i="83"/>
  <c r="BI16" i="84"/>
  <c r="AV42" i="82"/>
  <c r="BE12" i="84"/>
  <c r="BE31" i="83"/>
  <c r="BH12" i="83"/>
  <c r="BB12" i="84"/>
  <c r="BI12" i="85"/>
  <c r="BK12" i="84"/>
  <c r="AT13" i="86"/>
  <c r="AV13" i="85"/>
  <c r="AX13" i="85"/>
  <c r="AZ13" i="84"/>
  <c r="BK17" i="83"/>
  <c r="BI17" i="84"/>
  <c r="AX12" i="86"/>
  <c r="AZ12" i="85"/>
  <c r="AT15" i="86"/>
  <c r="AV15" i="85"/>
  <c r="BB17" i="81"/>
  <c r="BH17" i="80"/>
  <c r="AX16" i="85"/>
  <c r="AZ16" i="84"/>
  <c r="AV31" i="83"/>
  <c r="BD12" i="84"/>
  <c r="BD31" i="83"/>
  <c r="BC12" i="85"/>
  <c r="BC31" i="84"/>
  <c r="BG13" i="84"/>
  <c r="BG31" i="83"/>
  <c r="BH31" i="79"/>
  <c r="AX15" i="86"/>
  <c r="AZ15" i="85"/>
  <c r="AT12" i="86"/>
  <c r="BF12" i="85"/>
  <c r="BF31" i="84"/>
  <c r="AW40" i="83"/>
  <c r="AW42" i="83" s="1"/>
  <c r="AW41" i="84"/>
  <c r="BH14" i="80"/>
  <c r="BB14" i="81"/>
  <c r="BB31" i="80"/>
  <c r="AW12" i="85"/>
  <c r="AW31" i="84"/>
  <c r="AT17" i="85"/>
  <c r="AV17" i="84"/>
  <c r="AU12" i="85"/>
  <c r="AV12" i="85" s="1"/>
  <c r="AU31" i="84"/>
  <c r="AT14" i="85"/>
  <c r="AV14" i="84"/>
  <c r="AX31" i="84"/>
  <c r="AX14" i="85"/>
  <c r="AZ14" i="84"/>
  <c r="AX17" i="86"/>
  <c r="AZ17" i="85"/>
  <c r="AS31" i="75"/>
  <c r="S38" i="75"/>
  <c r="S42" i="75" s="1"/>
  <c r="AN38" i="75"/>
  <c r="AN42" i="75" s="1"/>
  <c r="AZ40" i="83" l="1"/>
  <c r="AZ42" i="83" s="1"/>
  <c r="BK40" i="82"/>
  <c r="BK42" i="82" s="1"/>
  <c r="AV31" i="84"/>
  <c r="AV41" i="85" s="1"/>
  <c r="AZ31" i="84"/>
  <c r="AZ40" i="84" s="1"/>
  <c r="AZ42" i="84" s="1"/>
  <c r="BK31" i="83"/>
  <c r="BK41" i="84" s="1"/>
  <c r="AX17" i="87"/>
  <c r="AZ17" i="87" s="1"/>
  <c r="AZ17" i="86"/>
  <c r="BF12" i="86"/>
  <c r="BF31" i="85"/>
  <c r="BB17" i="82"/>
  <c r="BH17" i="81"/>
  <c r="BI12" i="86"/>
  <c r="BK12" i="85"/>
  <c r="BI13" i="85"/>
  <c r="BK13" i="84"/>
  <c r="BK14" i="84"/>
  <c r="BI14" i="85"/>
  <c r="BG12" i="87"/>
  <c r="AT17" i="86"/>
  <c r="AV17" i="85"/>
  <c r="BC12" i="86"/>
  <c r="BC31" i="85"/>
  <c r="AX12" i="87"/>
  <c r="P89" i="89" s="1"/>
  <c r="AZ12" i="86"/>
  <c r="BE12" i="85"/>
  <c r="BE31" i="84"/>
  <c r="AX14" i="86"/>
  <c r="AZ14" i="85"/>
  <c r="AT12" i="87"/>
  <c r="AT15" i="87"/>
  <c r="AV15" i="87" s="1"/>
  <c r="AV15" i="86"/>
  <c r="BI17" i="85"/>
  <c r="BK17" i="84"/>
  <c r="BI40" i="83"/>
  <c r="BI42" i="83" s="1"/>
  <c r="BI41" i="84"/>
  <c r="AT16" i="86"/>
  <c r="AV16" i="85"/>
  <c r="AV14" i="85"/>
  <c r="AT14" i="86"/>
  <c r="AW12" i="86"/>
  <c r="AW31" i="85"/>
  <c r="AX31" i="85"/>
  <c r="AX40" i="84"/>
  <c r="AX42" i="84" s="1"/>
  <c r="AX41" i="85"/>
  <c r="AU12" i="86"/>
  <c r="AU31" i="85"/>
  <c r="BH14" i="81"/>
  <c r="BB14" i="82"/>
  <c r="BB31" i="81"/>
  <c r="BH41" i="80"/>
  <c r="BH40" i="79"/>
  <c r="BH42" i="79" s="1"/>
  <c r="BD12" i="85"/>
  <c r="BD31" i="84"/>
  <c r="AT13" i="87"/>
  <c r="AV13" i="87" s="1"/>
  <c r="AV13" i="86"/>
  <c r="BI16" i="85"/>
  <c r="BK16" i="84"/>
  <c r="BI15" i="86"/>
  <c r="BK15" i="85"/>
  <c r="AW40" i="84"/>
  <c r="AW42" i="84" s="1"/>
  <c r="AW41" i="85"/>
  <c r="BH31" i="80"/>
  <c r="AZ15" i="86"/>
  <c r="AX15" i="87"/>
  <c r="AZ15" i="87" s="1"/>
  <c r="AV41" i="84"/>
  <c r="AV40" i="83"/>
  <c r="AV42" i="83" s="1"/>
  <c r="AX16" i="86"/>
  <c r="AZ16" i="85"/>
  <c r="BI31" i="84"/>
  <c r="BB12" i="85"/>
  <c r="BH12" i="84"/>
  <c r="BH16" i="81"/>
  <c r="BB16" i="82"/>
  <c r="BG13" i="85"/>
  <c r="BG31" i="84"/>
  <c r="AX13" i="86"/>
  <c r="AZ13" i="85"/>
  <c r="BB13" i="84"/>
  <c r="BH13" i="83"/>
  <c r="BB15" i="85"/>
  <c r="BH15" i="84"/>
  <c r="AY31" i="75"/>
  <c r="AR31" i="75"/>
  <c r="BJ31" i="75"/>
  <c r="BC31" i="75"/>
  <c r="P67" i="89" l="1"/>
  <c r="P35" i="89"/>
  <c r="P27" i="89"/>
  <c r="P76" i="89"/>
  <c r="P77" i="89"/>
  <c r="P73" i="89"/>
  <c r="P55" i="89"/>
  <c r="P54" i="89"/>
  <c r="P62" i="89"/>
  <c r="P20" i="89"/>
  <c r="P84" i="89"/>
  <c r="P75" i="89"/>
  <c r="P44" i="89"/>
  <c r="P23" i="89"/>
  <c r="P81" i="89"/>
  <c r="P70" i="89"/>
  <c r="P41" i="89"/>
  <c r="P58" i="89"/>
  <c r="P74" i="89"/>
  <c r="P71" i="89"/>
  <c r="P36" i="89"/>
  <c r="P50" i="89"/>
  <c r="P47" i="89"/>
  <c r="P61" i="89"/>
  <c r="P42" i="89"/>
  <c r="P38" i="89"/>
  <c r="P83" i="89"/>
  <c r="P34" i="89"/>
  <c r="P65" i="89"/>
  <c r="P82" i="89"/>
  <c r="P60" i="89"/>
  <c r="P43" i="89"/>
  <c r="P15" i="89"/>
  <c r="P26" i="89"/>
  <c r="P68" i="89"/>
  <c r="P16" i="89"/>
  <c r="P17" i="89"/>
  <c r="P29" i="89"/>
  <c r="P13" i="89"/>
  <c r="P30" i="89"/>
  <c r="P85" i="89"/>
  <c r="P69" i="89"/>
  <c r="P31" i="89"/>
  <c r="P25" i="89"/>
  <c r="P40" i="89"/>
  <c r="P63" i="89"/>
  <c r="P64" i="89"/>
  <c r="P86" i="89"/>
  <c r="P49" i="89"/>
  <c r="P78" i="89"/>
  <c r="P57" i="89"/>
  <c r="P21" i="89"/>
  <c r="P12" i="89"/>
  <c r="P32" i="89"/>
  <c r="P46" i="89"/>
  <c r="P56" i="89"/>
  <c r="P53" i="89"/>
  <c r="P14" i="89"/>
  <c r="P72" i="89"/>
  <c r="P51" i="89"/>
  <c r="P19" i="89"/>
  <c r="P45" i="89"/>
  <c r="P80" i="89"/>
  <c r="P66" i="89"/>
  <c r="P33" i="89"/>
  <c r="P79" i="89"/>
  <c r="P24" i="89"/>
  <c r="P37" i="89"/>
  <c r="P52" i="89"/>
  <c r="P48" i="89"/>
  <c r="P28" i="89"/>
  <c r="P22" i="89"/>
  <c r="P18" i="89"/>
  <c r="P39" i="89"/>
  <c r="P59" i="89"/>
  <c r="AV40" i="84"/>
  <c r="AV42" i="84" s="1"/>
  <c r="AZ31" i="85"/>
  <c r="AZ40" i="85" s="1"/>
  <c r="BK40" i="83"/>
  <c r="BK42" i="83" s="1"/>
  <c r="AZ41" i="85"/>
  <c r="AV31" i="85"/>
  <c r="AV40" i="85" s="1"/>
  <c r="AV42" i="85" s="1"/>
  <c r="BK31" i="84"/>
  <c r="BK41" i="85" s="1"/>
  <c r="BC12" i="87"/>
  <c r="BC31" i="86"/>
  <c r="AU12" i="87"/>
  <c r="AU31" i="87" s="1"/>
  <c r="AU31" i="86"/>
  <c r="AX40" i="85"/>
  <c r="AX42" i="85" s="1"/>
  <c r="AX41" i="86"/>
  <c r="AW12" i="87"/>
  <c r="AW31" i="86"/>
  <c r="AT16" i="87"/>
  <c r="AV16" i="87" s="1"/>
  <c r="AV16" i="86"/>
  <c r="AZ14" i="86"/>
  <c r="AX14" i="87"/>
  <c r="AZ14" i="87" s="1"/>
  <c r="BI14" i="86"/>
  <c r="BK14" i="85"/>
  <c r="BI16" i="86"/>
  <c r="BK16" i="85"/>
  <c r="BD12" i="86"/>
  <c r="BD31" i="85"/>
  <c r="AT14" i="87"/>
  <c r="AV14" i="87" s="1"/>
  <c r="AV14" i="86"/>
  <c r="AV12" i="86"/>
  <c r="AX16" i="87"/>
  <c r="AZ16" i="87" s="1"/>
  <c r="AZ16" i="86"/>
  <c r="BE12" i="86"/>
  <c r="BE31" i="85"/>
  <c r="BB17" i="83"/>
  <c r="BH17" i="82"/>
  <c r="BB13" i="85"/>
  <c r="BH13" i="84"/>
  <c r="AW40" i="85"/>
  <c r="AW42" i="85" s="1"/>
  <c r="AW41" i="86"/>
  <c r="BF12" i="87"/>
  <c r="BF31" i="86"/>
  <c r="BB15" i="86"/>
  <c r="BH15" i="85"/>
  <c r="AZ13" i="86"/>
  <c r="AX13" i="87"/>
  <c r="AZ13" i="87" s="1"/>
  <c r="BH16" i="82"/>
  <c r="BB16" i="83"/>
  <c r="BB12" i="86"/>
  <c r="BH12" i="85"/>
  <c r="BH41" i="81"/>
  <c r="BH40" i="80"/>
  <c r="BH42" i="80" s="1"/>
  <c r="BH14" i="82"/>
  <c r="BB14" i="83"/>
  <c r="BB31" i="82"/>
  <c r="AZ12" i="87"/>
  <c r="AV17" i="86"/>
  <c r="AT17" i="87"/>
  <c r="AV17" i="87" s="1"/>
  <c r="BI13" i="86"/>
  <c r="BK13" i="85"/>
  <c r="BG13" i="86"/>
  <c r="BG31" i="85"/>
  <c r="BI40" i="84"/>
  <c r="BI42" i="84" s="1"/>
  <c r="BI41" i="85"/>
  <c r="BH31" i="81"/>
  <c r="BK17" i="85"/>
  <c r="BI17" i="86"/>
  <c r="BI31" i="85"/>
  <c r="BI15" i="87"/>
  <c r="BK15" i="87" s="1"/>
  <c r="BK15" i="86"/>
  <c r="BI12" i="87"/>
  <c r="AC89" i="89" s="1"/>
  <c r="BK12" i="86"/>
  <c r="AX31" i="86"/>
  <c r="AY40" i="75"/>
  <c r="AY41" i="76"/>
  <c r="AY42" i="76" s="1"/>
  <c r="BJ40" i="75"/>
  <c r="BJ41" i="76"/>
  <c r="BJ42" i="76" s="1"/>
  <c r="AR40" i="75"/>
  <c r="AR41" i="76"/>
  <c r="AR42" i="76" s="1"/>
  <c r="AR41" i="75"/>
  <c r="BJ41" i="75"/>
  <c r="AY41" i="75"/>
  <c r="BC31" i="87" l="1"/>
  <c r="Y89" i="89"/>
  <c r="BF31" i="87"/>
  <c r="AA89" i="89"/>
  <c r="AC83" i="89"/>
  <c r="AC61" i="89"/>
  <c r="AC44" i="89"/>
  <c r="AC75" i="89"/>
  <c r="AC59" i="89"/>
  <c r="AC70" i="89"/>
  <c r="AC51" i="89"/>
  <c r="AC71" i="89"/>
  <c r="AC80" i="89"/>
  <c r="AC15" i="89"/>
  <c r="AC81" i="89"/>
  <c r="AC63" i="89"/>
  <c r="AC79" i="89"/>
  <c r="AC60" i="89"/>
  <c r="AC77" i="89"/>
  <c r="AC39" i="89"/>
  <c r="AC21" i="89"/>
  <c r="AC69" i="89"/>
  <c r="AC37" i="89"/>
  <c r="AC66" i="89"/>
  <c r="AC13" i="89"/>
  <c r="AC56" i="89"/>
  <c r="AC18" i="89"/>
  <c r="AC28" i="89"/>
  <c r="AC25" i="89"/>
  <c r="AC26" i="89"/>
  <c r="AC38" i="89"/>
  <c r="AC54" i="89"/>
  <c r="AC36" i="89"/>
  <c r="AC17" i="89"/>
  <c r="AC31" i="89"/>
  <c r="AC40" i="89"/>
  <c r="AC82" i="89"/>
  <c r="AC22" i="89"/>
  <c r="AC20" i="89"/>
  <c r="AC62" i="89"/>
  <c r="AC27" i="89"/>
  <c r="AC64" i="89"/>
  <c r="AC33" i="89"/>
  <c r="AC29" i="89"/>
  <c r="AC16" i="89"/>
  <c r="AC48" i="89"/>
  <c r="AC41" i="89"/>
  <c r="AC76" i="89"/>
  <c r="AC23" i="89"/>
  <c r="AC46" i="89"/>
  <c r="AC52" i="89"/>
  <c r="AC58" i="89"/>
  <c r="AC42" i="89"/>
  <c r="AC68" i="89"/>
  <c r="AC74" i="89"/>
  <c r="AC57" i="89"/>
  <c r="AC73" i="89"/>
  <c r="AC45" i="89"/>
  <c r="AC19" i="89"/>
  <c r="AC53" i="89"/>
  <c r="AC55" i="89"/>
  <c r="AC72" i="89"/>
  <c r="AC12" i="89"/>
  <c r="AC14" i="89"/>
  <c r="AC30" i="89"/>
  <c r="AC84" i="89"/>
  <c r="AC43" i="89"/>
  <c r="AC50" i="89"/>
  <c r="AC34" i="89"/>
  <c r="AC67" i="89"/>
  <c r="AC49" i="89"/>
  <c r="AC35" i="89"/>
  <c r="AC32" i="89"/>
  <c r="AC24" i="89"/>
  <c r="AC65" i="89"/>
  <c r="AC78" i="89"/>
  <c r="AC86" i="89"/>
  <c r="AC85" i="89"/>
  <c r="AC47" i="89"/>
  <c r="R22" i="89"/>
  <c r="AT22" i="89"/>
  <c r="AV22" i="89" s="1"/>
  <c r="AT79" i="89"/>
  <c r="AV79" i="89" s="1"/>
  <c r="R79" i="89"/>
  <c r="R51" i="89"/>
  <c r="AT51" i="89"/>
  <c r="AV51" i="89" s="1"/>
  <c r="AT32" i="89"/>
  <c r="AV32" i="89" s="1"/>
  <c r="R32" i="89"/>
  <c r="AT86" i="89"/>
  <c r="AV86" i="89" s="1"/>
  <c r="R86" i="89"/>
  <c r="AT69" i="89"/>
  <c r="AV69" i="89" s="1"/>
  <c r="R69" i="89"/>
  <c r="AT16" i="89"/>
  <c r="AV16" i="89" s="1"/>
  <c r="R16" i="89"/>
  <c r="R82" i="89"/>
  <c r="AT82" i="89"/>
  <c r="AV82" i="89" s="1"/>
  <c r="AT61" i="89"/>
  <c r="AV61" i="89" s="1"/>
  <c r="R61" i="89"/>
  <c r="R58" i="89"/>
  <c r="AT58" i="89"/>
  <c r="AV58" i="89" s="1"/>
  <c r="AT75" i="89"/>
  <c r="AV75" i="89" s="1"/>
  <c r="R75" i="89"/>
  <c r="R73" i="89"/>
  <c r="AT73" i="89"/>
  <c r="AV73" i="89" s="1"/>
  <c r="AT28" i="89"/>
  <c r="AV28" i="89" s="1"/>
  <c r="R28" i="89"/>
  <c r="AT33" i="89"/>
  <c r="AV33" i="89" s="1"/>
  <c r="R33" i="89"/>
  <c r="AT72" i="89"/>
  <c r="AV72" i="89" s="1"/>
  <c r="R72" i="89"/>
  <c r="AT12" i="89"/>
  <c r="R12" i="89"/>
  <c r="R64" i="89"/>
  <c r="AT64" i="89"/>
  <c r="AV64" i="89" s="1"/>
  <c r="AT85" i="89"/>
  <c r="AV85" i="89" s="1"/>
  <c r="R85" i="89"/>
  <c r="AT68" i="89"/>
  <c r="AV68" i="89" s="1"/>
  <c r="R68" i="89"/>
  <c r="R65" i="89"/>
  <c r="AT65" i="89"/>
  <c r="AV65" i="89" s="1"/>
  <c r="AT47" i="89"/>
  <c r="AV47" i="89" s="1"/>
  <c r="R47" i="89"/>
  <c r="R41" i="89"/>
  <c r="AT41" i="89"/>
  <c r="AV41" i="89" s="1"/>
  <c r="AT84" i="89"/>
  <c r="AV84" i="89" s="1"/>
  <c r="R84" i="89"/>
  <c r="R77" i="89"/>
  <c r="AT77" i="89"/>
  <c r="AV77" i="89" s="1"/>
  <c r="R48" i="89"/>
  <c r="AT48" i="89"/>
  <c r="AV48" i="89" s="1"/>
  <c r="R66" i="89"/>
  <c r="AT66" i="89"/>
  <c r="AV66" i="89" s="1"/>
  <c r="AT14" i="89"/>
  <c r="AV14" i="89" s="1"/>
  <c r="R14" i="89"/>
  <c r="R21" i="89"/>
  <c r="AT21" i="89"/>
  <c r="AV21" i="89" s="1"/>
  <c r="R63" i="89"/>
  <c r="AT63" i="89"/>
  <c r="AV63" i="89" s="1"/>
  <c r="AT30" i="89"/>
  <c r="AV30" i="89" s="1"/>
  <c r="R30" i="89"/>
  <c r="AT26" i="89"/>
  <c r="AV26" i="89" s="1"/>
  <c r="R26" i="89"/>
  <c r="AT34" i="89"/>
  <c r="AV34" i="89" s="1"/>
  <c r="R34" i="89"/>
  <c r="R50" i="89"/>
  <c r="AT50" i="89"/>
  <c r="AV50" i="89" s="1"/>
  <c r="AT70" i="89"/>
  <c r="AV70" i="89" s="1"/>
  <c r="R70" i="89"/>
  <c r="R20" i="89"/>
  <c r="AT20" i="89"/>
  <c r="AV20" i="89" s="1"/>
  <c r="R76" i="89"/>
  <c r="AT76" i="89"/>
  <c r="AV76" i="89" s="1"/>
  <c r="AT59" i="89"/>
  <c r="AV59" i="89" s="1"/>
  <c r="R59" i="89"/>
  <c r="R52" i="89"/>
  <c r="AT52" i="89"/>
  <c r="AV52" i="89" s="1"/>
  <c r="AT80" i="89"/>
  <c r="AV80" i="89" s="1"/>
  <c r="R80" i="89"/>
  <c r="AT53" i="89"/>
  <c r="AV53" i="89" s="1"/>
  <c r="R53" i="89"/>
  <c r="AT57" i="89"/>
  <c r="AV57" i="89" s="1"/>
  <c r="R57" i="89"/>
  <c r="AT40" i="89"/>
  <c r="AV40" i="89" s="1"/>
  <c r="R40" i="89"/>
  <c r="AT13" i="89"/>
  <c r="AV13" i="89" s="1"/>
  <c r="R13" i="89"/>
  <c r="AT15" i="89"/>
  <c r="AV15" i="89" s="1"/>
  <c r="R15" i="89"/>
  <c r="AT83" i="89"/>
  <c r="AV83" i="89" s="1"/>
  <c r="R83" i="89"/>
  <c r="R36" i="89"/>
  <c r="AT36" i="89"/>
  <c r="AV36" i="89" s="1"/>
  <c r="R81" i="89"/>
  <c r="AT81" i="89"/>
  <c r="AV81" i="89" s="1"/>
  <c r="R62" i="89"/>
  <c r="AT62" i="89"/>
  <c r="AV62" i="89" s="1"/>
  <c r="R27" i="89"/>
  <c r="AT27" i="89"/>
  <c r="AV27" i="89" s="1"/>
  <c r="R39" i="89"/>
  <c r="AT39" i="89"/>
  <c r="AV39" i="89" s="1"/>
  <c r="R37" i="89"/>
  <c r="AT37" i="89"/>
  <c r="AV37" i="89" s="1"/>
  <c r="R45" i="89"/>
  <c r="AT45" i="89"/>
  <c r="AV45" i="89" s="1"/>
  <c r="R56" i="89"/>
  <c r="AT56" i="89"/>
  <c r="AV56" i="89" s="1"/>
  <c r="R78" i="89"/>
  <c r="AT78" i="89"/>
  <c r="AV78" i="89" s="1"/>
  <c r="R25" i="89"/>
  <c r="AT25" i="89"/>
  <c r="AV25" i="89" s="1"/>
  <c r="AT29" i="89"/>
  <c r="AV29" i="89" s="1"/>
  <c r="R29" i="89"/>
  <c r="AT43" i="89"/>
  <c r="AV43" i="89" s="1"/>
  <c r="R43" i="89"/>
  <c r="R38" i="89"/>
  <c r="AT38" i="89"/>
  <c r="AV38" i="89" s="1"/>
  <c r="AT71" i="89"/>
  <c r="AV71" i="89" s="1"/>
  <c r="R71" i="89"/>
  <c r="R23" i="89"/>
  <c r="AT23" i="89"/>
  <c r="AV23" i="89" s="1"/>
  <c r="AT54" i="89"/>
  <c r="AV54" i="89" s="1"/>
  <c r="R54" i="89"/>
  <c r="R35" i="89"/>
  <c r="AT35" i="89"/>
  <c r="AV35" i="89" s="1"/>
  <c r="AT18" i="89"/>
  <c r="AV18" i="89" s="1"/>
  <c r="R18" i="89"/>
  <c r="R24" i="89"/>
  <c r="AT24" i="89"/>
  <c r="AV24" i="89" s="1"/>
  <c r="R19" i="89"/>
  <c r="AT19" i="89"/>
  <c r="AV19" i="89" s="1"/>
  <c r="AT46" i="89"/>
  <c r="AV46" i="89" s="1"/>
  <c r="R46" i="89"/>
  <c r="R49" i="89"/>
  <c r="AT49" i="89"/>
  <c r="AV49" i="89" s="1"/>
  <c r="R31" i="89"/>
  <c r="AT31" i="89"/>
  <c r="AV31" i="89" s="1"/>
  <c r="AT17" i="89"/>
  <c r="AV17" i="89" s="1"/>
  <c r="R17" i="89"/>
  <c r="R60" i="89"/>
  <c r="AT60" i="89"/>
  <c r="AV60" i="89" s="1"/>
  <c r="R42" i="89"/>
  <c r="AT42" i="89"/>
  <c r="AV42" i="89" s="1"/>
  <c r="AT74" i="89"/>
  <c r="AV74" i="89" s="1"/>
  <c r="R74" i="89"/>
  <c r="R44" i="89"/>
  <c r="AT44" i="89"/>
  <c r="AV44" i="89" s="1"/>
  <c r="AT55" i="89"/>
  <c r="AV55" i="89" s="1"/>
  <c r="R55" i="89"/>
  <c r="R67" i="89"/>
  <c r="AT67" i="89"/>
  <c r="AV67" i="89" s="1"/>
  <c r="AW31" i="87"/>
  <c r="AW40" i="87" s="1"/>
  <c r="O89" i="89"/>
  <c r="AZ41" i="86"/>
  <c r="AV41" i="86"/>
  <c r="BK40" i="84"/>
  <c r="BK42" i="84" s="1"/>
  <c r="AV12" i="87"/>
  <c r="AY42" i="75"/>
  <c r="AZ42" i="85"/>
  <c r="AZ31" i="86"/>
  <c r="AZ41" i="87" s="1"/>
  <c r="BK31" i="85"/>
  <c r="BK40" i="85" s="1"/>
  <c r="BK42" i="85" s="1"/>
  <c r="BI31" i="86"/>
  <c r="BI41" i="87" s="1"/>
  <c r="BI40" i="85"/>
  <c r="BI42" i="85" s="1"/>
  <c r="BI41" i="86"/>
  <c r="BD12" i="87"/>
  <c r="BD31" i="86"/>
  <c r="AX40" i="86"/>
  <c r="AX42" i="86" s="1"/>
  <c r="AX41" i="87"/>
  <c r="BK17" i="86"/>
  <c r="BI17" i="87"/>
  <c r="BK17" i="87" s="1"/>
  <c r="BB14" i="84"/>
  <c r="BH14" i="83"/>
  <c r="BB31" i="83"/>
  <c r="BB12" i="87"/>
  <c r="W89" i="89" s="1"/>
  <c r="BH12" i="86"/>
  <c r="BB15" i="87"/>
  <c r="BH15" i="87" s="1"/>
  <c r="BH15" i="86"/>
  <c r="BH41" i="82"/>
  <c r="BH40" i="81"/>
  <c r="BH42" i="81" s="1"/>
  <c r="AX31" i="87"/>
  <c r="AX40" i="87" s="1"/>
  <c r="BH31" i="82"/>
  <c r="BB16" i="84"/>
  <c r="BH16" i="83"/>
  <c r="BH17" i="83"/>
  <c r="BB17" i="84"/>
  <c r="BK16" i="86"/>
  <c r="BI16" i="87"/>
  <c r="BK16" i="87" s="1"/>
  <c r="BI13" i="87"/>
  <c r="BK13" i="87" s="1"/>
  <c r="BK13" i="86"/>
  <c r="BE12" i="87"/>
  <c r="BE31" i="87" s="1"/>
  <c r="BE31" i="86"/>
  <c r="BI14" i="87"/>
  <c r="BK14" i="87" s="1"/>
  <c r="BK14" i="86"/>
  <c r="BG13" i="87"/>
  <c r="BG31" i="87" s="1"/>
  <c r="BG31" i="86"/>
  <c r="AZ31" i="87"/>
  <c r="AZ40" i="87" s="1"/>
  <c r="BK12" i="87"/>
  <c r="BB13" i="86"/>
  <c r="BH13" i="85"/>
  <c r="AV31" i="86"/>
  <c r="AW40" i="86"/>
  <c r="AW42" i="86" s="1"/>
  <c r="AW41" i="87"/>
  <c r="BJ42" i="75"/>
  <c r="AR42" i="75"/>
  <c r="AW42" i="87" l="1"/>
  <c r="BD31" i="87"/>
  <c r="Z89" i="89"/>
  <c r="Y38" i="89"/>
  <c r="AZ38" i="89" s="1"/>
  <c r="Y83" i="89"/>
  <c r="AZ83" i="89" s="1"/>
  <c r="Y15" i="89"/>
  <c r="AZ15" i="89" s="1"/>
  <c r="Y66" i="89"/>
  <c r="AZ66" i="89" s="1"/>
  <c r="Y45" i="89"/>
  <c r="AZ45" i="89" s="1"/>
  <c r="Y82" i="89"/>
  <c r="AZ82" i="89" s="1"/>
  <c r="Y22" i="89"/>
  <c r="AZ22" i="89" s="1"/>
  <c r="Y62" i="89"/>
  <c r="AZ62" i="89" s="1"/>
  <c r="Y52" i="89"/>
  <c r="AZ52" i="89" s="1"/>
  <c r="Y70" i="89"/>
  <c r="AZ70" i="89" s="1"/>
  <c r="Y72" i="89"/>
  <c r="AZ72" i="89" s="1"/>
  <c r="Y84" i="89"/>
  <c r="AZ84" i="89" s="1"/>
  <c r="Y32" i="89"/>
  <c r="AZ32" i="89" s="1"/>
  <c r="Y64" i="89"/>
  <c r="AZ64" i="89" s="1"/>
  <c r="Y36" i="89"/>
  <c r="AZ36" i="89" s="1"/>
  <c r="Y53" i="89"/>
  <c r="AZ53" i="89" s="1"/>
  <c r="Y59" i="89"/>
  <c r="AZ59" i="89" s="1"/>
  <c r="Y25" i="89"/>
  <c r="AZ25" i="89" s="1"/>
  <c r="Y55" i="89"/>
  <c r="AZ55" i="89" s="1"/>
  <c r="Y34" i="89"/>
  <c r="AZ34" i="89" s="1"/>
  <c r="Y67" i="89"/>
  <c r="AZ67" i="89" s="1"/>
  <c r="Y49" i="89"/>
  <c r="AZ49" i="89" s="1"/>
  <c r="Y65" i="89"/>
  <c r="AZ65" i="89" s="1"/>
  <c r="Y68" i="89"/>
  <c r="AZ68" i="89" s="1"/>
  <c r="Y81" i="89"/>
  <c r="AZ81" i="89" s="1"/>
  <c r="Y63" i="89"/>
  <c r="AZ63" i="89" s="1"/>
  <c r="Y76" i="89"/>
  <c r="AZ76" i="89" s="1"/>
  <c r="Y13" i="89"/>
  <c r="AZ13" i="89" s="1"/>
  <c r="Y18" i="89"/>
  <c r="AZ18" i="89" s="1"/>
  <c r="Y39" i="89"/>
  <c r="AZ39" i="89" s="1"/>
  <c r="Y28" i="89"/>
  <c r="AZ28" i="89" s="1"/>
  <c r="Y35" i="89"/>
  <c r="AZ35" i="89" s="1"/>
  <c r="Y12" i="89"/>
  <c r="Y47" i="89"/>
  <c r="AZ47" i="89" s="1"/>
  <c r="Y24" i="89"/>
  <c r="AZ24" i="89" s="1"/>
  <c r="Y33" i="89"/>
  <c r="AZ33" i="89" s="1"/>
  <c r="Y80" i="89"/>
  <c r="AZ80" i="89" s="1"/>
  <c r="Y29" i="89"/>
  <c r="AZ29" i="89" s="1"/>
  <c r="Y17" i="89"/>
  <c r="AZ17" i="89" s="1"/>
  <c r="Y48" i="89"/>
  <c r="AZ48" i="89" s="1"/>
  <c r="Y41" i="89"/>
  <c r="AZ41" i="89" s="1"/>
  <c r="Y73" i="89"/>
  <c r="AZ73" i="89" s="1"/>
  <c r="Y44" i="89"/>
  <c r="AZ44" i="89" s="1"/>
  <c r="Y56" i="89"/>
  <c r="AZ56" i="89" s="1"/>
  <c r="Y75" i="89"/>
  <c r="AZ75" i="89" s="1"/>
  <c r="Y40" i="89"/>
  <c r="AZ40" i="89" s="1"/>
  <c r="Y20" i="89"/>
  <c r="AZ20" i="89" s="1"/>
  <c r="Y26" i="89"/>
  <c r="AZ26" i="89" s="1"/>
  <c r="Y58" i="89"/>
  <c r="AZ58" i="89" s="1"/>
  <c r="Y27" i="89"/>
  <c r="AZ27" i="89" s="1"/>
  <c r="Y78" i="89"/>
  <c r="AZ78" i="89" s="1"/>
  <c r="Y86" i="89"/>
  <c r="AZ86" i="89" s="1"/>
  <c r="Y43" i="89"/>
  <c r="AZ43" i="89" s="1"/>
  <c r="Y14" i="89"/>
  <c r="AZ14" i="89" s="1"/>
  <c r="Y42" i="89"/>
  <c r="AZ42" i="89" s="1"/>
  <c r="Y54" i="89"/>
  <c r="AZ54" i="89" s="1"/>
  <c r="Y31" i="89"/>
  <c r="AZ31" i="89" s="1"/>
  <c r="Y23" i="89"/>
  <c r="AZ23" i="89" s="1"/>
  <c r="Y19" i="89"/>
  <c r="AZ19" i="89" s="1"/>
  <c r="Y21" i="89"/>
  <c r="AZ21" i="89" s="1"/>
  <c r="Y51" i="89"/>
  <c r="AZ51" i="89" s="1"/>
  <c r="Y71" i="89"/>
  <c r="AZ71" i="89" s="1"/>
  <c r="Y74" i="89"/>
  <c r="AZ74" i="89" s="1"/>
  <c r="Y69" i="89"/>
  <c r="AZ69" i="89" s="1"/>
  <c r="Y61" i="89"/>
  <c r="AZ61" i="89" s="1"/>
  <c r="Y57" i="89"/>
  <c r="AZ57" i="89" s="1"/>
  <c r="Y16" i="89"/>
  <c r="AZ16" i="89" s="1"/>
  <c r="Y37" i="89"/>
  <c r="AZ37" i="89" s="1"/>
  <c r="Y79" i="89"/>
  <c r="AZ79" i="89" s="1"/>
  <c r="Y60" i="89"/>
  <c r="AZ60" i="89" s="1"/>
  <c r="Y77" i="89"/>
  <c r="AZ77" i="89" s="1"/>
  <c r="Y46" i="89"/>
  <c r="AZ46" i="89" s="1"/>
  <c r="Y50" i="89"/>
  <c r="AZ50" i="89" s="1"/>
  <c r="Y85" i="89"/>
  <c r="AZ85" i="89" s="1"/>
  <c r="Y30" i="89"/>
  <c r="AZ30" i="89" s="1"/>
  <c r="AV31" i="87"/>
  <c r="AV40" i="87" s="1"/>
  <c r="M89" i="89"/>
  <c r="AA16" i="89"/>
  <c r="BB16" i="89" s="1"/>
  <c r="AA41" i="89"/>
  <c r="BB41" i="89" s="1"/>
  <c r="AA77" i="89"/>
  <c r="BB77" i="89" s="1"/>
  <c r="AA45" i="89"/>
  <c r="BB45" i="89" s="1"/>
  <c r="AA82" i="89"/>
  <c r="BB82" i="89" s="1"/>
  <c r="AA39" i="89"/>
  <c r="BB39" i="89" s="1"/>
  <c r="AA25" i="89"/>
  <c r="BB25" i="89" s="1"/>
  <c r="AA35" i="89"/>
  <c r="BB35" i="89" s="1"/>
  <c r="AA12" i="89"/>
  <c r="AA72" i="89"/>
  <c r="BB72" i="89" s="1"/>
  <c r="AA50" i="89"/>
  <c r="BB50" i="89" s="1"/>
  <c r="AA67" i="89"/>
  <c r="BB67" i="89" s="1"/>
  <c r="AA38" i="89"/>
  <c r="BB38" i="89" s="1"/>
  <c r="AA71" i="89"/>
  <c r="BB71" i="89" s="1"/>
  <c r="AA33" i="89"/>
  <c r="BB33" i="89" s="1"/>
  <c r="AA83" i="89"/>
  <c r="BB83" i="89" s="1"/>
  <c r="AA61" i="89"/>
  <c r="BB61" i="89" s="1"/>
  <c r="AA36" i="89"/>
  <c r="BB36" i="89" s="1"/>
  <c r="AA20" i="89"/>
  <c r="BB20" i="89" s="1"/>
  <c r="AA85" i="89"/>
  <c r="BB85" i="89" s="1"/>
  <c r="AA14" i="89"/>
  <c r="BB14" i="89" s="1"/>
  <c r="AA49" i="89"/>
  <c r="BB49" i="89" s="1"/>
  <c r="AA43" i="89"/>
  <c r="BB43" i="89" s="1"/>
  <c r="AA30" i="89"/>
  <c r="BB30" i="89" s="1"/>
  <c r="AA57" i="89"/>
  <c r="BB57" i="89" s="1"/>
  <c r="AA31" i="89"/>
  <c r="BB31" i="89" s="1"/>
  <c r="AA81" i="89"/>
  <c r="BB81" i="89" s="1"/>
  <c r="AA66" i="89"/>
  <c r="BB66" i="89" s="1"/>
  <c r="AA76" i="89"/>
  <c r="BB76" i="89" s="1"/>
  <c r="AA56" i="89"/>
  <c r="BB56" i="89" s="1"/>
  <c r="AA23" i="89"/>
  <c r="BB23" i="89" s="1"/>
  <c r="AA75" i="89"/>
  <c r="BB75" i="89" s="1"/>
  <c r="AA22" i="89"/>
  <c r="BB22" i="89" s="1"/>
  <c r="AA62" i="89"/>
  <c r="BB62" i="89" s="1"/>
  <c r="AA26" i="89"/>
  <c r="BB26" i="89" s="1"/>
  <c r="AA70" i="89"/>
  <c r="BB70" i="89" s="1"/>
  <c r="AA27" i="89"/>
  <c r="BB27" i="89" s="1"/>
  <c r="AA84" i="89"/>
  <c r="BB84" i="89" s="1"/>
  <c r="AA34" i="89"/>
  <c r="BB34" i="89" s="1"/>
  <c r="AA54" i="89"/>
  <c r="BB54" i="89" s="1"/>
  <c r="AA68" i="89"/>
  <c r="BB68" i="89" s="1"/>
  <c r="AA74" i="89"/>
  <c r="BB74" i="89" s="1"/>
  <c r="AA80" i="89"/>
  <c r="BB80" i="89" s="1"/>
  <c r="AA37" i="89"/>
  <c r="BB37" i="89" s="1"/>
  <c r="AA55" i="89"/>
  <c r="BB55" i="89" s="1"/>
  <c r="AA51" i="89"/>
  <c r="BB51" i="89" s="1"/>
  <c r="AA32" i="89"/>
  <c r="BB32" i="89" s="1"/>
  <c r="AA47" i="89"/>
  <c r="BB47" i="89" s="1"/>
  <c r="AA65" i="89"/>
  <c r="BB65" i="89" s="1"/>
  <c r="AA17" i="89"/>
  <c r="BB17" i="89" s="1"/>
  <c r="AA48" i="89"/>
  <c r="BB48" i="89" s="1"/>
  <c r="AA63" i="89"/>
  <c r="BB63" i="89" s="1"/>
  <c r="AA44" i="89"/>
  <c r="BB44" i="89" s="1"/>
  <c r="AA13" i="89"/>
  <c r="BB13" i="89" s="1"/>
  <c r="AA53" i="89"/>
  <c r="BB53" i="89" s="1"/>
  <c r="AA40" i="89"/>
  <c r="BB40" i="89" s="1"/>
  <c r="AA18" i="89"/>
  <c r="BB18" i="89" s="1"/>
  <c r="AA21" i="89"/>
  <c r="BB21" i="89" s="1"/>
  <c r="AA28" i="89"/>
  <c r="BB28" i="89" s="1"/>
  <c r="AA52" i="89"/>
  <c r="BB52" i="89" s="1"/>
  <c r="AA78" i="89"/>
  <c r="BB78" i="89" s="1"/>
  <c r="AA86" i="89"/>
  <c r="BB86" i="89" s="1"/>
  <c r="AA42" i="89"/>
  <c r="BB42" i="89" s="1"/>
  <c r="AA64" i="89"/>
  <c r="BB64" i="89" s="1"/>
  <c r="AA69" i="89"/>
  <c r="BB69" i="89" s="1"/>
  <c r="AA29" i="89"/>
  <c r="BB29" i="89" s="1"/>
  <c r="AA15" i="89"/>
  <c r="BB15" i="89" s="1"/>
  <c r="AA73" i="89"/>
  <c r="BB73" i="89" s="1"/>
  <c r="AA79" i="89"/>
  <c r="BB79" i="89" s="1"/>
  <c r="AA60" i="89"/>
  <c r="BB60" i="89" s="1"/>
  <c r="AA19" i="89"/>
  <c r="BB19" i="89" s="1"/>
  <c r="AA59" i="89"/>
  <c r="BB59" i="89" s="1"/>
  <c r="AA46" i="89"/>
  <c r="BB46" i="89" s="1"/>
  <c r="AA58" i="89"/>
  <c r="BB58" i="89" s="1"/>
  <c r="AA24" i="89"/>
  <c r="BB24" i="89" s="1"/>
  <c r="AG78" i="89"/>
  <c r="BD78" i="89"/>
  <c r="BF78" i="89" s="1"/>
  <c r="AG67" i="89"/>
  <c r="BD67" i="89"/>
  <c r="BF67" i="89" s="1"/>
  <c r="BD14" i="89"/>
  <c r="BF14" i="89" s="1"/>
  <c r="AG14" i="89"/>
  <c r="BD45" i="89"/>
  <c r="BF45" i="89" s="1"/>
  <c r="AG45" i="89"/>
  <c r="BD58" i="89"/>
  <c r="BF58" i="89" s="1"/>
  <c r="AG58" i="89"/>
  <c r="BD48" i="89"/>
  <c r="BF48" i="89" s="1"/>
  <c r="AG48" i="89"/>
  <c r="AG62" i="89"/>
  <c r="BD62" i="89"/>
  <c r="BF62" i="89" s="1"/>
  <c r="BD17" i="89"/>
  <c r="BF17" i="89" s="1"/>
  <c r="AG17" i="89"/>
  <c r="AG28" i="89"/>
  <c r="BD28" i="89"/>
  <c r="BF28" i="89" s="1"/>
  <c r="AG69" i="89"/>
  <c r="BD69" i="89"/>
  <c r="BF69" i="89" s="1"/>
  <c r="AG63" i="89"/>
  <c r="BD63" i="89"/>
  <c r="BF63" i="89" s="1"/>
  <c r="AG70" i="89"/>
  <c r="BD70" i="89"/>
  <c r="BF70" i="89" s="1"/>
  <c r="R89" i="89"/>
  <c r="AG65" i="89"/>
  <c r="BD65" i="89"/>
  <c r="BF65" i="89" s="1"/>
  <c r="BD34" i="89"/>
  <c r="BF34" i="89" s="1"/>
  <c r="AG34" i="89"/>
  <c r="BD12" i="89"/>
  <c r="AG12" i="89"/>
  <c r="AC91" i="89"/>
  <c r="AG73" i="89"/>
  <c r="BD73" i="89"/>
  <c r="BF73" i="89" s="1"/>
  <c r="BD52" i="89"/>
  <c r="BF52" i="89" s="1"/>
  <c r="AG52" i="89"/>
  <c r="BD16" i="89"/>
  <c r="BF16" i="89" s="1"/>
  <c r="AG16" i="89"/>
  <c r="AG20" i="89"/>
  <c r="BD20" i="89"/>
  <c r="BF20" i="89" s="1"/>
  <c r="AG36" i="89"/>
  <c r="BD36" i="89"/>
  <c r="BF36" i="89" s="1"/>
  <c r="BD18" i="89"/>
  <c r="BF18" i="89" s="1"/>
  <c r="AG18" i="89"/>
  <c r="BD21" i="89"/>
  <c r="BF21" i="89" s="1"/>
  <c r="AG21" i="89"/>
  <c r="AG81" i="89"/>
  <c r="BD81" i="89"/>
  <c r="BF81" i="89" s="1"/>
  <c r="BD59" i="89"/>
  <c r="BF59" i="89" s="1"/>
  <c r="AG59" i="89"/>
  <c r="AV12" i="89"/>
  <c r="AV89" i="89" s="1"/>
  <c r="AT89" i="89"/>
  <c r="AG24" i="89"/>
  <c r="BD24" i="89"/>
  <c r="BF24" i="89" s="1"/>
  <c r="AG50" i="89"/>
  <c r="BD50" i="89"/>
  <c r="BF50" i="89" s="1"/>
  <c r="BD72" i="89"/>
  <c r="BF72" i="89" s="1"/>
  <c r="AG72" i="89"/>
  <c r="AG57" i="89"/>
  <c r="BD57" i="89"/>
  <c r="BF57" i="89" s="1"/>
  <c r="AG46" i="89"/>
  <c r="BD46" i="89"/>
  <c r="BF46" i="89" s="1"/>
  <c r="BD29" i="89"/>
  <c r="BF29" i="89" s="1"/>
  <c r="AG29" i="89"/>
  <c r="AG22" i="89"/>
  <c r="BD22" i="89"/>
  <c r="BF22" i="89" s="1"/>
  <c r="AG54" i="89"/>
  <c r="BD54" i="89"/>
  <c r="BF54" i="89" s="1"/>
  <c r="BD56" i="89"/>
  <c r="BF56" i="89" s="1"/>
  <c r="AG56" i="89"/>
  <c r="BD39" i="89"/>
  <c r="BF39" i="89" s="1"/>
  <c r="AG39" i="89"/>
  <c r="AG15" i="89"/>
  <c r="BD15" i="89"/>
  <c r="BF15" i="89" s="1"/>
  <c r="AG75" i="89"/>
  <c r="BD75" i="89"/>
  <c r="BF75" i="89" s="1"/>
  <c r="AG47" i="89"/>
  <c r="BD47" i="89"/>
  <c r="BF47" i="89" s="1"/>
  <c r="AG32" i="89"/>
  <c r="BD32" i="89"/>
  <c r="BF32" i="89" s="1"/>
  <c r="AG43" i="89"/>
  <c r="BD43" i="89"/>
  <c r="BF43" i="89" s="1"/>
  <c r="AG55" i="89"/>
  <c r="BD55" i="89"/>
  <c r="BF55" i="89" s="1"/>
  <c r="AG74" i="89"/>
  <c r="BD74" i="89"/>
  <c r="BF74" i="89" s="1"/>
  <c r="AG23" i="89"/>
  <c r="BD23" i="89"/>
  <c r="BF23" i="89" s="1"/>
  <c r="AG33" i="89"/>
  <c r="BD33" i="89"/>
  <c r="BF33" i="89" s="1"/>
  <c r="AG82" i="89"/>
  <c r="BD82" i="89"/>
  <c r="BF82" i="89" s="1"/>
  <c r="AG38" i="89"/>
  <c r="BD38" i="89"/>
  <c r="BF38" i="89" s="1"/>
  <c r="AG13" i="89"/>
  <c r="BD13" i="89"/>
  <c r="BF13" i="89" s="1"/>
  <c r="BD77" i="89"/>
  <c r="BF77" i="89" s="1"/>
  <c r="AG77" i="89"/>
  <c r="AG80" i="89"/>
  <c r="BD80" i="89"/>
  <c r="BF80" i="89" s="1"/>
  <c r="BD44" i="89"/>
  <c r="BF44" i="89" s="1"/>
  <c r="AG44" i="89"/>
  <c r="BD85" i="89"/>
  <c r="BF85" i="89" s="1"/>
  <c r="AG85" i="89"/>
  <c r="BD35" i="89"/>
  <c r="BF35" i="89" s="1"/>
  <c r="AG35" i="89"/>
  <c r="BD84" i="89"/>
  <c r="BF84" i="89" s="1"/>
  <c r="AG84" i="89"/>
  <c r="BD53" i="89"/>
  <c r="BF53" i="89" s="1"/>
  <c r="AG53" i="89"/>
  <c r="BD68" i="89"/>
  <c r="BF68" i="89" s="1"/>
  <c r="AG68" i="89"/>
  <c r="AG76" i="89"/>
  <c r="BD76" i="89"/>
  <c r="BF76" i="89" s="1"/>
  <c r="BD64" i="89"/>
  <c r="BF64" i="89" s="1"/>
  <c r="AG64" i="89"/>
  <c r="AG40" i="89"/>
  <c r="BD40" i="89"/>
  <c r="BF40" i="89" s="1"/>
  <c r="BD26" i="89"/>
  <c r="BF26" i="89" s="1"/>
  <c r="AG26" i="89"/>
  <c r="AG66" i="89"/>
  <c r="BD66" i="89"/>
  <c r="BF66" i="89" s="1"/>
  <c r="AG60" i="89"/>
  <c r="BD60" i="89"/>
  <c r="BF60" i="89" s="1"/>
  <c r="BD71" i="89"/>
  <c r="BF71" i="89" s="1"/>
  <c r="AG71" i="89"/>
  <c r="AG61" i="89"/>
  <c r="BD61" i="89"/>
  <c r="BF61" i="89" s="1"/>
  <c r="AG86" i="89"/>
  <c r="BD86" i="89"/>
  <c r="BF86" i="89" s="1"/>
  <c r="BD49" i="89"/>
  <c r="BF49" i="89" s="1"/>
  <c r="AG49" i="89"/>
  <c r="BD30" i="89"/>
  <c r="BF30" i="89" s="1"/>
  <c r="AG30" i="89"/>
  <c r="AG19" i="89"/>
  <c r="BD19" i="89"/>
  <c r="BF19" i="89" s="1"/>
  <c r="AG42" i="89"/>
  <c r="BD42" i="89"/>
  <c r="BF42" i="89" s="1"/>
  <c r="BD41" i="89"/>
  <c r="BF41" i="89" s="1"/>
  <c r="AG41" i="89"/>
  <c r="BD27" i="89"/>
  <c r="BF27" i="89" s="1"/>
  <c r="AG27" i="89"/>
  <c r="AG31" i="89"/>
  <c r="BD31" i="89"/>
  <c r="BF31" i="89" s="1"/>
  <c r="AG25" i="89"/>
  <c r="BD25" i="89"/>
  <c r="BF25" i="89" s="1"/>
  <c r="AG37" i="89"/>
  <c r="BD37" i="89"/>
  <c r="BF37" i="89" s="1"/>
  <c r="BD79" i="89"/>
  <c r="BF79" i="89" s="1"/>
  <c r="AG79" i="89"/>
  <c r="BD51" i="89"/>
  <c r="BF51" i="89" s="1"/>
  <c r="AG51" i="89"/>
  <c r="AG83" i="89"/>
  <c r="BD83" i="89"/>
  <c r="BF83" i="89" s="1"/>
  <c r="O75" i="89"/>
  <c r="O53" i="89"/>
  <c r="O19" i="89"/>
  <c r="O33" i="89"/>
  <c r="O24" i="89"/>
  <c r="O37" i="89"/>
  <c r="O26" i="89"/>
  <c r="O28" i="89"/>
  <c r="O18" i="89"/>
  <c r="O64" i="89"/>
  <c r="O38" i="89"/>
  <c r="O42" i="89"/>
  <c r="O78" i="89"/>
  <c r="O45" i="89"/>
  <c r="O76" i="89"/>
  <c r="O80" i="89"/>
  <c r="O73" i="89"/>
  <c r="O69" i="89"/>
  <c r="O41" i="89"/>
  <c r="O48" i="89"/>
  <c r="O16" i="89"/>
  <c r="O36" i="89"/>
  <c r="O40" i="89"/>
  <c r="O57" i="89"/>
  <c r="O22" i="89"/>
  <c r="O63" i="89"/>
  <c r="O61" i="89"/>
  <c r="O84" i="89"/>
  <c r="O59" i="89"/>
  <c r="O72" i="89"/>
  <c r="O51" i="89"/>
  <c r="O44" i="89"/>
  <c r="O21" i="89"/>
  <c r="O39" i="89"/>
  <c r="O46" i="89"/>
  <c r="O20" i="89"/>
  <c r="O27" i="89"/>
  <c r="O77" i="89"/>
  <c r="O60" i="89"/>
  <c r="O79" i="89"/>
  <c r="O74" i="89"/>
  <c r="O52" i="89"/>
  <c r="O68" i="89"/>
  <c r="O71" i="89"/>
  <c r="O54" i="89"/>
  <c r="O17" i="89"/>
  <c r="O62" i="89"/>
  <c r="O50" i="89"/>
  <c r="O56" i="89"/>
  <c r="O13" i="89"/>
  <c r="O49" i="89"/>
  <c r="O30" i="89"/>
  <c r="O14" i="89"/>
  <c r="O67" i="89"/>
  <c r="O85" i="89"/>
  <c r="O65" i="89"/>
  <c r="O23" i="89"/>
  <c r="O15" i="89"/>
  <c r="O58" i="89"/>
  <c r="O55" i="89"/>
  <c r="O25" i="89"/>
  <c r="O86" i="89"/>
  <c r="O29" i="89"/>
  <c r="O32" i="89"/>
  <c r="O12" i="89"/>
  <c r="O83" i="89"/>
  <c r="O35" i="89"/>
  <c r="O34" i="89"/>
  <c r="O66" i="89"/>
  <c r="O82" i="89"/>
  <c r="O43" i="89"/>
  <c r="O81" i="89"/>
  <c r="O31" i="89"/>
  <c r="O70" i="89"/>
  <c r="O47" i="89"/>
  <c r="AS15" i="87"/>
  <c r="BM15" i="87"/>
  <c r="W42" i="89"/>
  <c r="W23" i="89"/>
  <c r="W75" i="89"/>
  <c r="W46" i="89"/>
  <c r="W26" i="89"/>
  <c r="W52" i="89"/>
  <c r="W70" i="89"/>
  <c r="W86" i="89"/>
  <c r="W24" i="89"/>
  <c r="W67" i="89"/>
  <c r="W69" i="89"/>
  <c r="W36" i="89"/>
  <c r="W16" i="89"/>
  <c r="W73" i="89"/>
  <c r="W66" i="89"/>
  <c r="W44" i="89"/>
  <c r="W19" i="89"/>
  <c r="W82" i="89"/>
  <c r="W20" i="89"/>
  <c r="W21" i="89"/>
  <c r="W25" i="89"/>
  <c r="W35" i="89"/>
  <c r="W84" i="89"/>
  <c r="W50" i="89"/>
  <c r="W65" i="89"/>
  <c r="W81" i="89"/>
  <c r="W77" i="89"/>
  <c r="W22" i="89"/>
  <c r="W49" i="89"/>
  <c r="W64" i="89"/>
  <c r="W68" i="89"/>
  <c r="W80" i="89"/>
  <c r="W83" i="89"/>
  <c r="W29" i="89"/>
  <c r="W61" i="89"/>
  <c r="W48" i="89"/>
  <c r="W41" i="89"/>
  <c r="W31" i="89"/>
  <c r="W63" i="89"/>
  <c r="W76" i="89"/>
  <c r="W58" i="89"/>
  <c r="W72" i="89"/>
  <c r="W34" i="89"/>
  <c r="W14" i="89"/>
  <c r="W30" i="89"/>
  <c r="W71" i="89"/>
  <c r="W33" i="89"/>
  <c r="W79" i="89"/>
  <c r="W56" i="89"/>
  <c r="W45" i="89"/>
  <c r="W18" i="89"/>
  <c r="W39" i="89"/>
  <c r="W55" i="89"/>
  <c r="W27" i="89"/>
  <c r="W78" i="89"/>
  <c r="W38" i="89"/>
  <c r="W54" i="89"/>
  <c r="W74" i="89"/>
  <c r="W57" i="89"/>
  <c r="W17" i="89"/>
  <c r="W37" i="89"/>
  <c r="W15" i="89"/>
  <c r="W60" i="89"/>
  <c r="W13" i="89"/>
  <c r="W53" i="89"/>
  <c r="W59" i="89"/>
  <c r="W40" i="89"/>
  <c r="W28" i="89"/>
  <c r="W62" i="89"/>
  <c r="W51" i="89"/>
  <c r="W12" i="89"/>
  <c r="W32" i="89"/>
  <c r="W47" i="89"/>
  <c r="W43" i="89"/>
  <c r="W85" i="89"/>
  <c r="BK41" i="86"/>
  <c r="AZ40" i="86"/>
  <c r="AZ42" i="86" s="1"/>
  <c r="BI40" i="86"/>
  <c r="BI42" i="86" s="1"/>
  <c r="AZ42" i="87"/>
  <c r="BK31" i="86"/>
  <c r="BK41" i="87" s="1"/>
  <c r="BK31" i="87"/>
  <c r="BK40" i="87" s="1"/>
  <c r="BI31" i="87"/>
  <c r="BI40" i="87" s="1"/>
  <c r="BI42" i="87" s="1"/>
  <c r="BB16" i="85"/>
  <c r="BH16" i="84"/>
  <c r="BH14" i="84"/>
  <c r="BB14" i="85"/>
  <c r="BB31" i="84"/>
  <c r="BH12" i="87"/>
  <c r="AV41" i="87"/>
  <c r="AV42" i="87" s="1"/>
  <c r="AV40" i="86"/>
  <c r="AV42" i="86" s="1"/>
  <c r="BH41" i="83"/>
  <c r="BH40" i="82"/>
  <c r="BH42" i="82" s="1"/>
  <c r="BH31" i="83"/>
  <c r="AX42" i="87"/>
  <c r="BH13" i="86"/>
  <c r="BB13" i="87"/>
  <c r="BH13" i="87" s="1"/>
  <c r="BB17" i="85"/>
  <c r="BH17" i="84"/>
  <c r="AU31" i="75"/>
  <c r="Z38" i="89" l="1"/>
  <c r="BA38" i="89" s="1"/>
  <c r="Z71" i="89"/>
  <c r="BA71" i="89" s="1"/>
  <c r="Z69" i="89"/>
  <c r="BA69" i="89" s="1"/>
  <c r="Z61" i="89"/>
  <c r="BA61" i="89" s="1"/>
  <c r="Z16" i="89"/>
  <c r="BA16" i="89" s="1"/>
  <c r="Z37" i="89"/>
  <c r="BA37" i="89" s="1"/>
  <c r="Z66" i="89"/>
  <c r="BA66" i="89" s="1"/>
  <c r="Z56" i="89"/>
  <c r="BA56" i="89" s="1"/>
  <c r="Z58" i="89"/>
  <c r="BA58" i="89" s="1"/>
  <c r="Z35" i="89"/>
  <c r="BA35" i="89" s="1"/>
  <c r="Z47" i="89"/>
  <c r="BA47" i="89" s="1"/>
  <c r="Z24" i="89"/>
  <c r="BA24" i="89" s="1"/>
  <c r="Z34" i="89"/>
  <c r="BA34" i="89" s="1"/>
  <c r="Z49" i="89"/>
  <c r="BA49" i="89" s="1"/>
  <c r="Z12" i="89"/>
  <c r="Z64" i="89"/>
  <c r="BA64" i="89" s="1"/>
  <c r="Z68" i="89"/>
  <c r="BA68" i="89" s="1"/>
  <c r="Z79" i="89"/>
  <c r="BA79" i="89" s="1"/>
  <c r="Z23" i="89"/>
  <c r="BA23" i="89" s="1"/>
  <c r="Z53" i="89"/>
  <c r="BA53" i="89" s="1"/>
  <c r="Z20" i="89"/>
  <c r="BA20" i="89" s="1"/>
  <c r="Z62" i="89"/>
  <c r="BA62" i="89" s="1"/>
  <c r="Z70" i="89"/>
  <c r="BA70" i="89" s="1"/>
  <c r="Z51" i="89"/>
  <c r="BA51" i="89" s="1"/>
  <c r="Z43" i="89"/>
  <c r="BA43" i="89" s="1"/>
  <c r="Z67" i="89"/>
  <c r="BA67" i="89" s="1"/>
  <c r="Z65" i="89"/>
  <c r="BA65" i="89" s="1"/>
  <c r="Z80" i="89"/>
  <c r="BA80" i="89" s="1"/>
  <c r="Z48" i="89"/>
  <c r="BA48" i="89" s="1"/>
  <c r="Z31" i="89"/>
  <c r="BA31" i="89" s="1"/>
  <c r="Z76" i="89"/>
  <c r="BA76" i="89" s="1"/>
  <c r="Z77" i="89"/>
  <c r="BA77" i="89" s="1"/>
  <c r="Z19" i="89"/>
  <c r="BA19" i="89" s="1"/>
  <c r="Z75" i="89"/>
  <c r="BA75" i="89" s="1"/>
  <c r="Z46" i="89"/>
  <c r="BA46" i="89" s="1"/>
  <c r="Z25" i="89"/>
  <c r="BA25" i="89" s="1"/>
  <c r="Z72" i="89"/>
  <c r="BA72" i="89" s="1"/>
  <c r="Z84" i="89"/>
  <c r="BA84" i="89" s="1"/>
  <c r="Z50" i="89"/>
  <c r="BA50" i="89" s="1"/>
  <c r="Z85" i="89"/>
  <c r="BA85" i="89" s="1"/>
  <c r="Z86" i="89"/>
  <c r="BA86" i="89" s="1"/>
  <c r="Z74" i="89"/>
  <c r="BA74" i="89" s="1"/>
  <c r="Z83" i="89"/>
  <c r="BA83" i="89" s="1"/>
  <c r="Z57" i="89"/>
  <c r="BA57" i="89" s="1"/>
  <c r="Z15" i="89"/>
  <c r="BA15" i="89" s="1"/>
  <c r="Z44" i="89"/>
  <c r="BA44" i="89" s="1"/>
  <c r="Z59" i="89"/>
  <c r="BA59" i="89" s="1"/>
  <c r="Z18" i="89"/>
  <c r="BA18" i="89" s="1"/>
  <c r="Z39" i="89"/>
  <c r="BA39" i="89" s="1"/>
  <c r="Z26" i="89"/>
  <c r="BA26" i="89" s="1"/>
  <c r="Z27" i="89"/>
  <c r="BA27" i="89" s="1"/>
  <c r="Z78" i="89"/>
  <c r="BA78" i="89" s="1"/>
  <c r="Z30" i="89"/>
  <c r="BA30" i="89" s="1"/>
  <c r="Z36" i="89"/>
  <c r="BA36" i="89" s="1"/>
  <c r="Z81" i="89"/>
  <c r="BA81" i="89" s="1"/>
  <c r="Z60" i="89"/>
  <c r="BA60" i="89" s="1"/>
  <c r="Z40" i="89"/>
  <c r="BA40" i="89" s="1"/>
  <c r="Z21" i="89"/>
  <c r="BA21" i="89" s="1"/>
  <c r="Z52" i="89"/>
  <c r="BA52" i="89" s="1"/>
  <c r="Z14" i="89"/>
  <c r="BA14" i="89" s="1"/>
  <c r="Z42" i="89"/>
  <c r="BA42" i="89" s="1"/>
  <c r="Z54" i="89"/>
  <c r="BA54" i="89" s="1"/>
  <c r="Z33" i="89"/>
  <c r="BA33" i="89" s="1"/>
  <c r="Z29" i="89"/>
  <c r="BA29" i="89" s="1"/>
  <c r="Z17" i="89"/>
  <c r="BA17" i="89" s="1"/>
  <c r="Z41" i="89"/>
  <c r="BA41" i="89" s="1"/>
  <c r="Z73" i="89"/>
  <c r="BA73" i="89" s="1"/>
  <c r="Z63" i="89"/>
  <c r="BA63" i="89" s="1"/>
  <c r="Z13" i="89"/>
  <c r="BA13" i="89" s="1"/>
  <c r="Z45" i="89"/>
  <c r="BA45" i="89" s="1"/>
  <c r="Z82" i="89"/>
  <c r="BA82" i="89" s="1"/>
  <c r="Z22" i="89"/>
  <c r="BA22" i="89" s="1"/>
  <c r="Z28" i="89"/>
  <c r="BA28" i="89" s="1"/>
  <c r="Z55" i="89"/>
  <c r="BA55" i="89" s="1"/>
  <c r="Z32" i="89"/>
  <c r="BA32" i="89" s="1"/>
  <c r="M30" i="89"/>
  <c r="M67" i="89"/>
  <c r="M51" i="89"/>
  <c r="M66" i="89"/>
  <c r="M43" i="89"/>
  <c r="M31" i="89"/>
  <c r="M24" i="89"/>
  <c r="M52" i="89"/>
  <c r="M25" i="89"/>
  <c r="M61" i="89"/>
  <c r="M29" i="89"/>
  <c r="M84" i="89"/>
  <c r="M42" i="89"/>
  <c r="M86" i="89"/>
  <c r="M13" i="89"/>
  <c r="M27" i="89"/>
  <c r="M77" i="89"/>
  <c r="M69" i="89"/>
  <c r="M41" i="89"/>
  <c r="M71" i="89"/>
  <c r="M48" i="89"/>
  <c r="M17" i="89"/>
  <c r="M40" i="89"/>
  <c r="M28" i="89"/>
  <c r="M63" i="89"/>
  <c r="M47" i="89"/>
  <c r="M12" i="89"/>
  <c r="M20" i="89"/>
  <c r="M49" i="89"/>
  <c r="M53" i="89"/>
  <c r="M14" i="89"/>
  <c r="M83" i="89"/>
  <c r="M60" i="89"/>
  <c r="M81" i="89"/>
  <c r="M62" i="89"/>
  <c r="M21" i="89"/>
  <c r="M38" i="89"/>
  <c r="M32" i="89"/>
  <c r="M50" i="89"/>
  <c r="M19" i="89"/>
  <c r="M34" i="89"/>
  <c r="M65" i="89"/>
  <c r="M80" i="89"/>
  <c r="M73" i="89"/>
  <c r="M33" i="89"/>
  <c r="M15" i="89"/>
  <c r="M79" i="89"/>
  <c r="M37" i="89"/>
  <c r="M74" i="89"/>
  <c r="M26" i="89"/>
  <c r="M68" i="89"/>
  <c r="M16" i="89"/>
  <c r="M57" i="89"/>
  <c r="M18" i="89"/>
  <c r="M75" i="89"/>
  <c r="M85" i="89"/>
  <c r="M72" i="89"/>
  <c r="M35" i="89"/>
  <c r="M45" i="89"/>
  <c r="M76" i="89"/>
  <c r="M82" i="89"/>
  <c r="M70" i="89"/>
  <c r="M55" i="89"/>
  <c r="M22" i="89"/>
  <c r="M59" i="89"/>
  <c r="M64" i="89"/>
  <c r="M56" i="89"/>
  <c r="M78" i="89"/>
  <c r="M44" i="89"/>
  <c r="M23" i="89"/>
  <c r="M58" i="89"/>
  <c r="M54" i="89"/>
  <c r="M36" i="89"/>
  <c r="M39" i="89"/>
  <c r="M46" i="89"/>
  <c r="Y91" i="89"/>
  <c r="AZ12" i="89"/>
  <c r="AZ89" i="89" s="1"/>
  <c r="AA91" i="89"/>
  <c r="BB12" i="89"/>
  <c r="BB89" i="89" s="1"/>
  <c r="BF12" i="89"/>
  <c r="BF89" i="89" s="1"/>
  <c r="BD89" i="89"/>
  <c r="AG89" i="89"/>
  <c r="AS81" i="89"/>
  <c r="AS83" i="89"/>
  <c r="AS55" i="89"/>
  <c r="AS67" i="89"/>
  <c r="AS50" i="89"/>
  <c r="AS52" i="89"/>
  <c r="AS20" i="89"/>
  <c r="AS72" i="89"/>
  <c r="AS57" i="89"/>
  <c r="AS69" i="89"/>
  <c r="AS42" i="89"/>
  <c r="AS37" i="89"/>
  <c r="AS43" i="89"/>
  <c r="AS12" i="89"/>
  <c r="AS58" i="89"/>
  <c r="AS14" i="89"/>
  <c r="AS62" i="89"/>
  <c r="AS74" i="89"/>
  <c r="AS46" i="89"/>
  <c r="AS59" i="89"/>
  <c r="AS40" i="89"/>
  <c r="AS73" i="89"/>
  <c r="AS38" i="89"/>
  <c r="AS24" i="89"/>
  <c r="AS82" i="89"/>
  <c r="AS32" i="89"/>
  <c r="AS15" i="89"/>
  <c r="AS30" i="89"/>
  <c r="AS17" i="89"/>
  <c r="AS79" i="89"/>
  <c r="AS39" i="89"/>
  <c r="AS84" i="89"/>
  <c r="AS36" i="89"/>
  <c r="AS80" i="89"/>
  <c r="AS64" i="89"/>
  <c r="AS33" i="89"/>
  <c r="AS47" i="89"/>
  <c r="AS66" i="89"/>
  <c r="AS29" i="89"/>
  <c r="AS23" i="89"/>
  <c r="AS49" i="89"/>
  <c r="AS54" i="89"/>
  <c r="AS60" i="89"/>
  <c r="AS21" i="89"/>
  <c r="AS61" i="89"/>
  <c r="AS16" i="89"/>
  <c r="AS76" i="89"/>
  <c r="AS18" i="89"/>
  <c r="AS19" i="89"/>
  <c r="AS70" i="89"/>
  <c r="AS34" i="89"/>
  <c r="AS86" i="89"/>
  <c r="AS65" i="89"/>
  <c r="AS13" i="89"/>
  <c r="AS71" i="89"/>
  <c r="AS77" i="89"/>
  <c r="AS44" i="89"/>
  <c r="AS63" i="89"/>
  <c r="AS48" i="89"/>
  <c r="AS45" i="89"/>
  <c r="AS28" i="89"/>
  <c r="AS53" i="89"/>
  <c r="AS31" i="89"/>
  <c r="AS35" i="89"/>
  <c r="AS25" i="89"/>
  <c r="AS85" i="89"/>
  <c r="AS56" i="89"/>
  <c r="AS68" i="89"/>
  <c r="AS27" i="89"/>
  <c r="AS51" i="89"/>
  <c r="AS22" i="89"/>
  <c r="AS41" i="89"/>
  <c r="AS78" i="89"/>
  <c r="AS26" i="89"/>
  <c r="AS75" i="89"/>
  <c r="AS12" i="87"/>
  <c r="BM12" i="87"/>
  <c r="AX51" i="89"/>
  <c r="AB13" i="89"/>
  <c r="AH13" i="89" s="1"/>
  <c r="AX13" i="89"/>
  <c r="AX74" i="89"/>
  <c r="AB39" i="89"/>
  <c r="AH39" i="89" s="1"/>
  <c r="AX39" i="89"/>
  <c r="BC39" i="89" s="1"/>
  <c r="BH39" i="89" s="1"/>
  <c r="AB71" i="89"/>
  <c r="AH71" i="89" s="1"/>
  <c r="AX71" i="89"/>
  <c r="BC71" i="89" s="1"/>
  <c r="BH71" i="89" s="1"/>
  <c r="AB76" i="89"/>
  <c r="AH76" i="89" s="1"/>
  <c r="AX76" i="89"/>
  <c r="BC76" i="89" s="1"/>
  <c r="BH76" i="89" s="1"/>
  <c r="AX29" i="89"/>
  <c r="AX22" i="89"/>
  <c r="AB35" i="89"/>
  <c r="AH35" i="89" s="1"/>
  <c r="AX35" i="89"/>
  <c r="BC35" i="89" s="1"/>
  <c r="BH35" i="89" s="1"/>
  <c r="AB44" i="89"/>
  <c r="AH44" i="89" s="1"/>
  <c r="AX44" i="89"/>
  <c r="BC44" i="89" s="1"/>
  <c r="BH44" i="89" s="1"/>
  <c r="AB67" i="89"/>
  <c r="AH67" i="89" s="1"/>
  <c r="AX67" i="89"/>
  <c r="BC67" i="89" s="1"/>
  <c r="BH67" i="89" s="1"/>
  <c r="AB46" i="89"/>
  <c r="AH46" i="89" s="1"/>
  <c r="AX46" i="89"/>
  <c r="BC46" i="89" s="1"/>
  <c r="BH46" i="89" s="1"/>
  <c r="AB85" i="89"/>
  <c r="AH85" i="89" s="1"/>
  <c r="AX85" i="89"/>
  <c r="BC85" i="89" s="1"/>
  <c r="BH85" i="89" s="1"/>
  <c r="AX62" i="89"/>
  <c r="BC62" i="89" s="1"/>
  <c r="BH62" i="89" s="1"/>
  <c r="AB62" i="89"/>
  <c r="AH62" i="89" s="1"/>
  <c r="AX60" i="89"/>
  <c r="BC60" i="89" s="1"/>
  <c r="BH60" i="89" s="1"/>
  <c r="AB60" i="89"/>
  <c r="AH60" i="89" s="1"/>
  <c r="AB54" i="89"/>
  <c r="AH54" i="89" s="1"/>
  <c r="AX54" i="89"/>
  <c r="BC54" i="89" s="1"/>
  <c r="BH54" i="89" s="1"/>
  <c r="AX18" i="89"/>
  <c r="AB30" i="89"/>
  <c r="AH30" i="89" s="1"/>
  <c r="AX30" i="89"/>
  <c r="BC30" i="89" s="1"/>
  <c r="BH30" i="89" s="1"/>
  <c r="AB63" i="89"/>
  <c r="AH63" i="89" s="1"/>
  <c r="AX63" i="89"/>
  <c r="BC63" i="89" s="1"/>
  <c r="BH63" i="89" s="1"/>
  <c r="AB83" i="89"/>
  <c r="AH83" i="89" s="1"/>
  <c r="AX83" i="89"/>
  <c r="BC83" i="89" s="1"/>
  <c r="BH83" i="89" s="1"/>
  <c r="AB77" i="89"/>
  <c r="AH77" i="89" s="1"/>
  <c r="AX77" i="89"/>
  <c r="BC77" i="89" s="1"/>
  <c r="BH77" i="89" s="1"/>
  <c r="AX25" i="89"/>
  <c r="AB66" i="89"/>
  <c r="AH66" i="89" s="1"/>
  <c r="AX66" i="89"/>
  <c r="BC66" i="89" s="1"/>
  <c r="BH66" i="89" s="1"/>
  <c r="AX24" i="89"/>
  <c r="AX75" i="89"/>
  <c r="BC75" i="89" s="1"/>
  <c r="BH75" i="89" s="1"/>
  <c r="AB75" i="89"/>
  <c r="AH75" i="89" s="1"/>
  <c r="AX43" i="89"/>
  <c r="BC43" i="89" s="1"/>
  <c r="BH43" i="89" s="1"/>
  <c r="AB43" i="89"/>
  <c r="AH43" i="89" s="1"/>
  <c r="AX28" i="89"/>
  <c r="BC28" i="89" s="1"/>
  <c r="BH28" i="89" s="1"/>
  <c r="AB28" i="89"/>
  <c r="AH28" i="89" s="1"/>
  <c r="AX15" i="89"/>
  <c r="BC15" i="89" s="1"/>
  <c r="BH15" i="89" s="1"/>
  <c r="AB15" i="89"/>
  <c r="AH15" i="89" s="1"/>
  <c r="AB38" i="89"/>
  <c r="AH38" i="89" s="1"/>
  <c r="AX38" i="89"/>
  <c r="BC38" i="89" s="1"/>
  <c r="BH38" i="89" s="1"/>
  <c r="AX45" i="89"/>
  <c r="BC45" i="89" s="1"/>
  <c r="BH45" i="89" s="1"/>
  <c r="AB45" i="89"/>
  <c r="AH45" i="89" s="1"/>
  <c r="AB14" i="89"/>
  <c r="AH14" i="89" s="1"/>
  <c r="AX14" i="89"/>
  <c r="AX31" i="89"/>
  <c r="AB80" i="89"/>
  <c r="AH80" i="89" s="1"/>
  <c r="AX80" i="89"/>
  <c r="BC80" i="89" s="1"/>
  <c r="BH80" i="89" s="1"/>
  <c r="AX81" i="89"/>
  <c r="BC81" i="89" s="1"/>
  <c r="BH81" i="89" s="1"/>
  <c r="AB81" i="89"/>
  <c r="AH81" i="89" s="1"/>
  <c r="AB21" i="89"/>
  <c r="AH21" i="89" s="1"/>
  <c r="AX21" i="89"/>
  <c r="BC21" i="89" s="1"/>
  <c r="BH21" i="89" s="1"/>
  <c r="AB73" i="89"/>
  <c r="AH73" i="89" s="1"/>
  <c r="AX73" i="89"/>
  <c r="BC73" i="89" s="1"/>
  <c r="BH73" i="89" s="1"/>
  <c r="AB86" i="89"/>
  <c r="AH86" i="89" s="1"/>
  <c r="AX86" i="89"/>
  <c r="BC86" i="89" s="1"/>
  <c r="BH86" i="89" s="1"/>
  <c r="AX23" i="89"/>
  <c r="BC23" i="89" s="1"/>
  <c r="BH23" i="89" s="1"/>
  <c r="AB23" i="89"/>
  <c r="AH23" i="89" s="1"/>
  <c r="AX47" i="89"/>
  <c r="BC47" i="89" s="1"/>
  <c r="BH47" i="89" s="1"/>
  <c r="AB47" i="89"/>
  <c r="AH47" i="89" s="1"/>
  <c r="AX40" i="89"/>
  <c r="BC40" i="89" s="1"/>
  <c r="BH40" i="89" s="1"/>
  <c r="AB40" i="89"/>
  <c r="AH40" i="89" s="1"/>
  <c r="AX37" i="89"/>
  <c r="AB78" i="89"/>
  <c r="AH78" i="89" s="1"/>
  <c r="AX78" i="89"/>
  <c r="BC78" i="89" s="1"/>
  <c r="BH78" i="89" s="1"/>
  <c r="AB56" i="89"/>
  <c r="AH56" i="89" s="1"/>
  <c r="AX56" i="89"/>
  <c r="BC56" i="89" s="1"/>
  <c r="BH56" i="89" s="1"/>
  <c r="AB34" i="89"/>
  <c r="AH34" i="89" s="1"/>
  <c r="AX34" i="89"/>
  <c r="BC34" i="89" s="1"/>
  <c r="BH34" i="89" s="1"/>
  <c r="AX41" i="89"/>
  <c r="AX68" i="89"/>
  <c r="BC68" i="89" s="1"/>
  <c r="BH68" i="89" s="1"/>
  <c r="AB68" i="89"/>
  <c r="AH68" i="89" s="1"/>
  <c r="AX65" i="89"/>
  <c r="BC65" i="89" s="1"/>
  <c r="BH65" i="89" s="1"/>
  <c r="AB65" i="89"/>
  <c r="AH65" i="89" s="1"/>
  <c r="AB20" i="89"/>
  <c r="AH20" i="89" s="1"/>
  <c r="AX20" i="89"/>
  <c r="BC20" i="89" s="1"/>
  <c r="BH20" i="89" s="1"/>
  <c r="AB16" i="89"/>
  <c r="AH16" i="89" s="1"/>
  <c r="AX16" i="89"/>
  <c r="BC16" i="89" s="1"/>
  <c r="BH16" i="89" s="1"/>
  <c r="AX70" i="89"/>
  <c r="BC70" i="89" s="1"/>
  <c r="BH70" i="89" s="1"/>
  <c r="AB70" i="89"/>
  <c r="AH70" i="89" s="1"/>
  <c r="AB42" i="89"/>
  <c r="AH42" i="89" s="1"/>
  <c r="AX42" i="89"/>
  <c r="BC42" i="89" s="1"/>
  <c r="BH42" i="89" s="1"/>
  <c r="AS13" i="87"/>
  <c r="BM13" i="87"/>
  <c r="AB32" i="89"/>
  <c r="AH32" i="89" s="1"/>
  <c r="AX32" i="89"/>
  <c r="BC32" i="89" s="1"/>
  <c r="BH32" i="89" s="1"/>
  <c r="AB59" i="89"/>
  <c r="AH59" i="89" s="1"/>
  <c r="AX59" i="89"/>
  <c r="BC59" i="89" s="1"/>
  <c r="BH59" i="89" s="1"/>
  <c r="AB17" i="89"/>
  <c r="AH17" i="89" s="1"/>
  <c r="AX17" i="89"/>
  <c r="BC17" i="89" s="1"/>
  <c r="BH17" i="89" s="1"/>
  <c r="AB27" i="89"/>
  <c r="AH27" i="89" s="1"/>
  <c r="AX27" i="89"/>
  <c r="BC27" i="89" s="1"/>
  <c r="BH27" i="89" s="1"/>
  <c r="AX79" i="89"/>
  <c r="AX72" i="89"/>
  <c r="BC72" i="89" s="1"/>
  <c r="BH72" i="89" s="1"/>
  <c r="AB72" i="89"/>
  <c r="AH72" i="89" s="1"/>
  <c r="AX48" i="89"/>
  <c r="BC48" i="89" s="1"/>
  <c r="BH48" i="89" s="1"/>
  <c r="AB48" i="89"/>
  <c r="AH48" i="89" s="1"/>
  <c r="AB64" i="89"/>
  <c r="AH64" i="89" s="1"/>
  <c r="AX64" i="89"/>
  <c r="BC64" i="89" s="1"/>
  <c r="BH64" i="89" s="1"/>
  <c r="AX50" i="89"/>
  <c r="BC50" i="89" s="1"/>
  <c r="BH50" i="89" s="1"/>
  <c r="AB50" i="89"/>
  <c r="AH50" i="89" s="1"/>
  <c r="AB82" i="89"/>
  <c r="AH82" i="89" s="1"/>
  <c r="AX82" i="89"/>
  <c r="BC82" i="89" s="1"/>
  <c r="BH82" i="89" s="1"/>
  <c r="AX36" i="89"/>
  <c r="AB52" i="89"/>
  <c r="AH52" i="89" s="1"/>
  <c r="AX52" i="89"/>
  <c r="BC52" i="89" s="1"/>
  <c r="BH52" i="89" s="1"/>
  <c r="AX12" i="89"/>
  <c r="W91" i="89"/>
  <c r="AB12" i="89"/>
  <c r="AX53" i="89"/>
  <c r="BC53" i="89" s="1"/>
  <c r="BH53" i="89" s="1"/>
  <c r="AB53" i="89"/>
  <c r="AH53" i="89" s="1"/>
  <c r="AX57" i="89"/>
  <c r="BC57" i="89" s="1"/>
  <c r="BH57" i="89" s="1"/>
  <c r="AB57" i="89"/>
  <c r="AH57" i="89" s="1"/>
  <c r="AX55" i="89"/>
  <c r="BC55" i="89" s="1"/>
  <c r="BH55" i="89" s="1"/>
  <c r="AB55" i="89"/>
  <c r="AH55" i="89" s="1"/>
  <c r="AX33" i="89"/>
  <c r="BC33" i="89" s="1"/>
  <c r="BH33" i="89" s="1"/>
  <c r="AB33" i="89"/>
  <c r="AH33" i="89" s="1"/>
  <c r="AB58" i="89"/>
  <c r="AH58" i="89" s="1"/>
  <c r="AX58" i="89"/>
  <c r="BC58" i="89" s="1"/>
  <c r="BH58" i="89" s="1"/>
  <c r="AB61" i="89"/>
  <c r="AH61" i="89" s="1"/>
  <c r="AX61" i="89"/>
  <c r="BC61" i="89" s="1"/>
  <c r="BH61" i="89" s="1"/>
  <c r="AX49" i="89"/>
  <c r="BC49" i="89" s="1"/>
  <c r="BH49" i="89" s="1"/>
  <c r="AB49" i="89"/>
  <c r="AH49" i="89" s="1"/>
  <c r="AX84" i="89"/>
  <c r="BC84" i="89" s="1"/>
  <c r="BH84" i="89" s="1"/>
  <c r="AB84" i="89"/>
  <c r="AH84" i="89" s="1"/>
  <c r="AX19" i="89"/>
  <c r="BC19" i="89" s="1"/>
  <c r="BH19" i="89" s="1"/>
  <c r="AB19" i="89"/>
  <c r="AH19" i="89" s="1"/>
  <c r="AX69" i="89"/>
  <c r="BC69" i="89" s="1"/>
  <c r="BH69" i="89" s="1"/>
  <c r="AB69" i="89"/>
  <c r="AH69" i="89" s="1"/>
  <c r="AB26" i="89"/>
  <c r="AH26" i="89" s="1"/>
  <c r="AX26" i="89"/>
  <c r="BC26" i="89" s="1"/>
  <c r="BH26" i="89" s="1"/>
  <c r="BN15" i="87"/>
  <c r="BL15" i="87"/>
  <c r="BK40" i="86"/>
  <c r="BK42" i="86" s="1"/>
  <c r="BK42" i="87"/>
  <c r="BH17" i="85"/>
  <c r="BB17" i="86"/>
  <c r="BB14" i="86"/>
  <c r="BH14" i="85"/>
  <c r="BB31" i="85"/>
  <c r="BH31" i="84"/>
  <c r="BH16" i="85"/>
  <c r="BB16" i="86"/>
  <c r="BH41" i="84"/>
  <c r="BH40" i="83"/>
  <c r="BH42" i="83" s="1"/>
  <c r="BF31" i="75"/>
  <c r="BC74" i="89" l="1"/>
  <c r="BH74" i="89" s="1"/>
  <c r="BC25" i="89"/>
  <c r="BH25" i="89" s="1"/>
  <c r="BC36" i="89"/>
  <c r="BH36" i="89" s="1"/>
  <c r="BC79" i="89"/>
  <c r="BH79" i="89" s="1"/>
  <c r="AB41" i="89"/>
  <c r="AH41" i="89" s="1"/>
  <c r="AB24" i="89"/>
  <c r="AH24" i="89" s="1"/>
  <c r="AB74" i="89"/>
  <c r="AH74" i="89" s="1"/>
  <c r="AB36" i="89"/>
  <c r="AH36" i="89" s="1"/>
  <c r="AB79" i="89"/>
  <c r="AH79" i="89" s="1"/>
  <c r="BC41" i="89"/>
  <c r="BH41" i="89" s="1"/>
  <c r="BC24" i="89"/>
  <c r="BH24" i="89" s="1"/>
  <c r="BC37" i="89"/>
  <c r="BH37" i="89" s="1"/>
  <c r="BC31" i="89"/>
  <c r="BH31" i="89" s="1"/>
  <c r="BC18" i="89"/>
  <c r="BH18" i="89" s="1"/>
  <c r="AB22" i="89"/>
  <c r="AH22" i="89" s="1"/>
  <c r="AB37" i="89"/>
  <c r="AH37" i="89" s="1"/>
  <c r="AB31" i="89"/>
  <c r="AH31" i="89" s="1"/>
  <c r="AB18" i="89"/>
  <c r="AH18" i="89" s="1"/>
  <c r="BC22" i="89"/>
  <c r="BH22" i="89" s="1"/>
  <c r="BC51" i="89"/>
  <c r="BH51" i="89" s="1"/>
  <c r="BC14" i="89"/>
  <c r="BH14" i="89" s="1"/>
  <c r="AB25" i="89"/>
  <c r="AH25" i="89" s="1"/>
  <c r="AB51" i="89"/>
  <c r="AH51" i="89" s="1"/>
  <c r="AB29" i="89"/>
  <c r="AH29" i="89" s="1"/>
  <c r="BC29" i="89"/>
  <c r="BH29" i="89" s="1"/>
  <c r="BC13" i="89"/>
  <c r="BH13" i="89" s="1"/>
  <c r="BA12" i="89"/>
  <c r="BA89" i="89" s="1"/>
  <c r="Z91" i="89"/>
  <c r="AQ54" i="89"/>
  <c r="AR54" i="89" s="1"/>
  <c r="N54" i="89"/>
  <c r="S54" i="89" s="1"/>
  <c r="AI54" i="89" s="1"/>
  <c r="AQ65" i="89"/>
  <c r="AR65" i="89" s="1"/>
  <c r="N65" i="89"/>
  <c r="S65" i="89" s="1"/>
  <c r="AI65" i="89" s="1"/>
  <c r="AQ28" i="89"/>
  <c r="AR28" i="89" s="1"/>
  <c r="N28" i="89"/>
  <c r="S28" i="89" s="1"/>
  <c r="AI28" i="89" s="1"/>
  <c r="AQ58" i="89"/>
  <c r="AR58" i="89" s="1"/>
  <c r="N58" i="89"/>
  <c r="S58" i="89" s="1"/>
  <c r="AI58" i="89" s="1"/>
  <c r="AQ59" i="89"/>
  <c r="AR59" i="89" s="1"/>
  <c r="N59" i="89"/>
  <c r="S59" i="89" s="1"/>
  <c r="AI59" i="89" s="1"/>
  <c r="AQ45" i="89"/>
  <c r="AR45" i="89" s="1"/>
  <c r="N45" i="89"/>
  <c r="S45" i="89" s="1"/>
  <c r="AI45" i="89" s="1"/>
  <c r="AQ57" i="89"/>
  <c r="AR57" i="89" s="1"/>
  <c r="N57" i="89"/>
  <c r="S57" i="89" s="1"/>
  <c r="AI57" i="89" s="1"/>
  <c r="AQ79" i="89"/>
  <c r="AR79" i="89" s="1"/>
  <c r="N79" i="89"/>
  <c r="S79" i="89" s="1"/>
  <c r="AI79" i="89" s="1"/>
  <c r="AQ34" i="89"/>
  <c r="AR34" i="89" s="1"/>
  <c r="N34" i="89"/>
  <c r="S34" i="89" s="1"/>
  <c r="AI34" i="89" s="1"/>
  <c r="AQ62" i="89"/>
  <c r="AR62" i="89" s="1"/>
  <c r="N62" i="89"/>
  <c r="S62" i="89" s="1"/>
  <c r="AI62" i="89" s="1"/>
  <c r="AQ49" i="89"/>
  <c r="AR49" i="89" s="1"/>
  <c r="N49" i="89"/>
  <c r="S49" i="89" s="1"/>
  <c r="AI49" i="89" s="1"/>
  <c r="AQ40" i="89"/>
  <c r="AR40" i="89" s="1"/>
  <c r="N40" i="89"/>
  <c r="S40" i="89" s="1"/>
  <c r="AI40" i="89" s="1"/>
  <c r="AQ77" i="89"/>
  <c r="AR77" i="89" s="1"/>
  <c r="N77" i="89"/>
  <c r="S77" i="89" s="1"/>
  <c r="AI77" i="89" s="1"/>
  <c r="AQ29" i="89"/>
  <c r="AR29" i="89" s="1"/>
  <c r="N29" i="89"/>
  <c r="S29" i="89" s="1"/>
  <c r="AQ43" i="89"/>
  <c r="AR43" i="89" s="1"/>
  <c r="N43" i="89"/>
  <c r="S43" i="89" s="1"/>
  <c r="AI43" i="89" s="1"/>
  <c r="AQ64" i="89"/>
  <c r="AR64" i="89" s="1"/>
  <c r="N64" i="89"/>
  <c r="S64" i="89" s="1"/>
  <c r="AI64" i="89" s="1"/>
  <c r="AQ21" i="89"/>
  <c r="AR21" i="89" s="1"/>
  <c r="N21" i="89"/>
  <c r="S21" i="89" s="1"/>
  <c r="AI21" i="89" s="1"/>
  <c r="AQ53" i="89"/>
  <c r="AR53" i="89" s="1"/>
  <c r="N53" i="89"/>
  <c r="S53" i="89" s="1"/>
  <c r="AI53" i="89" s="1"/>
  <c r="AQ23" i="89"/>
  <c r="AR23" i="89" s="1"/>
  <c r="N23" i="89"/>
  <c r="S23" i="89" s="1"/>
  <c r="AI23" i="89" s="1"/>
  <c r="AQ22" i="89"/>
  <c r="AR22" i="89" s="1"/>
  <c r="N22" i="89"/>
  <c r="S22" i="89" s="1"/>
  <c r="AI22" i="89" s="1"/>
  <c r="AQ35" i="89"/>
  <c r="AR35" i="89" s="1"/>
  <c r="N35" i="89"/>
  <c r="S35" i="89" s="1"/>
  <c r="AQ16" i="89"/>
  <c r="AR16" i="89" s="1"/>
  <c r="N16" i="89"/>
  <c r="S16" i="89" s="1"/>
  <c r="AI16" i="89" s="1"/>
  <c r="AQ15" i="89"/>
  <c r="AR15" i="89" s="1"/>
  <c r="N15" i="89"/>
  <c r="S15" i="89" s="1"/>
  <c r="AI15" i="89" s="1"/>
  <c r="AQ19" i="89"/>
  <c r="AR19" i="89" s="1"/>
  <c r="N19" i="89"/>
  <c r="S19" i="89" s="1"/>
  <c r="AI19" i="89" s="1"/>
  <c r="AQ81" i="89"/>
  <c r="AR81" i="89" s="1"/>
  <c r="N81" i="89"/>
  <c r="S81" i="89" s="1"/>
  <c r="AI81" i="89" s="1"/>
  <c r="AQ20" i="89"/>
  <c r="AR20" i="89" s="1"/>
  <c r="N20" i="89"/>
  <c r="S20" i="89" s="1"/>
  <c r="AI20" i="89" s="1"/>
  <c r="AQ17" i="89"/>
  <c r="AR17" i="89" s="1"/>
  <c r="N17" i="89"/>
  <c r="S17" i="89" s="1"/>
  <c r="AI17" i="89" s="1"/>
  <c r="AQ27" i="89"/>
  <c r="AR27" i="89" s="1"/>
  <c r="N27" i="89"/>
  <c r="S27" i="89" s="1"/>
  <c r="AI27" i="89" s="1"/>
  <c r="AQ61" i="89"/>
  <c r="AR61" i="89" s="1"/>
  <c r="N61" i="89"/>
  <c r="S61" i="89" s="1"/>
  <c r="AI61" i="89" s="1"/>
  <c r="AQ66" i="89"/>
  <c r="AR66" i="89" s="1"/>
  <c r="N66" i="89"/>
  <c r="S66" i="89" s="1"/>
  <c r="AI66" i="89" s="1"/>
  <c r="AQ37" i="89"/>
  <c r="AR37" i="89" s="1"/>
  <c r="N37" i="89"/>
  <c r="S37" i="89" s="1"/>
  <c r="AI37" i="89" s="1"/>
  <c r="AQ69" i="89"/>
  <c r="AR69" i="89" s="1"/>
  <c r="N69" i="89"/>
  <c r="S69" i="89" s="1"/>
  <c r="AI69" i="89" s="1"/>
  <c r="AQ46" i="89"/>
  <c r="AR46" i="89" s="1"/>
  <c r="N46" i="89"/>
  <c r="S46" i="89" s="1"/>
  <c r="AI46" i="89" s="1"/>
  <c r="AQ44" i="89"/>
  <c r="AR44" i="89" s="1"/>
  <c r="N44" i="89"/>
  <c r="S44" i="89" s="1"/>
  <c r="AI44" i="89" s="1"/>
  <c r="AQ55" i="89"/>
  <c r="AR55" i="89" s="1"/>
  <c r="N55" i="89"/>
  <c r="S55" i="89" s="1"/>
  <c r="AI55" i="89" s="1"/>
  <c r="AQ72" i="89"/>
  <c r="AR72" i="89" s="1"/>
  <c r="N72" i="89"/>
  <c r="S72" i="89" s="1"/>
  <c r="AI72" i="89" s="1"/>
  <c r="AQ68" i="89"/>
  <c r="AR68" i="89" s="1"/>
  <c r="N68" i="89"/>
  <c r="S68" i="89" s="1"/>
  <c r="AI68" i="89" s="1"/>
  <c r="AQ33" i="89"/>
  <c r="AR33" i="89" s="1"/>
  <c r="N33" i="89"/>
  <c r="S33" i="89" s="1"/>
  <c r="AI33" i="89" s="1"/>
  <c r="AQ50" i="89"/>
  <c r="AR50" i="89" s="1"/>
  <c r="N50" i="89"/>
  <c r="S50" i="89" s="1"/>
  <c r="AI50" i="89" s="1"/>
  <c r="AQ60" i="89"/>
  <c r="AR60" i="89" s="1"/>
  <c r="N60" i="89"/>
  <c r="S60" i="89" s="1"/>
  <c r="AI60" i="89" s="1"/>
  <c r="M91" i="89"/>
  <c r="N12" i="89"/>
  <c r="AQ12" i="89"/>
  <c r="AQ48" i="89"/>
  <c r="AR48" i="89" s="1"/>
  <c r="N48" i="89"/>
  <c r="S48" i="89" s="1"/>
  <c r="AI48" i="89" s="1"/>
  <c r="AQ13" i="89"/>
  <c r="AR13" i="89" s="1"/>
  <c r="N13" i="89"/>
  <c r="S13" i="89" s="1"/>
  <c r="AI13" i="89" s="1"/>
  <c r="AQ25" i="89"/>
  <c r="AR25" i="89" s="1"/>
  <c r="N25" i="89"/>
  <c r="S25" i="89" s="1"/>
  <c r="AI25" i="89" s="1"/>
  <c r="AQ51" i="89"/>
  <c r="AR51" i="89" s="1"/>
  <c r="N51" i="89"/>
  <c r="S51" i="89" s="1"/>
  <c r="AI51" i="89" s="1"/>
  <c r="AQ18" i="89"/>
  <c r="AR18" i="89" s="1"/>
  <c r="N18" i="89"/>
  <c r="S18" i="89" s="1"/>
  <c r="AQ84" i="89"/>
  <c r="AR84" i="89" s="1"/>
  <c r="N84" i="89"/>
  <c r="S84" i="89" s="1"/>
  <c r="AI84" i="89" s="1"/>
  <c r="AQ39" i="89"/>
  <c r="AR39" i="89" s="1"/>
  <c r="N39" i="89"/>
  <c r="S39" i="89" s="1"/>
  <c r="AI39" i="89" s="1"/>
  <c r="AQ78" i="89"/>
  <c r="AR78" i="89" s="1"/>
  <c r="N78" i="89"/>
  <c r="S78" i="89" s="1"/>
  <c r="AI78" i="89" s="1"/>
  <c r="AQ70" i="89"/>
  <c r="AR70" i="89" s="1"/>
  <c r="N70" i="89"/>
  <c r="S70" i="89" s="1"/>
  <c r="AI70" i="89" s="1"/>
  <c r="AQ85" i="89"/>
  <c r="AR85" i="89" s="1"/>
  <c r="N85" i="89"/>
  <c r="S85" i="89" s="1"/>
  <c r="AI85" i="89" s="1"/>
  <c r="AQ26" i="89"/>
  <c r="AR26" i="89" s="1"/>
  <c r="N26" i="89"/>
  <c r="S26" i="89" s="1"/>
  <c r="AI26" i="89" s="1"/>
  <c r="AQ73" i="89"/>
  <c r="AR73" i="89" s="1"/>
  <c r="N73" i="89"/>
  <c r="S73" i="89" s="1"/>
  <c r="AI73" i="89" s="1"/>
  <c r="AQ32" i="89"/>
  <c r="AR32" i="89" s="1"/>
  <c r="N32" i="89"/>
  <c r="S32" i="89" s="1"/>
  <c r="AI32" i="89" s="1"/>
  <c r="AQ83" i="89"/>
  <c r="AR83" i="89" s="1"/>
  <c r="N83" i="89"/>
  <c r="S83" i="89" s="1"/>
  <c r="AI83" i="89" s="1"/>
  <c r="AQ47" i="89"/>
  <c r="AR47" i="89" s="1"/>
  <c r="N47" i="89"/>
  <c r="S47" i="89" s="1"/>
  <c r="AI47" i="89" s="1"/>
  <c r="AQ71" i="89"/>
  <c r="AR71" i="89" s="1"/>
  <c r="N71" i="89"/>
  <c r="S71" i="89" s="1"/>
  <c r="AI71" i="89" s="1"/>
  <c r="AQ86" i="89"/>
  <c r="AR86" i="89" s="1"/>
  <c r="N86" i="89"/>
  <c r="S86" i="89" s="1"/>
  <c r="AI86" i="89" s="1"/>
  <c r="AQ52" i="89"/>
  <c r="AR52" i="89" s="1"/>
  <c r="N52" i="89"/>
  <c r="S52" i="89" s="1"/>
  <c r="AI52" i="89" s="1"/>
  <c r="AQ67" i="89"/>
  <c r="AR67" i="89" s="1"/>
  <c r="N67" i="89"/>
  <c r="S67" i="89" s="1"/>
  <c r="AI67" i="89" s="1"/>
  <c r="AQ76" i="89"/>
  <c r="AR76" i="89" s="1"/>
  <c r="N76" i="89"/>
  <c r="S76" i="89" s="1"/>
  <c r="AI76" i="89" s="1"/>
  <c r="AQ31" i="89"/>
  <c r="AR31" i="89" s="1"/>
  <c r="N31" i="89"/>
  <c r="S31" i="89" s="1"/>
  <c r="AI31" i="89" s="1"/>
  <c r="AQ36" i="89"/>
  <c r="AR36" i="89" s="1"/>
  <c r="N36" i="89"/>
  <c r="S36" i="89" s="1"/>
  <c r="AQ56" i="89"/>
  <c r="AR56" i="89" s="1"/>
  <c r="N56" i="89"/>
  <c r="S56" i="89" s="1"/>
  <c r="AI56" i="89" s="1"/>
  <c r="AQ82" i="89"/>
  <c r="AR82" i="89" s="1"/>
  <c r="N82" i="89"/>
  <c r="S82" i="89" s="1"/>
  <c r="AI82" i="89" s="1"/>
  <c r="AQ75" i="89"/>
  <c r="AR75" i="89" s="1"/>
  <c r="N75" i="89"/>
  <c r="S75" i="89" s="1"/>
  <c r="AI75" i="89" s="1"/>
  <c r="AQ74" i="89"/>
  <c r="AR74" i="89" s="1"/>
  <c r="N74" i="89"/>
  <c r="S74" i="89" s="1"/>
  <c r="AI74" i="89" s="1"/>
  <c r="AQ80" i="89"/>
  <c r="AR80" i="89" s="1"/>
  <c r="N80" i="89"/>
  <c r="S80" i="89" s="1"/>
  <c r="AI80" i="89" s="1"/>
  <c r="AQ38" i="89"/>
  <c r="AR38" i="89" s="1"/>
  <c r="N38" i="89"/>
  <c r="S38" i="89" s="1"/>
  <c r="AI38" i="89" s="1"/>
  <c r="AQ14" i="89"/>
  <c r="AR14" i="89" s="1"/>
  <c r="N14" i="89"/>
  <c r="S14" i="89" s="1"/>
  <c r="AI14" i="89" s="1"/>
  <c r="AQ63" i="89"/>
  <c r="AR63" i="89" s="1"/>
  <c r="N63" i="89"/>
  <c r="S63" i="89" s="1"/>
  <c r="AI63" i="89" s="1"/>
  <c r="AQ41" i="89"/>
  <c r="AR41" i="89" s="1"/>
  <c r="N41" i="89"/>
  <c r="S41" i="89" s="1"/>
  <c r="AI41" i="89" s="1"/>
  <c r="AQ42" i="89"/>
  <c r="AR42" i="89" s="1"/>
  <c r="N42" i="89"/>
  <c r="S42" i="89" s="1"/>
  <c r="AI42" i="89" s="1"/>
  <c r="AQ24" i="89"/>
  <c r="AR24" i="89" s="1"/>
  <c r="N24" i="89"/>
  <c r="S24" i="89" s="1"/>
  <c r="AI24" i="89" s="1"/>
  <c r="AQ30" i="89"/>
  <c r="AR30" i="89" s="1"/>
  <c r="N30" i="89"/>
  <c r="S30" i="89" s="1"/>
  <c r="AI30" i="89" s="1"/>
  <c r="AS89" i="89"/>
  <c r="AI35" i="89"/>
  <c r="AX89" i="89"/>
  <c r="BN13" i="87"/>
  <c r="BL13" i="87"/>
  <c r="AH12" i="89"/>
  <c r="K89" i="89"/>
  <c r="BL12" i="87"/>
  <c r="BH16" i="86"/>
  <c r="BB16" i="87"/>
  <c r="BH16" i="87" s="1"/>
  <c r="BH17" i="86"/>
  <c r="BB17" i="87"/>
  <c r="BH17" i="87" s="1"/>
  <c r="BH31" i="85"/>
  <c r="BB14" i="87"/>
  <c r="BH14" i="86"/>
  <c r="BB31" i="86"/>
  <c r="BH41" i="85"/>
  <c r="BH40" i="84"/>
  <c r="BH42" i="84" s="1"/>
  <c r="BB31" i="75"/>
  <c r="AW31" i="75"/>
  <c r="BE31" i="75"/>
  <c r="AB89" i="89" l="1"/>
  <c r="AI18" i="89"/>
  <c r="AI36" i="89"/>
  <c r="AI29" i="89"/>
  <c r="BC12" i="89"/>
  <c r="BC89" i="89" s="1"/>
  <c r="AQ89" i="89"/>
  <c r="AR12" i="89"/>
  <c r="AR89" i="89" s="1"/>
  <c r="N89" i="89"/>
  <c r="S12" i="89"/>
  <c r="S89" i="89" s="1"/>
  <c r="T73" i="89" s="1"/>
  <c r="BN12" i="87"/>
  <c r="BH12" i="89"/>
  <c r="BH89" i="89" s="1"/>
  <c r="BM17" i="87"/>
  <c r="AS17" i="87"/>
  <c r="K56" i="89"/>
  <c r="AO56" i="89" s="1"/>
  <c r="K84" i="89"/>
  <c r="AO84" i="89" s="1"/>
  <c r="K45" i="89"/>
  <c r="AO45" i="89" s="1"/>
  <c r="K22" i="89"/>
  <c r="AO22" i="89" s="1"/>
  <c r="K77" i="89"/>
  <c r="AO77" i="89" s="1"/>
  <c r="K71" i="89"/>
  <c r="AO71" i="89" s="1"/>
  <c r="K63" i="89"/>
  <c r="AO63" i="89" s="1"/>
  <c r="K57" i="89"/>
  <c r="AO57" i="89" s="1"/>
  <c r="K48" i="89"/>
  <c r="AO48" i="89" s="1"/>
  <c r="K39" i="89"/>
  <c r="AO39" i="89" s="1"/>
  <c r="K30" i="89"/>
  <c r="AO30" i="89" s="1"/>
  <c r="K25" i="89"/>
  <c r="AO25" i="89" s="1"/>
  <c r="K16" i="89"/>
  <c r="AO16" i="89" s="1"/>
  <c r="K52" i="89"/>
  <c r="AO52" i="89" s="1"/>
  <c r="K80" i="89"/>
  <c r="AO80" i="89" s="1"/>
  <c r="K41" i="89"/>
  <c r="AO41" i="89" s="1"/>
  <c r="K86" i="89"/>
  <c r="AO86" i="89" s="1"/>
  <c r="BI86" i="89" s="1"/>
  <c r="K76" i="89"/>
  <c r="AO76" i="89" s="1"/>
  <c r="K70" i="89"/>
  <c r="AO70" i="89" s="1"/>
  <c r="K65" i="89"/>
  <c r="AO65" i="89" s="1"/>
  <c r="K55" i="89"/>
  <c r="AO55" i="89" s="1"/>
  <c r="K46" i="89"/>
  <c r="AO46" i="89" s="1"/>
  <c r="K40" i="89"/>
  <c r="AO40" i="89" s="1"/>
  <c r="K28" i="89"/>
  <c r="AO28" i="89" s="1"/>
  <c r="K20" i="89"/>
  <c r="AO20" i="89" s="1"/>
  <c r="K27" i="89"/>
  <c r="AO27" i="89" s="1"/>
  <c r="K21" i="89"/>
  <c r="AO21" i="89" s="1"/>
  <c r="K74" i="89"/>
  <c r="AO74" i="89" s="1"/>
  <c r="K36" i="89"/>
  <c r="AO36" i="89" s="1"/>
  <c r="K85" i="89"/>
  <c r="AO85" i="89" s="1"/>
  <c r="K75" i="89"/>
  <c r="AO75" i="89" s="1"/>
  <c r="K72" i="89"/>
  <c r="AO72" i="89" s="1"/>
  <c r="K61" i="89"/>
  <c r="AO61" i="89" s="1"/>
  <c r="K54" i="89"/>
  <c r="AO54" i="89" s="1"/>
  <c r="K42" i="89"/>
  <c r="AO42" i="89" s="1"/>
  <c r="K37" i="89"/>
  <c r="AO37" i="89" s="1"/>
  <c r="K32" i="89"/>
  <c r="AO32" i="89" s="1"/>
  <c r="K15" i="89"/>
  <c r="AO15" i="89" s="1"/>
  <c r="K19" i="89"/>
  <c r="AO19" i="89" s="1"/>
  <c r="K62" i="89"/>
  <c r="AO62" i="89" s="1"/>
  <c r="K31" i="89"/>
  <c r="AO31" i="89" s="1"/>
  <c r="K81" i="89"/>
  <c r="AO81" i="89" s="1"/>
  <c r="K79" i="89"/>
  <c r="AO79" i="89" s="1"/>
  <c r="K68" i="89"/>
  <c r="AO68" i="89" s="1"/>
  <c r="K58" i="89"/>
  <c r="AO58" i="89" s="1"/>
  <c r="K51" i="89"/>
  <c r="AO51" i="89" s="1"/>
  <c r="K44" i="89"/>
  <c r="AO44" i="89" s="1"/>
  <c r="K34" i="89"/>
  <c r="AO34" i="89" s="1"/>
  <c r="K29" i="89"/>
  <c r="AO29" i="89" s="1"/>
  <c r="K18" i="89"/>
  <c r="AO18" i="89" s="1"/>
  <c r="K12" i="89"/>
  <c r="K73" i="89"/>
  <c r="AO73" i="89" s="1"/>
  <c r="K53" i="89"/>
  <c r="AO53" i="89" s="1"/>
  <c r="K26" i="89"/>
  <c r="AO26" i="89" s="1"/>
  <c r="K83" i="89"/>
  <c r="AO83" i="89" s="1"/>
  <c r="K78" i="89"/>
  <c r="AO78" i="89" s="1"/>
  <c r="K66" i="89"/>
  <c r="AO66" i="89" s="1"/>
  <c r="K60" i="89"/>
  <c r="AO60" i="89" s="1"/>
  <c r="K50" i="89"/>
  <c r="AO50" i="89" s="1"/>
  <c r="K43" i="89"/>
  <c r="AO43" i="89" s="1"/>
  <c r="K35" i="89"/>
  <c r="AO35" i="89" s="1"/>
  <c r="K23" i="89"/>
  <c r="AO23" i="89" s="1"/>
  <c r="K17" i="89"/>
  <c r="AO17" i="89" s="1"/>
  <c r="K67" i="89"/>
  <c r="AO67" i="89" s="1"/>
  <c r="K49" i="89"/>
  <c r="AO49" i="89" s="1"/>
  <c r="K14" i="89"/>
  <c r="AO14" i="89" s="1"/>
  <c r="K82" i="89"/>
  <c r="AO82" i="89" s="1"/>
  <c r="K69" i="89"/>
  <c r="AO69" i="89" s="1"/>
  <c r="K64" i="89"/>
  <c r="AO64" i="89" s="1"/>
  <c r="K59" i="89"/>
  <c r="AO59" i="89" s="1"/>
  <c r="K47" i="89"/>
  <c r="AO47" i="89" s="1"/>
  <c r="K38" i="89"/>
  <c r="AO38" i="89" s="1"/>
  <c r="K33" i="89"/>
  <c r="AO33" i="89" s="1"/>
  <c r="K24" i="89"/>
  <c r="AO24" i="89" s="1"/>
  <c r="K13" i="89"/>
  <c r="AO13" i="89" s="1"/>
  <c r="AH89" i="89"/>
  <c r="BM16" i="87"/>
  <c r="AS16" i="87"/>
  <c r="BH31" i="86"/>
  <c r="BH14" i="87"/>
  <c r="BB31" i="87"/>
  <c r="BH41" i="86"/>
  <c r="BH40" i="85"/>
  <c r="BH42" i="85" s="1"/>
  <c r="AW40" i="75"/>
  <c r="AW41" i="76"/>
  <c r="AW42" i="76" s="1"/>
  <c r="AZ41" i="75"/>
  <c r="AV41" i="75"/>
  <c r="BG31" i="75"/>
  <c r="AZ31" i="75"/>
  <c r="AX31" i="75"/>
  <c r="AW41" i="75"/>
  <c r="AX41" i="75"/>
  <c r="AV31" i="75"/>
  <c r="AI12" i="89" l="1"/>
  <c r="T18" i="89"/>
  <c r="T61" i="89"/>
  <c r="T65" i="89"/>
  <c r="T13" i="89"/>
  <c r="T27" i="89"/>
  <c r="T29" i="89"/>
  <c r="T71" i="89"/>
  <c r="T70" i="89"/>
  <c r="T17" i="89"/>
  <c r="T42" i="89"/>
  <c r="T63" i="89"/>
  <c r="T55" i="89"/>
  <c r="T41" i="89"/>
  <c r="T84" i="89"/>
  <c r="T12" i="89"/>
  <c r="T31" i="89"/>
  <c r="T43" i="89"/>
  <c r="T64" i="89"/>
  <c r="T33" i="89"/>
  <c r="T34" i="89"/>
  <c r="T79" i="89"/>
  <c r="T49" i="89"/>
  <c r="T62" i="89"/>
  <c r="T74" i="89"/>
  <c r="T68" i="89"/>
  <c r="T37" i="89"/>
  <c r="T45" i="89"/>
  <c r="T44" i="89"/>
  <c r="T83" i="89"/>
  <c r="T22" i="89"/>
  <c r="T76" i="89"/>
  <c r="T53" i="89"/>
  <c r="T59" i="89"/>
  <c r="T58" i="89"/>
  <c r="T85" i="89"/>
  <c r="T32" i="89"/>
  <c r="T48" i="89"/>
  <c r="T77" i="89"/>
  <c r="T46" i="89"/>
  <c r="T86" i="89"/>
  <c r="T60" i="89"/>
  <c r="T66" i="89"/>
  <c r="T81" i="89"/>
  <c r="T80" i="89"/>
  <c r="T82" i="89"/>
  <c r="T30" i="89"/>
  <c r="T20" i="89"/>
  <c r="T19" i="89"/>
  <c r="T67" i="89"/>
  <c r="T51" i="89"/>
  <c r="T69" i="89"/>
  <c r="T56" i="89"/>
  <c r="T16" i="89"/>
  <c r="T39" i="89"/>
  <c r="T54" i="89"/>
  <c r="T50" i="89"/>
  <c r="T47" i="89"/>
  <c r="T72" i="89"/>
  <c r="T15" i="89"/>
  <c r="T24" i="89"/>
  <c r="T28" i="89"/>
  <c r="T14" i="89"/>
  <c r="T26" i="89"/>
  <c r="T40" i="89"/>
  <c r="T78" i="89"/>
  <c r="T75" i="89"/>
  <c r="T36" i="89"/>
  <c r="T25" i="89"/>
  <c r="T21" i="89"/>
  <c r="T57" i="89"/>
  <c r="T52" i="89"/>
  <c r="T23" i="89"/>
  <c r="T38" i="89"/>
  <c r="T35" i="89"/>
  <c r="BI38" i="89"/>
  <c r="BG38" i="89"/>
  <c r="BI14" i="89"/>
  <c r="BG14" i="89"/>
  <c r="BG43" i="89"/>
  <c r="BI43" i="89"/>
  <c r="BG26" i="89"/>
  <c r="BI26" i="89"/>
  <c r="BG34" i="89"/>
  <c r="BI34" i="89"/>
  <c r="BI81" i="89"/>
  <c r="BG81" i="89"/>
  <c r="BG37" i="89"/>
  <c r="BI37" i="89"/>
  <c r="BI85" i="89"/>
  <c r="BG85" i="89"/>
  <c r="BG28" i="89"/>
  <c r="BI28" i="89"/>
  <c r="BG76" i="89"/>
  <c r="BI76" i="89"/>
  <c r="BI25" i="89"/>
  <c r="BG25" i="89"/>
  <c r="BG71" i="89"/>
  <c r="BI71" i="89"/>
  <c r="BN17" i="87"/>
  <c r="BL17" i="87"/>
  <c r="BG47" i="89"/>
  <c r="BI47" i="89"/>
  <c r="BG49" i="89"/>
  <c r="BI49" i="89"/>
  <c r="BG50" i="89"/>
  <c r="BI50" i="89"/>
  <c r="BG53" i="89"/>
  <c r="BI53" i="89"/>
  <c r="BI44" i="89"/>
  <c r="BG44" i="89"/>
  <c r="BI31" i="89"/>
  <c r="BG31" i="89"/>
  <c r="BG42" i="89"/>
  <c r="BI42" i="89"/>
  <c r="BG36" i="89"/>
  <c r="BI36" i="89"/>
  <c r="BG40" i="89"/>
  <c r="BI40" i="89"/>
  <c r="BG30" i="89"/>
  <c r="BI30" i="89"/>
  <c r="BI77" i="89"/>
  <c r="BG77" i="89"/>
  <c r="AI89" i="89"/>
  <c r="AJ12" i="89" s="1"/>
  <c r="BI59" i="89"/>
  <c r="BG59" i="89"/>
  <c r="BG67" i="89"/>
  <c r="BI67" i="89"/>
  <c r="BG60" i="89"/>
  <c r="BI60" i="89"/>
  <c r="BI73" i="89"/>
  <c r="BG73" i="89"/>
  <c r="BG51" i="89"/>
  <c r="BI51" i="89"/>
  <c r="BI62" i="89"/>
  <c r="BG62" i="89"/>
  <c r="BG54" i="89"/>
  <c r="BI54" i="89"/>
  <c r="BG74" i="89"/>
  <c r="BI74" i="89"/>
  <c r="BI46" i="89"/>
  <c r="BG46" i="89"/>
  <c r="BI41" i="89"/>
  <c r="BG41" i="89"/>
  <c r="BI39" i="89"/>
  <c r="BG39" i="89"/>
  <c r="BI22" i="89"/>
  <c r="BG22" i="89"/>
  <c r="BI64" i="89"/>
  <c r="BG64" i="89"/>
  <c r="BG17" i="89"/>
  <c r="BI17" i="89"/>
  <c r="BI66" i="89"/>
  <c r="BG66" i="89"/>
  <c r="AO12" i="89"/>
  <c r="K91" i="89"/>
  <c r="BG58" i="89"/>
  <c r="BI58" i="89"/>
  <c r="BI19" i="89"/>
  <c r="BG19" i="89"/>
  <c r="BI61" i="89"/>
  <c r="BG61" i="89"/>
  <c r="BI21" i="89"/>
  <c r="BG21" i="89"/>
  <c r="BI55" i="89"/>
  <c r="BG55" i="89"/>
  <c r="BI80" i="89"/>
  <c r="BG80" i="89"/>
  <c r="BG48" i="89"/>
  <c r="BI48" i="89"/>
  <c r="BI45" i="89"/>
  <c r="BG45" i="89"/>
  <c r="AS14" i="87"/>
  <c r="BM14" i="87"/>
  <c r="BM31" i="87" s="1"/>
  <c r="BG24" i="89"/>
  <c r="BI24" i="89"/>
  <c r="BG69" i="89"/>
  <c r="BI69" i="89"/>
  <c r="BI23" i="89"/>
  <c r="BG23" i="89"/>
  <c r="BI78" i="89"/>
  <c r="BG78" i="89"/>
  <c r="BG18" i="89"/>
  <c r="BI18" i="89"/>
  <c r="BI68" i="89"/>
  <c r="BG68" i="89"/>
  <c r="BG15" i="89"/>
  <c r="BI15" i="89"/>
  <c r="BG72" i="89"/>
  <c r="BI72" i="89"/>
  <c r="BG27" i="89"/>
  <c r="BI27" i="89"/>
  <c r="BG65" i="89"/>
  <c r="BI65" i="89"/>
  <c r="BI52" i="89"/>
  <c r="BG52" i="89"/>
  <c r="BI57" i="89"/>
  <c r="BG57" i="89"/>
  <c r="BG84" i="89"/>
  <c r="BI84" i="89"/>
  <c r="BI13" i="89"/>
  <c r="BG13" i="89"/>
  <c r="BN16" i="87"/>
  <c r="BL16" i="87"/>
  <c r="BI33" i="89"/>
  <c r="BG33" i="89"/>
  <c r="BG82" i="89"/>
  <c r="BI82" i="89"/>
  <c r="BG35" i="89"/>
  <c r="BI35" i="89"/>
  <c r="BI83" i="89"/>
  <c r="BG83" i="89"/>
  <c r="BG29" i="89"/>
  <c r="BI29" i="89"/>
  <c r="BI79" i="89"/>
  <c r="BG79" i="89"/>
  <c r="BI32" i="89"/>
  <c r="BG32" i="89"/>
  <c r="BG75" i="89"/>
  <c r="BI75" i="89"/>
  <c r="BG20" i="89"/>
  <c r="BI20" i="89"/>
  <c r="BI70" i="89"/>
  <c r="BG70" i="89"/>
  <c r="BI16" i="89"/>
  <c r="BG16" i="89"/>
  <c r="BI63" i="89"/>
  <c r="BG63" i="89"/>
  <c r="BG56" i="89"/>
  <c r="BI56" i="89"/>
  <c r="BH31" i="87"/>
  <c r="BH40" i="87" s="1"/>
  <c r="AW42" i="75"/>
  <c r="BH41" i="87"/>
  <c r="BH40" i="86"/>
  <c r="BH42" i="86" s="1"/>
  <c r="AV40" i="75"/>
  <c r="AV42" i="75" s="1"/>
  <c r="AV41" i="76"/>
  <c r="AV42" i="76" s="1"/>
  <c r="AX40" i="75"/>
  <c r="AX42" i="75" s="1"/>
  <c r="AX41" i="76"/>
  <c r="AX42" i="76" s="1"/>
  <c r="AZ40" i="75"/>
  <c r="AZ42" i="75" s="1"/>
  <c r="AZ41" i="76"/>
  <c r="AZ42" i="76" s="1"/>
  <c r="BK41" i="75"/>
  <c r="BK31" i="75"/>
  <c r="BI31" i="75"/>
  <c r="BI41" i="75"/>
  <c r="T91" i="89" l="1"/>
  <c r="BH42" i="87"/>
  <c r="BN14" i="87"/>
  <c r="BN31" i="87" s="1"/>
  <c r="BL14" i="87"/>
  <c r="BL31" i="87" s="1"/>
  <c r="BL34" i="87" s="1"/>
  <c r="AS33" i="87"/>
  <c r="AS31" i="87"/>
  <c r="AO89" i="89"/>
  <c r="BG12" i="89"/>
  <c r="BI12" i="89"/>
  <c r="BI89" i="89" s="1"/>
  <c r="AJ20" i="89"/>
  <c r="AJ61" i="89"/>
  <c r="AJ62" i="89"/>
  <c r="AJ27" i="89"/>
  <c r="AJ38" i="89"/>
  <c r="AJ13" i="89"/>
  <c r="AJ40" i="89"/>
  <c r="AJ84" i="89"/>
  <c r="AJ54" i="89"/>
  <c r="AJ49" i="89"/>
  <c r="AJ60" i="89"/>
  <c r="AJ36" i="89"/>
  <c r="AJ73" i="89"/>
  <c r="AJ76" i="89"/>
  <c r="AJ46" i="89"/>
  <c r="AJ48" i="89"/>
  <c r="AJ22" i="89"/>
  <c r="AJ32" i="89"/>
  <c r="AJ66" i="89"/>
  <c r="AJ58" i="89"/>
  <c r="AJ81" i="89"/>
  <c r="AJ33" i="89"/>
  <c r="AJ16" i="89"/>
  <c r="AJ85" i="89"/>
  <c r="AJ41" i="89"/>
  <c r="AJ69" i="89"/>
  <c r="AJ64" i="89"/>
  <c r="AJ80" i="89"/>
  <c r="AJ74" i="89"/>
  <c r="AJ70" i="89"/>
  <c r="AJ57" i="89"/>
  <c r="AJ34" i="89"/>
  <c r="AJ83" i="89"/>
  <c r="AJ50" i="89"/>
  <c r="AJ15" i="89"/>
  <c r="AJ53" i="89"/>
  <c r="AJ56" i="89"/>
  <c r="AJ44" i="89"/>
  <c r="AJ47" i="89"/>
  <c r="AJ19" i="89"/>
  <c r="AJ79" i="89"/>
  <c r="AJ77" i="89"/>
  <c r="AJ65" i="89"/>
  <c r="AJ37" i="89"/>
  <c r="AJ18" i="89"/>
  <c r="AJ72" i="89"/>
  <c r="AJ75" i="89"/>
  <c r="AJ52" i="89"/>
  <c r="AJ86" i="89"/>
  <c r="BG86" i="89" s="1"/>
  <c r="AJ39" i="89"/>
  <c r="AJ45" i="89"/>
  <c r="AJ55" i="89"/>
  <c r="AJ59" i="89"/>
  <c r="AJ30" i="89"/>
  <c r="AJ23" i="89"/>
  <c r="AJ21" i="89"/>
  <c r="AJ67" i="89"/>
  <c r="AJ25" i="89"/>
  <c r="AJ17" i="89"/>
  <c r="AJ14" i="89"/>
  <c r="AJ51" i="89"/>
  <c r="AJ28" i="89"/>
  <c r="AJ42" i="89"/>
  <c r="AJ43" i="89"/>
  <c r="AJ82" i="89"/>
  <c r="AJ31" i="89"/>
  <c r="AJ71" i="89"/>
  <c r="AJ68" i="89"/>
  <c r="AJ29" i="89"/>
  <c r="AJ63" i="89"/>
  <c r="AJ26" i="89"/>
  <c r="AJ24" i="89"/>
  <c r="AJ78" i="89"/>
  <c r="AJ35" i="89"/>
  <c r="BK40" i="75"/>
  <c r="BK42" i="75" s="1"/>
  <c r="BK41" i="76"/>
  <c r="BK42" i="76" s="1"/>
  <c r="BI40" i="75"/>
  <c r="BI42" i="75" s="1"/>
  <c r="BI41" i="76"/>
  <c r="BI42" i="76" s="1"/>
  <c r="AJ91" i="89" l="1"/>
  <c r="BG89" i="89"/>
  <c r="BH31" i="75"/>
  <c r="BH40" i="75" l="1"/>
  <c r="BH41" i="76"/>
  <c r="BH42" i="76" s="1"/>
  <c r="BH41" i="75"/>
  <c r="BD31" i="75"/>
  <c r="BH42" i="75" l="1"/>
  <c r="P131" i="88"/>
  <c r="AT131" i="88" s="1"/>
  <c r="AV131" i="88" s="1"/>
  <c r="P144" i="88"/>
  <c r="R144" i="88" s="1"/>
  <c r="P104" i="88"/>
  <c r="R104" i="88" s="1"/>
  <c r="P171" i="88"/>
  <c r="AT171" i="88" s="1"/>
  <c r="AV171" i="88" s="1"/>
  <c r="P68" i="88"/>
  <c r="AT68" i="88" s="1"/>
  <c r="AV68" i="88" s="1"/>
  <c r="P85" i="88"/>
  <c r="AT85" i="88" s="1"/>
  <c r="AV85" i="88" s="1"/>
  <c r="P148" i="88"/>
  <c r="AT148" i="88" s="1"/>
  <c r="AV148" i="88" s="1"/>
  <c r="P48" i="88"/>
  <c r="AT48" i="88" s="1"/>
  <c r="AV48" i="88" s="1"/>
  <c r="P143" i="88"/>
  <c r="R143" i="88" s="1"/>
  <c r="P123" i="88"/>
  <c r="R123" i="88" s="1"/>
  <c r="P165" i="88"/>
  <c r="AT165" i="88" s="1"/>
  <c r="AV165" i="88" s="1"/>
  <c r="P26" i="88"/>
  <c r="AT26" i="88" s="1"/>
  <c r="AV26" i="88" s="1"/>
  <c r="P35" i="88"/>
  <c r="AT35" i="88" s="1"/>
  <c r="AV35" i="88" s="1"/>
  <c r="P155" i="88"/>
  <c r="R155" i="88" s="1"/>
  <c r="P172" i="88"/>
  <c r="AT172" i="88" s="1"/>
  <c r="AV172" i="88" s="1"/>
  <c r="P61" i="88"/>
  <c r="AT61" i="88" s="1"/>
  <c r="AV61" i="88" s="1"/>
  <c r="P103" i="88"/>
  <c r="AT103" i="88" s="1"/>
  <c r="AV103" i="88" s="1"/>
  <c r="P67" i="88"/>
  <c r="AT67" i="88" s="1"/>
  <c r="AV67" i="88" s="1"/>
  <c r="P57" i="88"/>
  <c r="AT57" i="88" s="1"/>
  <c r="AV57" i="88" s="1"/>
  <c r="P75" i="88"/>
  <c r="R75" i="88" s="1"/>
  <c r="P137" i="88"/>
  <c r="R137" i="88" s="1"/>
  <c r="P15" i="88"/>
  <c r="AT15" i="88" s="1"/>
  <c r="AV15" i="88" s="1"/>
  <c r="AT141" i="88"/>
  <c r="AV141" i="88" s="1"/>
  <c r="P141" i="88"/>
  <c r="R141" i="88" s="1"/>
  <c r="P21" i="88"/>
  <c r="AT21" i="88" s="1"/>
  <c r="AV21" i="88" s="1"/>
  <c r="P24" i="88"/>
  <c r="R24" i="88" s="1"/>
  <c r="P175" i="88"/>
  <c r="R175" i="88" s="1"/>
  <c r="P106" i="88"/>
  <c r="AT106" i="88" s="1"/>
  <c r="AV106" i="88" s="1"/>
  <c r="P45" i="88"/>
  <c r="AT45" i="88" s="1"/>
  <c r="AV45" i="88" s="1"/>
  <c r="P111" i="88"/>
  <c r="AT111" i="88" s="1"/>
  <c r="AV111" i="88" s="1"/>
  <c r="P44" i="88"/>
  <c r="AT44" i="88" s="1"/>
  <c r="AV44" i="88" s="1"/>
  <c r="P58" i="88"/>
  <c r="AT58" i="88" s="1"/>
  <c r="AV58" i="88" s="1"/>
  <c r="P152" i="88"/>
  <c r="AT152" i="88" s="1"/>
  <c r="AV152" i="88" s="1"/>
  <c r="P63" i="88"/>
  <c r="R63" i="88" s="1"/>
  <c r="P132" i="88"/>
  <c r="R132" i="88" s="1"/>
  <c r="P166" i="88"/>
  <c r="R166" i="88" s="1"/>
  <c r="P130" i="88"/>
  <c r="R130" i="88" s="1"/>
  <c r="P47" i="88"/>
  <c r="AT47" i="88" s="1"/>
  <c r="AV47" i="88" s="1"/>
  <c r="P69" i="88"/>
  <c r="AT69" i="88" s="1"/>
  <c r="AV69" i="88" s="1"/>
  <c r="P97" i="88"/>
  <c r="R97" i="88" s="1"/>
  <c r="P147" i="88"/>
  <c r="AT147" i="88" s="1"/>
  <c r="AV147" i="88" s="1"/>
  <c r="P38" i="88"/>
  <c r="R38" i="88" s="1"/>
  <c r="P31" i="88"/>
  <c r="AT31" i="88" s="1"/>
  <c r="AV31" i="88" s="1"/>
  <c r="P42" i="88"/>
  <c r="AT42" i="88" s="1"/>
  <c r="AV42" i="88" s="1"/>
  <c r="P93" i="88"/>
  <c r="R93" i="88" s="1"/>
  <c r="P54" i="88"/>
  <c r="R54" i="88" s="1"/>
  <c r="P122" i="88"/>
  <c r="AT122" i="88" s="1"/>
  <c r="AV122" i="88" s="1"/>
  <c r="P113" i="88"/>
  <c r="R113" i="88" s="1"/>
  <c r="P33" i="88"/>
  <c r="AT33" i="88" s="1"/>
  <c r="AV33" i="88" s="1"/>
  <c r="P25" i="88"/>
  <c r="AT25" i="88" s="1"/>
  <c r="AV25" i="88" s="1"/>
  <c r="P82" i="88"/>
  <c r="R82" i="88" s="1"/>
  <c r="P52" i="88"/>
  <c r="AT52" i="88" s="1"/>
  <c r="AV52" i="88" s="1"/>
  <c r="P71" i="88"/>
  <c r="AT71" i="88" s="1"/>
  <c r="AV71" i="88" s="1"/>
  <c r="P167" i="88"/>
  <c r="AT167" i="88" s="1"/>
  <c r="AV167" i="88" s="1"/>
  <c r="P114" i="88"/>
  <c r="AT114" i="88" s="1"/>
  <c r="AV114" i="88" s="1"/>
  <c r="P20" i="88"/>
  <c r="R20" i="88" s="1"/>
  <c r="P157" i="88"/>
  <c r="R157" i="88" s="1"/>
  <c r="P39" i="88"/>
  <c r="R39" i="88" s="1"/>
  <c r="P94" i="88"/>
  <c r="P92" i="88"/>
  <c r="R92" i="88" s="1"/>
  <c r="P40" i="88"/>
  <c r="R40" i="88" s="1"/>
  <c r="P60" i="88"/>
  <c r="P168" i="88"/>
  <c r="R168" i="88" s="1"/>
  <c r="P50" i="88"/>
  <c r="AT50" i="88" s="1"/>
  <c r="AV50" i="88" s="1"/>
  <c r="P118" i="88"/>
  <c r="P177" i="88"/>
  <c r="R177" i="88" s="1"/>
  <c r="P138" i="88"/>
  <c r="R138" i="88" s="1"/>
  <c r="P64" i="88"/>
  <c r="P55" i="88"/>
  <c r="R55" i="88" s="1"/>
  <c r="P126" i="88"/>
  <c r="AT126" i="88" s="1"/>
  <c r="AV126" i="88" s="1"/>
  <c r="P32" i="88"/>
  <c r="P23" i="88"/>
  <c r="R23" i="88" s="1"/>
  <c r="P51" i="88"/>
  <c r="AT51" i="88" s="1"/>
  <c r="AV51" i="88" s="1"/>
  <c r="R51" i="88"/>
  <c r="P154" i="88"/>
  <c r="P17" i="88"/>
  <c r="R17" i="88" s="1"/>
  <c r="P127" i="88"/>
  <c r="R127" i="88" s="1"/>
  <c r="P102" i="88"/>
  <c r="P135" i="88"/>
  <c r="R135" i="88" s="1"/>
  <c r="P79" i="88"/>
  <c r="AT79" i="88" s="1"/>
  <c r="AV79" i="88" s="1"/>
  <c r="P78" i="88"/>
  <c r="P160" i="88"/>
  <c r="R160" i="88" s="1"/>
  <c r="P164" i="88"/>
  <c r="AT164" i="88" s="1"/>
  <c r="AV164" i="88" s="1"/>
  <c r="P116" i="88"/>
  <c r="P124" i="88"/>
  <c r="R124" i="88" s="1"/>
  <c r="P70" i="88"/>
  <c r="R70" i="88" s="1"/>
  <c r="P81" i="88"/>
  <c r="P91" i="88"/>
  <c r="R91" i="88" s="1"/>
  <c r="P80" i="88"/>
  <c r="AT80" i="88" s="1"/>
  <c r="AV80" i="88" s="1"/>
  <c r="P83" i="88"/>
  <c r="P125" i="88"/>
  <c r="R125" i="88" s="1"/>
  <c r="P43" i="88"/>
  <c r="R43" i="88" s="1"/>
  <c r="P107" i="88"/>
  <c r="P142" i="88"/>
  <c r="R142" i="88" s="1"/>
  <c r="P115" i="88"/>
  <c r="AT115" i="88" s="1"/>
  <c r="AV115" i="88" s="1"/>
  <c r="P28" i="88"/>
  <c r="P76" i="88"/>
  <c r="R76" i="88" s="1"/>
  <c r="P18" i="88"/>
  <c r="R18" i="88" s="1"/>
  <c r="P59" i="88"/>
  <c r="P181" i="88"/>
  <c r="R181" i="88" s="1"/>
  <c r="P140" i="88"/>
  <c r="AT140" i="88" s="1"/>
  <c r="AV140" i="88" s="1"/>
  <c r="P73" i="88"/>
  <c r="P169" i="88"/>
  <c r="R169" i="88" s="1"/>
  <c r="P53" i="88"/>
  <c r="AT53" i="88" s="1"/>
  <c r="AV53" i="88" s="1"/>
  <c r="P158" i="88"/>
  <c r="P100" i="88"/>
  <c r="R100" i="88" s="1"/>
  <c r="P150" i="88"/>
  <c r="AT150" i="88" s="1"/>
  <c r="AV150" i="88" s="1"/>
  <c r="P34" i="88"/>
  <c r="P65" i="88"/>
  <c r="R65" i="88" s="1"/>
  <c r="P176" i="88"/>
  <c r="AT176" i="88" s="1"/>
  <c r="AV176" i="88" s="1"/>
  <c r="P174" i="88"/>
  <c r="P128" i="88"/>
  <c r="R128" i="88" s="1"/>
  <c r="P88" i="88"/>
  <c r="R88" i="88" s="1"/>
  <c r="P66" i="88"/>
  <c r="P109" i="88"/>
  <c r="R109" i="88" s="1"/>
  <c r="P162" i="88"/>
  <c r="AT162" i="88" s="1"/>
  <c r="AV162" i="88" s="1"/>
  <c r="P49" i="88"/>
  <c r="AT49" i="88" s="1"/>
  <c r="AV49" i="88" s="1"/>
  <c r="P146" i="88"/>
  <c r="R146" i="88" s="1"/>
  <c r="P145" i="88"/>
  <c r="AT145" i="88" s="1"/>
  <c r="AV145" i="88" s="1"/>
  <c r="P13" i="88"/>
  <c r="AT13" i="88" s="1"/>
  <c r="AV13" i="88" s="1"/>
  <c r="P30" i="88"/>
  <c r="R30" i="88" s="1"/>
  <c r="P121" i="88"/>
  <c r="R121" i="88" s="1"/>
  <c r="P74" i="88"/>
  <c r="AT74" i="88" s="1"/>
  <c r="AV74" i="88" s="1"/>
  <c r="P120" i="88"/>
  <c r="AT120" i="88" s="1"/>
  <c r="AV120" i="88" s="1"/>
  <c r="P41" i="88"/>
  <c r="AT41" i="88" s="1"/>
  <c r="AV41" i="88" s="1"/>
  <c r="P95" i="88"/>
  <c r="AT95" i="88" s="1"/>
  <c r="AV95" i="88" s="1"/>
  <c r="P161" i="88"/>
  <c r="AT161" i="88" s="1"/>
  <c r="AV161" i="88" s="1"/>
  <c r="P12" i="88"/>
  <c r="R12" i="88" s="1"/>
  <c r="P84" i="88"/>
  <c r="AT84" i="88" s="1"/>
  <c r="AV84" i="88" s="1"/>
  <c r="P90" i="88"/>
  <c r="AT90" i="88" s="1"/>
  <c r="AV90" i="88" s="1"/>
  <c r="P37" i="88"/>
  <c r="AT37" i="88" s="1"/>
  <c r="AV37" i="88" s="1"/>
  <c r="P98" i="88"/>
  <c r="R98" i="88" s="1"/>
  <c r="P110" i="88"/>
  <c r="AT110" i="88" s="1"/>
  <c r="AV110" i="88" s="1"/>
  <c r="P86" i="88"/>
  <c r="R86" i="88" s="1"/>
  <c r="P101" i="88"/>
  <c r="R101" i="88" s="1"/>
  <c r="AT101" i="88"/>
  <c r="AV101" i="88" s="1"/>
  <c r="P16" i="88"/>
  <c r="AT16" i="88" s="1"/>
  <c r="AV16" i="88" s="1"/>
  <c r="P163" i="88"/>
  <c r="AT163" i="88" s="1"/>
  <c r="AV163" i="88" s="1"/>
  <c r="P27" i="88"/>
  <c r="R27" i="88" s="1"/>
  <c r="P136" i="88"/>
  <c r="R136" i="88" s="1"/>
  <c r="P119" i="88"/>
  <c r="R119" i="88" s="1"/>
  <c r="P96" i="88"/>
  <c r="R96" i="88" s="1"/>
  <c r="P87" i="88"/>
  <c r="AT87" i="88" s="1"/>
  <c r="AV87" i="88" s="1"/>
  <c r="P129" i="88"/>
  <c r="R129" i="88" s="1"/>
  <c r="P156" i="88"/>
  <c r="AT156" i="88" s="1"/>
  <c r="AV156" i="88" s="1"/>
  <c r="P117" i="88"/>
  <c r="R117" i="88" s="1"/>
  <c r="P153" i="88"/>
  <c r="R153" i="88" s="1"/>
  <c r="P149" i="88"/>
  <c r="R149" i="88" s="1"/>
  <c r="P22" i="88"/>
  <c r="AT22" i="88" s="1"/>
  <c r="AV22" i="88" s="1"/>
  <c r="P77" i="88"/>
  <c r="AT77" i="88" s="1"/>
  <c r="AV77" i="88" s="1"/>
  <c r="P19" i="88"/>
  <c r="AT19" i="88" s="1"/>
  <c r="AV19" i="88" s="1"/>
  <c r="P99" i="88"/>
  <c r="AT99" i="88" s="1"/>
  <c r="AV99" i="88" s="1"/>
  <c r="P29" i="88"/>
  <c r="R29" i="88" s="1"/>
  <c r="P151" i="88"/>
  <c r="R151" i="88" s="1"/>
  <c r="P179" i="88"/>
  <c r="AT179" i="88" s="1"/>
  <c r="AV179" i="88" s="1"/>
  <c r="P133" i="88"/>
  <c r="AT133" i="88" s="1"/>
  <c r="AV133" i="88" s="1"/>
  <c r="P72" i="88"/>
  <c r="R72" i="88" s="1"/>
  <c r="P108" i="88"/>
  <c r="AT108" i="88" s="1"/>
  <c r="AV108" i="88" s="1"/>
  <c r="P105" i="88"/>
  <c r="R105" i="88" s="1"/>
  <c r="P134" i="88"/>
  <c r="R134" i="88" s="1"/>
  <c r="P89" i="88"/>
  <c r="AT89" i="88" s="1"/>
  <c r="AV89" i="88" s="1"/>
  <c r="P173" i="88"/>
  <c r="R173" i="88" s="1"/>
  <c r="P178" i="88"/>
  <c r="R178" i="88" s="1"/>
  <c r="P159" i="88"/>
  <c r="AT159" i="88" s="1"/>
  <c r="AV159" i="88" s="1"/>
  <c r="P139" i="88"/>
  <c r="R139" i="88" s="1"/>
  <c r="P56" i="88"/>
  <c r="AT56" i="88" s="1"/>
  <c r="AV56" i="88" s="1"/>
  <c r="P170" i="88"/>
  <c r="AT170" i="88" s="1"/>
  <c r="AV170" i="88" s="1"/>
  <c r="P36" i="88"/>
  <c r="AT36" i="88" s="1"/>
  <c r="AV36" i="88" s="1"/>
  <c r="P112" i="88"/>
  <c r="AT112" i="88" s="1"/>
  <c r="AV112" i="88" s="1"/>
  <c r="P46" i="88"/>
  <c r="R46" i="88" s="1"/>
  <c r="P62" i="88"/>
  <c r="AT62" i="88" s="1"/>
  <c r="AV62" i="88" s="1"/>
  <c r="R62" i="88"/>
  <c r="P14" i="88"/>
  <c r="P180" i="88"/>
  <c r="R180" i="88" s="1"/>
  <c r="R114" i="88" l="1"/>
  <c r="AT82" i="88"/>
  <c r="AV82" i="88" s="1"/>
  <c r="R33" i="88"/>
  <c r="R79" i="88"/>
  <c r="R52" i="88"/>
  <c r="R164" i="88"/>
  <c r="AT113" i="88"/>
  <c r="AV113" i="88" s="1"/>
  <c r="AT130" i="88"/>
  <c r="AV130" i="88" s="1"/>
  <c r="R21" i="88"/>
  <c r="AT43" i="88"/>
  <c r="AV43" i="88" s="1"/>
  <c r="AT127" i="88"/>
  <c r="AV127" i="88" s="1"/>
  <c r="AT86" i="88"/>
  <c r="AV86" i="88" s="1"/>
  <c r="R67" i="88"/>
  <c r="AT105" i="88"/>
  <c r="AV105" i="88" s="1"/>
  <c r="R179" i="88"/>
  <c r="AT98" i="88"/>
  <c r="AV98" i="88" s="1"/>
  <c r="AT121" i="88"/>
  <c r="AV121" i="88" s="1"/>
  <c r="R53" i="88"/>
  <c r="AT137" i="88"/>
  <c r="AV137" i="88" s="1"/>
  <c r="R170" i="88"/>
  <c r="AT178" i="88"/>
  <c r="AV178" i="88" s="1"/>
  <c r="AT29" i="88"/>
  <c r="AV29" i="88" s="1"/>
  <c r="AT149" i="88"/>
  <c r="AV149" i="88" s="1"/>
  <c r="R156" i="88"/>
  <c r="R110" i="88"/>
  <c r="R84" i="88"/>
  <c r="R150" i="88"/>
  <c r="R80" i="88"/>
  <c r="AT54" i="88"/>
  <c r="AV54" i="88" s="1"/>
  <c r="AT97" i="88"/>
  <c r="AV97" i="88" s="1"/>
  <c r="R106" i="88"/>
  <c r="R68" i="88"/>
  <c r="R159" i="88"/>
  <c r="R108" i="88"/>
  <c r="R90" i="88"/>
  <c r="AT181" i="88"/>
  <c r="AV181" i="88" s="1"/>
  <c r="R19" i="88"/>
  <c r="AT136" i="88"/>
  <c r="AV136" i="88" s="1"/>
  <c r="AT18" i="88"/>
  <c r="AV18" i="88" s="1"/>
  <c r="AT124" i="88"/>
  <c r="AV124" i="88" s="1"/>
  <c r="AT75" i="88"/>
  <c r="AV75" i="88" s="1"/>
  <c r="AT117" i="88"/>
  <c r="AV117" i="88" s="1"/>
  <c r="R95" i="88"/>
  <c r="AT135" i="88"/>
  <c r="AV135" i="88" s="1"/>
  <c r="AT39" i="88"/>
  <c r="AV39" i="88" s="1"/>
  <c r="R36" i="88"/>
  <c r="AT139" i="88"/>
  <c r="AV139" i="88" s="1"/>
  <c r="AT173" i="88"/>
  <c r="AV173" i="88" s="1"/>
  <c r="AT153" i="88"/>
  <c r="AV153" i="88" s="1"/>
  <c r="AT129" i="88"/>
  <c r="AV129" i="88" s="1"/>
  <c r="R44" i="88"/>
  <c r="AT72" i="88"/>
  <c r="AV72" i="88" s="1"/>
  <c r="AT119" i="88"/>
  <c r="AV119" i="88" s="1"/>
  <c r="AT27" i="88"/>
  <c r="AV27" i="88" s="1"/>
  <c r="R161" i="88"/>
  <c r="R120" i="88"/>
  <c r="AT146" i="88"/>
  <c r="AV146" i="88" s="1"/>
  <c r="AT109" i="88"/>
  <c r="AV109" i="88" s="1"/>
  <c r="AT177" i="88"/>
  <c r="AV177" i="88" s="1"/>
  <c r="AT93" i="88"/>
  <c r="AV93" i="88" s="1"/>
  <c r="AT63" i="88"/>
  <c r="AV63" i="88" s="1"/>
  <c r="R165" i="88"/>
  <c r="AT46" i="88"/>
  <c r="AV46" i="88" s="1"/>
  <c r="R89" i="88"/>
  <c r="R87" i="88"/>
  <c r="R13" i="88"/>
  <c r="R176" i="88"/>
  <c r="AT142" i="88"/>
  <c r="AV142" i="88" s="1"/>
  <c r="AT38" i="88"/>
  <c r="AV38" i="88" s="1"/>
  <c r="AT155" i="88"/>
  <c r="AV155" i="88" s="1"/>
  <c r="R56" i="88"/>
  <c r="AT151" i="88"/>
  <c r="AV151" i="88" s="1"/>
  <c r="AT169" i="88"/>
  <c r="AV169" i="88" s="1"/>
  <c r="AT76" i="88"/>
  <c r="AV76" i="88" s="1"/>
  <c r="AT70" i="88"/>
  <c r="AV70" i="88" s="1"/>
  <c r="AT23" i="88"/>
  <c r="AV23" i="88" s="1"/>
  <c r="R48" i="88"/>
  <c r="AT144" i="88"/>
  <c r="AV144" i="88" s="1"/>
  <c r="R112" i="88"/>
  <c r="AT134" i="88"/>
  <c r="AV134" i="88" s="1"/>
  <c r="AT96" i="88"/>
  <c r="AV96" i="88" s="1"/>
  <c r="R145" i="88"/>
  <c r="AT88" i="88"/>
  <c r="AV88" i="88" s="1"/>
  <c r="R140" i="88"/>
  <c r="R115" i="88"/>
  <c r="AT91" i="88"/>
  <c r="AV91" i="88" s="1"/>
  <c r="R126" i="88"/>
  <c r="AT138" i="88"/>
  <c r="AV138" i="88" s="1"/>
  <c r="R50" i="88"/>
  <c r="AT40" i="88"/>
  <c r="AV40" i="88" s="1"/>
  <c r="R31" i="88"/>
  <c r="AT166" i="88"/>
  <c r="AV166" i="88" s="1"/>
  <c r="R172" i="88"/>
  <c r="AT123" i="88"/>
  <c r="AV123" i="88" s="1"/>
  <c r="R99" i="88"/>
  <c r="R22" i="88"/>
  <c r="R16" i="88"/>
  <c r="AT12" i="88"/>
  <c r="AV12" i="88" s="1"/>
  <c r="R162" i="88"/>
  <c r="AT160" i="88"/>
  <c r="AV160" i="88" s="1"/>
  <c r="AT175" i="88"/>
  <c r="AV175" i="88" s="1"/>
  <c r="AT107" i="88"/>
  <c r="AV107" i="88" s="1"/>
  <c r="R107" i="88"/>
  <c r="AT14" i="88"/>
  <c r="R14" i="88"/>
  <c r="R133" i="88"/>
  <c r="R77" i="88"/>
  <c r="R163" i="88"/>
  <c r="R37" i="88"/>
  <c r="R41" i="88"/>
  <c r="R74" i="88"/>
  <c r="AT30" i="88"/>
  <c r="AV30" i="88" s="1"/>
  <c r="R49" i="88"/>
  <c r="R81" i="88"/>
  <c r="AT81" i="88"/>
  <c r="AV81" i="88" s="1"/>
  <c r="AT180" i="88"/>
  <c r="AV180" i="88" s="1"/>
  <c r="R116" i="88"/>
  <c r="AT116" i="88"/>
  <c r="AV116" i="88" s="1"/>
  <c r="R66" i="88"/>
  <c r="AT66" i="88"/>
  <c r="AV66" i="88" s="1"/>
  <c r="R78" i="88"/>
  <c r="AT78" i="88"/>
  <c r="AV78" i="88" s="1"/>
  <c r="R83" i="88"/>
  <c r="AT83" i="88"/>
  <c r="AV83" i="88" s="1"/>
  <c r="AT174" i="88"/>
  <c r="AV174" i="88" s="1"/>
  <c r="R174" i="88"/>
  <c r="R34" i="88"/>
  <c r="AT34" i="88"/>
  <c r="AV34" i="88" s="1"/>
  <c r="AT158" i="88"/>
  <c r="AV158" i="88" s="1"/>
  <c r="R158" i="88"/>
  <c r="AT73" i="88"/>
  <c r="AV73" i="88" s="1"/>
  <c r="R73" i="88"/>
  <c r="R59" i="88"/>
  <c r="AT59" i="88"/>
  <c r="AV59" i="88" s="1"/>
  <c r="AT102" i="88"/>
  <c r="AV102" i="88" s="1"/>
  <c r="R102" i="88"/>
  <c r="R154" i="88"/>
  <c r="AT154" i="88"/>
  <c r="AV154" i="88" s="1"/>
  <c r="R94" i="88"/>
  <c r="AT94" i="88"/>
  <c r="AV94" i="88" s="1"/>
  <c r="AT28" i="88"/>
  <c r="AV28" i="88" s="1"/>
  <c r="R28" i="88"/>
  <c r="AT32" i="88"/>
  <c r="AV32" i="88" s="1"/>
  <c r="R32" i="88"/>
  <c r="AT64" i="88"/>
  <c r="AV64" i="88" s="1"/>
  <c r="R64" i="88"/>
  <c r="AT118" i="88"/>
  <c r="AV118" i="88" s="1"/>
  <c r="R118" i="88"/>
  <c r="R60" i="88"/>
  <c r="AT60" i="88"/>
  <c r="AV60" i="88" s="1"/>
  <c r="AT128" i="88"/>
  <c r="AV128" i="88" s="1"/>
  <c r="AT65" i="88"/>
  <c r="AV65" i="88" s="1"/>
  <c r="AT100" i="88"/>
  <c r="AV100" i="88" s="1"/>
  <c r="AT125" i="88"/>
  <c r="AV125" i="88" s="1"/>
  <c r="AT17" i="88"/>
  <c r="AV17" i="88" s="1"/>
  <c r="AT55" i="88"/>
  <c r="AV55" i="88" s="1"/>
  <c r="AT168" i="88"/>
  <c r="AV168" i="88" s="1"/>
  <c r="AT92" i="88"/>
  <c r="AV92" i="88" s="1"/>
  <c r="AT157" i="88"/>
  <c r="AV157" i="88" s="1"/>
  <c r="R167" i="88"/>
  <c r="R69" i="88"/>
  <c r="R152" i="88"/>
  <c r="R111" i="88"/>
  <c r="R103" i="88"/>
  <c r="R35" i="88"/>
  <c r="R148" i="88"/>
  <c r="R171" i="88"/>
  <c r="R131" i="88"/>
  <c r="AT20" i="88"/>
  <c r="AV20" i="88" s="1"/>
  <c r="R71" i="88"/>
  <c r="R25" i="88"/>
  <c r="R122" i="88"/>
  <c r="R42" i="88"/>
  <c r="R147" i="88"/>
  <c r="R47" i="88"/>
  <c r="AT132" i="88"/>
  <c r="AV132" i="88" s="1"/>
  <c r="R58" i="88"/>
  <c r="R45" i="88"/>
  <c r="AT24" i="88"/>
  <c r="AV24" i="88" s="1"/>
  <c r="R15" i="88"/>
  <c r="R57" i="88"/>
  <c r="R61" i="88"/>
  <c r="R26" i="88"/>
  <c r="AT143" i="88"/>
  <c r="AV143" i="88" s="1"/>
  <c r="R85" i="88"/>
  <c r="AT104" i="88"/>
  <c r="AV104" i="88" s="1"/>
  <c r="R184" i="88" l="1"/>
  <c r="AV14" i="88"/>
  <c r="AV184" i="88" s="1"/>
  <c r="AT184" i="88"/>
  <c r="O77" i="88"/>
  <c r="O33" i="88"/>
  <c r="S33" i="88" s="1"/>
  <c r="O170" i="88"/>
  <c r="S170" i="88" s="1"/>
  <c r="O148" i="88"/>
  <c r="S148" i="88" s="1"/>
  <c r="O92" i="88"/>
  <c r="S92" i="88" s="1"/>
  <c r="O64" i="88"/>
  <c r="S64" i="88" s="1"/>
  <c r="O81" i="88"/>
  <c r="S81" i="88" s="1"/>
  <c r="AI81" i="88" s="1"/>
  <c r="O150" i="88"/>
  <c r="S150" i="88" s="1"/>
  <c r="O75" i="88"/>
  <c r="S75" i="88" s="1"/>
  <c r="O130" i="88"/>
  <c r="S130" i="88" s="1"/>
  <c r="O129" i="88"/>
  <c r="S129" i="88" s="1"/>
  <c r="O113" i="88"/>
  <c r="AS113" i="88" s="1"/>
  <c r="O143" i="88"/>
  <c r="S143" i="88" s="1"/>
  <c r="O32" i="88"/>
  <c r="S32" i="88" s="1"/>
  <c r="O162" i="88"/>
  <c r="S162" i="88" s="1"/>
  <c r="O23" i="88"/>
  <c r="S23" i="88" s="1"/>
  <c r="O178" i="88"/>
  <c r="S178" i="88" s="1"/>
  <c r="O62" i="88"/>
  <c r="AS62" i="88" s="1"/>
  <c r="O145" i="88"/>
  <c r="S145" i="88" s="1"/>
  <c r="O60" i="88"/>
  <c r="AS60" i="88" s="1"/>
  <c r="O151" i="88"/>
  <c r="S151" i="88" s="1"/>
  <c r="O180" i="88"/>
  <c r="S180" i="88" s="1"/>
  <c r="O106" i="88"/>
  <c r="S106" i="88" s="1"/>
  <c r="O45" i="88"/>
  <c r="AS45" i="88" s="1"/>
  <c r="O147" i="88"/>
  <c r="S147" i="88" s="1"/>
  <c r="O26" i="88"/>
  <c r="S26" i="88" s="1"/>
  <c r="O43" i="88"/>
  <c r="S43" i="88" s="1"/>
  <c r="O95" i="88"/>
  <c r="O87" i="88"/>
  <c r="S87" i="88" s="1"/>
  <c r="O27" i="88"/>
  <c r="S27" i="88" s="1"/>
  <c r="O78" i="88"/>
  <c r="O40" i="88"/>
  <c r="S40" i="88" s="1"/>
  <c r="O175" i="88"/>
  <c r="S175" i="88" s="1"/>
  <c r="O55" i="88"/>
  <c r="O18" i="88"/>
  <c r="S18" i="88" s="1"/>
  <c r="O72" i="88"/>
  <c r="S72" i="88" s="1"/>
  <c r="O153" i="88"/>
  <c r="O16" i="88"/>
  <c r="S16" i="88" s="1"/>
  <c r="O101" i="88"/>
  <c r="S101" i="88" s="1"/>
  <c r="O50" i="88"/>
  <c r="S50" i="88" s="1"/>
  <c r="O157" i="88"/>
  <c r="AS157" i="88" s="1"/>
  <c r="O122" i="88"/>
  <c r="S122" i="88" s="1"/>
  <c r="O167" i="88"/>
  <c r="S167" i="88" s="1"/>
  <c r="O152" i="88"/>
  <c r="S152" i="88" s="1"/>
  <c r="O172" i="88"/>
  <c r="S172" i="88" s="1"/>
  <c r="O135" i="88"/>
  <c r="AS135" i="88" s="1"/>
  <c r="O49" i="88"/>
  <c r="S49" i="88" s="1"/>
  <c r="O48" i="88"/>
  <c r="S48" i="88" s="1"/>
  <c r="O71" i="88"/>
  <c r="O39" i="88"/>
  <c r="S39" i="88" s="1"/>
  <c r="O165" i="88"/>
  <c r="S165" i="88" s="1"/>
  <c r="O66" i="88"/>
  <c r="O24" i="88"/>
  <c r="S24" i="88" s="1"/>
  <c r="AI24" i="88" s="1"/>
  <c r="O139" i="88"/>
  <c r="S139" i="88" s="1"/>
  <c r="O96" i="88"/>
  <c r="O13" i="88"/>
  <c r="S13" i="88" s="1"/>
  <c r="O177" i="88"/>
  <c r="S177" i="88" s="1"/>
  <c r="O74" i="88"/>
  <c r="O105" i="88"/>
  <c r="S105" i="88" s="1"/>
  <c r="AI105" i="88" s="1"/>
  <c r="O142" i="88"/>
  <c r="S142" i="88" s="1"/>
  <c r="O116" i="88"/>
  <c r="O20" i="88"/>
  <c r="S20" i="88" s="1"/>
  <c r="AI20" i="88" s="1"/>
  <c r="O90" i="88"/>
  <c r="S90" i="88" s="1"/>
  <c r="O36" i="88"/>
  <c r="O19" i="88"/>
  <c r="S19" i="88" s="1"/>
  <c r="O73" i="88"/>
  <c r="S73" i="88" s="1"/>
  <c r="AI73" i="88" s="1"/>
  <c r="O85" i="88"/>
  <c r="O53" i="88"/>
  <c r="S53" i="88" s="1"/>
  <c r="O99" i="88"/>
  <c r="S99" i="88" s="1"/>
  <c r="O110" i="88"/>
  <c r="O84" i="88"/>
  <c r="S84" i="88" s="1"/>
  <c r="O42" i="88"/>
  <c r="S42" i="88" s="1"/>
  <c r="O174" i="88"/>
  <c r="O120" i="88"/>
  <c r="S120" i="88" s="1"/>
  <c r="O22" i="88"/>
  <c r="S22" i="88" s="1"/>
  <c r="O65" i="88"/>
  <c r="AS65" i="88" s="1"/>
  <c r="O173" i="88"/>
  <c r="S173" i="88" s="1"/>
  <c r="AI173" i="88" s="1"/>
  <c r="O158" i="88"/>
  <c r="S158" i="88" s="1"/>
  <c r="O38" i="88"/>
  <c r="O115" i="88"/>
  <c r="AS115" i="88" s="1"/>
  <c r="O44" i="88"/>
  <c r="S44" i="88" s="1"/>
  <c r="AI44" i="88" s="1"/>
  <c r="O156" i="88"/>
  <c r="O30" i="88"/>
  <c r="S30" i="88" s="1"/>
  <c r="O171" i="88"/>
  <c r="S171" i="88" s="1"/>
  <c r="O159" i="88"/>
  <c r="O82" i="88"/>
  <c r="AS82" i="88" s="1"/>
  <c r="O54" i="88"/>
  <c r="AS54" i="88" s="1"/>
  <c r="O140" i="88"/>
  <c r="S140" i="88" s="1"/>
  <c r="O91" i="88"/>
  <c r="S91" i="88" s="1"/>
  <c r="O51" i="88"/>
  <c r="S51" i="88" s="1"/>
  <c r="O103" i="88"/>
  <c r="S103" i="88" s="1"/>
  <c r="O93" i="88"/>
  <c r="AS93" i="88" s="1"/>
  <c r="O52" i="88"/>
  <c r="S52" i="88" s="1"/>
  <c r="O37" i="88"/>
  <c r="S37" i="88" s="1"/>
  <c r="O133" i="88"/>
  <c r="AS133" i="88" s="1"/>
  <c r="O164" i="88"/>
  <c r="S164" i="88" s="1"/>
  <c r="O169" i="88"/>
  <c r="S169" i="88" s="1"/>
  <c r="O109" i="88"/>
  <c r="S109" i="88" s="1"/>
  <c r="O119" i="88"/>
  <c r="S119" i="88" s="1"/>
  <c r="O149" i="88"/>
  <c r="S149" i="88" s="1"/>
  <c r="O112" i="88"/>
  <c r="S112" i="88" s="1"/>
  <c r="O136" i="88"/>
  <c r="S136" i="88" s="1"/>
  <c r="AI136" i="88" s="1"/>
  <c r="O125" i="88"/>
  <c r="S125" i="88" s="1"/>
  <c r="AS125" i="88"/>
  <c r="O57" i="88"/>
  <c r="AS57" i="88" s="1"/>
  <c r="O61" i="88"/>
  <c r="S61" i="88" s="1"/>
  <c r="O69" i="88"/>
  <c r="S69" i="88" s="1"/>
  <c r="AI69" i="88" s="1"/>
  <c r="O146" i="88"/>
  <c r="S146" i="88" s="1"/>
  <c r="O107" i="88"/>
  <c r="S107" i="88" s="1"/>
  <c r="O131" i="88"/>
  <c r="S131" i="88" s="1"/>
  <c r="O121" i="88"/>
  <c r="S121" i="88" s="1"/>
  <c r="O102" i="88"/>
  <c r="S102" i="88" s="1"/>
  <c r="O176" i="88"/>
  <c r="AS176" i="88" s="1"/>
  <c r="O138" i="88"/>
  <c r="S138" i="88" s="1"/>
  <c r="O25" i="88"/>
  <c r="S25" i="88" s="1"/>
  <c r="O132" i="88"/>
  <c r="S132" i="88" s="1"/>
  <c r="O67" i="88"/>
  <c r="AS67" i="88" s="1"/>
  <c r="O128" i="88"/>
  <c r="S128" i="88" s="1"/>
  <c r="O166" i="88"/>
  <c r="S166" i="88" s="1"/>
  <c r="O63" i="88"/>
  <c r="S63" i="88" s="1"/>
  <c r="O59" i="88"/>
  <c r="S59" i="88" s="1"/>
  <c r="AI59" i="88" s="1"/>
  <c r="O70" i="88"/>
  <c r="S70" i="88" s="1"/>
  <c r="O118" i="88"/>
  <c r="S118" i="88" s="1"/>
  <c r="AI118" i="88" s="1"/>
  <c r="O123" i="88"/>
  <c r="S123" i="88" s="1"/>
  <c r="AI123" i="88" s="1"/>
  <c r="O79" i="88"/>
  <c r="S79" i="88" s="1"/>
  <c r="O58" i="88"/>
  <c r="S58" i="88" s="1"/>
  <c r="O134" i="88"/>
  <c r="S134" i="88" s="1"/>
  <c r="O160" i="88"/>
  <c r="S160" i="88" s="1"/>
  <c r="O46" i="88"/>
  <c r="AS46" i="88" s="1"/>
  <c r="O15" i="88"/>
  <c r="S15" i="88" s="1"/>
  <c r="O86" i="88"/>
  <c r="AS86" i="88" s="1"/>
  <c r="O80" i="88"/>
  <c r="AS80" i="88" s="1"/>
  <c r="O137" i="88"/>
  <c r="S137" i="88" s="1"/>
  <c r="AI137" i="88" s="1"/>
  <c r="O56" i="88"/>
  <c r="S56" i="88" s="1"/>
  <c r="AI56" i="88" s="1"/>
  <c r="O31" i="88"/>
  <c r="AS31" i="88" s="1"/>
  <c r="O100" i="88"/>
  <c r="S100" i="88" s="1"/>
  <c r="O76" i="88"/>
  <c r="S76" i="88" s="1"/>
  <c r="AI76" i="88" s="1"/>
  <c r="O114" i="88"/>
  <c r="AS114" i="88" s="1"/>
  <c r="O144" i="88"/>
  <c r="S144" i="88" s="1"/>
  <c r="O168" i="88"/>
  <c r="S168" i="88" s="1"/>
  <c r="O34" i="88"/>
  <c r="S34" i="88" s="1"/>
  <c r="O126" i="88"/>
  <c r="S126" i="88" s="1"/>
  <c r="O98" i="88"/>
  <c r="AS98" i="88" s="1"/>
  <c r="O127" i="88"/>
  <c r="S127" i="88" s="1"/>
  <c r="O12" i="88"/>
  <c r="S12" i="88" s="1"/>
  <c r="O41" i="88"/>
  <c r="S41" i="88" s="1"/>
  <c r="O155" i="88"/>
  <c r="S155" i="88" s="1"/>
  <c r="O161" i="88"/>
  <c r="S161" i="88" s="1"/>
  <c r="O28" i="88"/>
  <c r="AS28" i="88" s="1"/>
  <c r="O89" i="88"/>
  <c r="AS89" i="88" s="1"/>
  <c r="O108" i="88"/>
  <c r="S108" i="88" s="1"/>
  <c r="O47" i="88"/>
  <c r="AS47" i="88" s="1"/>
  <c r="O111" i="88"/>
  <c r="S111" i="88" s="1"/>
  <c r="O88" i="88"/>
  <c r="S88" i="88" s="1"/>
  <c r="O29" i="88"/>
  <c r="AS29" i="88" s="1"/>
  <c r="O117" i="88"/>
  <c r="S117" i="88" s="1"/>
  <c r="O154" i="88"/>
  <c r="S154" i="88" s="1"/>
  <c r="AI154" i="88" s="1"/>
  <c r="O68" i="88"/>
  <c r="AS68" i="88" s="1"/>
  <c r="O181" i="88"/>
  <c r="S181" i="88" s="1"/>
  <c r="O17" i="88"/>
  <c r="S17" i="88" s="1"/>
  <c r="O35" i="88"/>
  <c r="AS35" i="88" s="1"/>
  <c r="O97" i="88"/>
  <c r="S97" i="88" s="1"/>
  <c r="O21" i="88"/>
  <c r="S21" i="88" s="1"/>
  <c r="O163" i="88"/>
  <c r="AS163" i="88" s="1"/>
  <c r="O124" i="88"/>
  <c r="S124" i="88" s="1"/>
  <c r="O141" i="88"/>
  <c r="S141" i="88" s="1"/>
  <c r="O104" i="88"/>
  <c r="S104" i="88" s="1"/>
  <c r="AI104" i="88" s="1"/>
  <c r="O179" i="88"/>
  <c r="S179" i="88" s="1"/>
  <c r="O83" i="88"/>
  <c r="S83" i="88" s="1"/>
  <c r="O14" i="88"/>
  <c r="S14" i="88" s="1"/>
  <c r="O94" i="88"/>
  <c r="S94" i="88" s="1"/>
  <c r="AS166" i="88" l="1"/>
  <c r="S60" i="88"/>
  <c r="AI60" i="88" s="1"/>
  <c r="AS160" i="88"/>
  <c r="AS102" i="88"/>
  <c r="AS136" i="88"/>
  <c r="AS20" i="88"/>
  <c r="AS177" i="88"/>
  <c r="AS50" i="88"/>
  <c r="AS131" i="88"/>
  <c r="AS149" i="88"/>
  <c r="AS40" i="88"/>
  <c r="AS12" i="88"/>
  <c r="AS168" i="88"/>
  <c r="AS32" i="88"/>
  <c r="AS75" i="88"/>
  <c r="AS106" i="88"/>
  <c r="AS170" i="88"/>
  <c r="AS81" i="88"/>
  <c r="AS76" i="88"/>
  <c r="AS70" i="88"/>
  <c r="AS52" i="88"/>
  <c r="AS73" i="88"/>
  <c r="AS178" i="88"/>
  <c r="S46" i="88"/>
  <c r="AI46" i="88" s="1"/>
  <c r="AS15" i="88"/>
  <c r="AS59" i="88"/>
  <c r="AS22" i="88"/>
  <c r="AS152" i="88"/>
  <c r="AS27" i="88"/>
  <c r="AS147" i="88"/>
  <c r="AS23" i="88"/>
  <c r="AS88" i="88"/>
  <c r="AS144" i="88"/>
  <c r="AS103" i="88"/>
  <c r="AS48" i="88"/>
  <c r="AS101" i="88"/>
  <c r="S113" i="88"/>
  <c r="AI113" i="88" s="1"/>
  <c r="AS99" i="88"/>
  <c r="AS165" i="88"/>
  <c r="AS167" i="88"/>
  <c r="AS18" i="88"/>
  <c r="S93" i="88"/>
  <c r="AI93" i="88" s="1"/>
  <c r="S157" i="88"/>
  <c r="AI157" i="88" s="1"/>
  <c r="AS173" i="88"/>
  <c r="AS53" i="88"/>
  <c r="AS105" i="88"/>
  <c r="AS39" i="88"/>
  <c r="AS21" i="88"/>
  <c r="AS137" i="88"/>
  <c r="AS25" i="88"/>
  <c r="AS164" i="88"/>
  <c r="AS44" i="88"/>
  <c r="AS130" i="88"/>
  <c r="S176" i="88"/>
  <c r="AI176" i="88" s="1"/>
  <c r="AS141" i="88"/>
  <c r="AS154" i="88"/>
  <c r="AS161" i="88"/>
  <c r="AS100" i="88"/>
  <c r="AS79" i="88"/>
  <c r="AS128" i="88"/>
  <c r="AS69" i="88"/>
  <c r="AS119" i="88"/>
  <c r="AS140" i="88"/>
  <c r="AS171" i="88"/>
  <c r="AS42" i="88"/>
  <c r="AS19" i="88"/>
  <c r="AS139" i="88"/>
  <c r="AS49" i="88"/>
  <c r="AS16" i="88"/>
  <c r="AS43" i="88"/>
  <c r="AS143" i="88"/>
  <c r="AS64" i="88"/>
  <c r="S62" i="88"/>
  <c r="AI62" i="88" s="1"/>
  <c r="S68" i="88"/>
  <c r="S89" i="88"/>
  <c r="S114" i="88"/>
  <c r="S86" i="88"/>
  <c r="AI86" i="88" s="1"/>
  <c r="S29" i="88"/>
  <c r="AI29" i="88" s="1"/>
  <c r="AS83" i="88"/>
  <c r="AS17" i="88"/>
  <c r="AS108" i="88"/>
  <c r="AS126" i="88"/>
  <c r="AS123" i="88"/>
  <c r="AS61" i="88"/>
  <c r="AS37" i="88"/>
  <c r="S54" i="88"/>
  <c r="AI54" i="88" s="1"/>
  <c r="AS158" i="88"/>
  <c r="AS84" i="88"/>
  <c r="AS142" i="88"/>
  <c r="AS24" i="88"/>
  <c r="S135" i="88"/>
  <c r="AS175" i="88"/>
  <c r="AS26" i="88"/>
  <c r="AS145" i="88"/>
  <c r="S45" i="88"/>
  <c r="AI45" i="88" s="1"/>
  <c r="AS56" i="88"/>
  <c r="AS134" i="88"/>
  <c r="AS132" i="88"/>
  <c r="AS107" i="88"/>
  <c r="AS169" i="88"/>
  <c r="AS51" i="88"/>
  <c r="AS120" i="88"/>
  <c r="AS90" i="88"/>
  <c r="AS13" i="88"/>
  <c r="S80" i="88"/>
  <c r="AI80" i="88" s="1"/>
  <c r="AS72" i="88"/>
  <c r="AS87" i="88"/>
  <c r="AS180" i="88"/>
  <c r="AS148" i="88"/>
  <c r="S35" i="88"/>
  <c r="AI83" i="88"/>
  <c r="AI61" i="88"/>
  <c r="AI50" i="88"/>
  <c r="AI92" i="88"/>
  <c r="AI122" i="88"/>
  <c r="AI175" i="88"/>
  <c r="AI150" i="88"/>
  <c r="AI106" i="88"/>
  <c r="AI17" i="88"/>
  <c r="AS36" i="88"/>
  <c r="S36" i="88"/>
  <c r="AI164" i="88"/>
  <c r="AI181" i="88"/>
  <c r="AI169" i="88"/>
  <c r="AI158" i="88"/>
  <c r="AI84" i="88"/>
  <c r="AI142" i="88"/>
  <c r="AS71" i="88"/>
  <c r="S71" i="88"/>
  <c r="AI26" i="88"/>
  <c r="AI21" i="88"/>
  <c r="AI88" i="88"/>
  <c r="AI15" i="88"/>
  <c r="AI58" i="88"/>
  <c r="AI102" i="88"/>
  <c r="AI149" i="88"/>
  <c r="AI52" i="88"/>
  <c r="AI91" i="88"/>
  <c r="AS110" i="88"/>
  <c r="S110" i="88"/>
  <c r="AI90" i="88"/>
  <c r="AS66" i="88"/>
  <c r="S66" i="88"/>
  <c r="AI172" i="88"/>
  <c r="AI89" i="88"/>
  <c r="AI72" i="88"/>
  <c r="AI87" i="88"/>
  <c r="AI180" i="88"/>
  <c r="AI148" i="88"/>
  <c r="AI23" i="88"/>
  <c r="AI114" i="88"/>
  <c r="AI39" i="88"/>
  <c r="AI63" i="88"/>
  <c r="AI22" i="88"/>
  <c r="AI135" i="88"/>
  <c r="AI75" i="88"/>
  <c r="AI166" i="88"/>
  <c r="AI179" i="88"/>
  <c r="AI132" i="88"/>
  <c r="AI94" i="88"/>
  <c r="AI127" i="88"/>
  <c r="AI168" i="88"/>
  <c r="AI70" i="88"/>
  <c r="AI121" i="88"/>
  <c r="AI125" i="88"/>
  <c r="AS159" i="88"/>
  <c r="S159" i="88"/>
  <c r="AS174" i="88"/>
  <c r="S174" i="88"/>
  <c r="AS96" i="88"/>
  <c r="S96" i="88"/>
  <c r="AI48" i="88"/>
  <c r="AI101" i="88"/>
  <c r="S95" i="88"/>
  <c r="AS95" i="88"/>
  <c r="AI151" i="88"/>
  <c r="AI32" i="88"/>
  <c r="AI12" i="88"/>
  <c r="S65" i="88"/>
  <c r="AI112" i="88"/>
  <c r="AS153" i="88"/>
  <c r="S153" i="88"/>
  <c r="AI34" i="88"/>
  <c r="AI134" i="88"/>
  <c r="AS85" i="88"/>
  <c r="S85" i="88"/>
  <c r="AI97" i="88"/>
  <c r="AI14" i="88"/>
  <c r="AI161" i="88"/>
  <c r="AI79" i="88"/>
  <c r="AI128" i="88"/>
  <c r="AI138" i="88"/>
  <c r="AI119" i="88"/>
  <c r="AI140" i="88"/>
  <c r="AS74" i="88"/>
  <c r="S74" i="88"/>
  <c r="AI165" i="88"/>
  <c r="AI18" i="88"/>
  <c r="S78" i="88"/>
  <c r="AS78" i="88"/>
  <c r="AI170" i="88"/>
  <c r="AI37" i="88"/>
  <c r="AI126" i="88"/>
  <c r="AI177" i="88"/>
  <c r="AI27" i="88"/>
  <c r="S156" i="88"/>
  <c r="AS156" i="88"/>
  <c r="AI111" i="88"/>
  <c r="AI124" i="88"/>
  <c r="AI117" i="88"/>
  <c r="AI155" i="88"/>
  <c r="AI144" i="88"/>
  <c r="AI160" i="88"/>
  <c r="AI131" i="88"/>
  <c r="AI109" i="88"/>
  <c r="AI103" i="88"/>
  <c r="AI171" i="88"/>
  <c r="AS38" i="88"/>
  <c r="S38" i="88"/>
  <c r="AI42" i="88"/>
  <c r="AI19" i="88"/>
  <c r="AS116" i="88"/>
  <c r="S116" i="88"/>
  <c r="AI139" i="88"/>
  <c r="AI49" i="88"/>
  <c r="AI16" i="88"/>
  <c r="S55" i="88"/>
  <c r="AS55" i="88"/>
  <c r="AI43" i="88"/>
  <c r="AI143" i="88"/>
  <c r="AI33" i="88"/>
  <c r="S77" i="88"/>
  <c r="AS77" i="88"/>
  <c r="AI167" i="88"/>
  <c r="AI107" i="88"/>
  <c r="AI68" i="88"/>
  <c r="AI35" i="88"/>
  <c r="AI25" i="88"/>
  <c r="AI51" i="88"/>
  <c r="AI147" i="88"/>
  <c r="AI145" i="88"/>
  <c r="AI64" i="88"/>
  <c r="S98" i="88"/>
  <c r="S67" i="88"/>
  <c r="S31" i="88"/>
  <c r="S133" i="88"/>
  <c r="S82" i="88"/>
  <c r="S57" i="88"/>
  <c r="AS179" i="88"/>
  <c r="AS124" i="88"/>
  <c r="AS97" i="88"/>
  <c r="AS181" i="88"/>
  <c r="AS117" i="88"/>
  <c r="AS111" i="88"/>
  <c r="AS155" i="88"/>
  <c r="AS127" i="88"/>
  <c r="AS34" i="88"/>
  <c r="AS58" i="88"/>
  <c r="AS118" i="88"/>
  <c r="AS63" i="88"/>
  <c r="AS138" i="88"/>
  <c r="AS121" i="88"/>
  <c r="AS146" i="88"/>
  <c r="AS112" i="88"/>
  <c r="AS109" i="88"/>
  <c r="AS91" i="88"/>
  <c r="AI99" i="88"/>
  <c r="AS172" i="88"/>
  <c r="AS122" i="88"/>
  <c r="AS151" i="88"/>
  <c r="AS162" i="88"/>
  <c r="AS129" i="88"/>
  <c r="AS150" i="88"/>
  <c r="AS92" i="88"/>
  <c r="AS33" i="88"/>
  <c r="S163" i="88"/>
  <c r="S47" i="88"/>
  <c r="S115" i="88"/>
  <c r="S28" i="88"/>
  <c r="AS14" i="88"/>
  <c r="AI108" i="88"/>
  <c r="AS94" i="88"/>
  <c r="AI146" i="88"/>
  <c r="AS30" i="88"/>
  <c r="AI162" i="88"/>
  <c r="AI129" i="88"/>
  <c r="AI152" i="88"/>
  <c r="AI53" i="88"/>
  <c r="AI141" i="88"/>
  <c r="AS104" i="88"/>
  <c r="AS41" i="88"/>
  <c r="AI30" i="88"/>
  <c r="AI120" i="88"/>
  <c r="AI13" i="88"/>
  <c r="AI40" i="88"/>
  <c r="AI100" i="88"/>
  <c r="AI41" i="88"/>
  <c r="AI178" i="88"/>
  <c r="AI130" i="88"/>
  <c r="AI57" i="88" l="1"/>
  <c r="AS184" i="88"/>
  <c r="AI82" i="88"/>
  <c r="AI116" i="88"/>
  <c r="AI38" i="88"/>
  <c r="AI156" i="88"/>
  <c r="AI96" i="88"/>
  <c r="AI159" i="88"/>
  <c r="AI36" i="88"/>
  <c r="AI55" i="88"/>
  <c r="AI28" i="88"/>
  <c r="AI133" i="88"/>
  <c r="AI74" i="88"/>
  <c r="AI95" i="88"/>
  <c r="AI66" i="88"/>
  <c r="AI115" i="88"/>
  <c r="AI31" i="88"/>
  <c r="AI77" i="88"/>
  <c r="AI78" i="88"/>
  <c r="AI98" i="88"/>
  <c r="AI47" i="88"/>
  <c r="AI67" i="88"/>
  <c r="AI85" i="88"/>
  <c r="AI174" i="88"/>
  <c r="AI110" i="88"/>
  <c r="AI163" i="88"/>
  <c r="S184" i="88"/>
  <c r="T133" i="88" s="1"/>
  <c r="AI153" i="88"/>
  <c r="AI65" i="88"/>
  <c r="AI71" i="88"/>
  <c r="T38" i="88" l="1"/>
  <c r="T95" i="88"/>
  <c r="T67" i="88"/>
  <c r="T69" i="88"/>
  <c r="T60" i="88"/>
  <c r="T54" i="88"/>
  <c r="T136" i="88"/>
  <c r="T105" i="88"/>
  <c r="T45" i="88"/>
  <c r="T20" i="88"/>
  <c r="T122" i="88"/>
  <c r="T62" i="88"/>
  <c r="T164" i="88"/>
  <c r="T158" i="88"/>
  <c r="T21" i="88"/>
  <c r="T63" i="88"/>
  <c r="T75" i="88"/>
  <c r="T121" i="88"/>
  <c r="T48" i="88"/>
  <c r="T151" i="88"/>
  <c r="T128" i="88"/>
  <c r="T140" i="88"/>
  <c r="T44" i="88"/>
  <c r="T103" i="88"/>
  <c r="T42" i="88"/>
  <c r="T139" i="88"/>
  <c r="T33" i="88"/>
  <c r="T173" i="88"/>
  <c r="T108" i="88"/>
  <c r="T162" i="88"/>
  <c r="T178" i="88"/>
  <c r="T73" i="88"/>
  <c r="T15" i="88"/>
  <c r="T134" i="88"/>
  <c r="T177" i="88"/>
  <c r="T83" i="88"/>
  <c r="T92" i="88"/>
  <c r="T17" i="88"/>
  <c r="T80" i="88"/>
  <c r="T58" i="88"/>
  <c r="T52" i="88"/>
  <c r="T90" i="88"/>
  <c r="T89" i="88"/>
  <c r="T180" i="88"/>
  <c r="T114" i="88"/>
  <c r="T132" i="88"/>
  <c r="T168" i="88"/>
  <c r="T18" i="88"/>
  <c r="T24" i="88"/>
  <c r="T152" i="88"/>
  <c r="T27" i="88"/>
  <c r="T111" i="88"/>
  <c r="T155" i="88"/>
  <c r="T131" i="88"/>
  <c r="T137" i="88"/>
  <c r="T107" i="88"/>
  <c r="T25" i="88"/>
  <c r="T145" i="88"/>
  <c r="T104" i="88"/>
  <c r="T53" i="88"/>
  <c r="T13" i="88"/>
  <c r="T100" i="88"/>
  <c r="T29" i="88"/>
  <c r="T50" i="88"/>
  <c r="T12" i="88"/>
  <c r="T160" i="88"/>
  <c r="T120" i="88"/>
  <c r="T59" i="88"/>
  <c r="T175" i="88"/>
  <c r="T106" i="88"/>
  <c r="T181" i="88"/>
  <c r="T84" i="88"/>
  <c r="T88" i="88"/>
  <c r="T72" i="88"/>
  <c r="T22" i="88"/>
  <c r="T166" i="88"/>
  <c r="T125" i="88"/>
  <c r="T101" i="88"/>
  <c r="T32" i="88"/>
  <c r="T86" i="88"/>
  <c r="T161" i="88"/>
  <c r="T138" i="88"/>
  <c r="T171" i="88"/>
  <c r="T19" i="88"/>
  <c r="T49" i="88"/>
  <c r="T43" i="88"/>
  <c r="T35" i="88"/>
  <c r="T51" i="88"/>
  <c r="T64" i="88"/>
  <c r="T146" i="88"/>
  <c r="T129" i="88"/>
  <c r="T30" i="88"/>
  <c r="T123" i="88"/>
  <c r="T149" i="88"/>
  <c r="T87" i="88"/>
  <c r="T127" i="88"/>
  <c r="T37" i="88"/>
  <c r="T61" i="88"/>
  <c r="T176" i="88"/>
  <c r="T150" i="88"/>
  <c r="T102" i="88"/>
  <c r="T91" i="88"/>
  <c r="T148" i="88"/>
  <c r="T39" i="88"/>
  <c r="T135" i="88"/>
  <c r="T94" i="88"/>
  <c r="T56" i="88"/>
  <c r="T34" i="88"/>
  <c r="T97" i="88"/>
  <c r="T157" i="88"/>
  <c r="T126" i="88"/>
  <c r="T124" i="88"/>
  <c r="T144" i="88"/>
  <c r="T99" i="88"/>
  <c r="T76" i="88"/>
  <c r="T141" i="88"/>
  <c r="T40" i="88"/>
  <c r="T130" i="88"/>
  <c r="T93" i="88"/>
  <c r="T41" i="88"/>
  <c r="T81" i="88"/>
  <c r="T23" i="88"/>
  <c r="T147" i="88"/>
  <c r="T46" i="88"/>
  <c r="T169" i="88"/>
  <c r="T142" i="88"/>
  <c r="T26" i="88"/>
  <c r="T68" i="88"/>
  <c r="T179" i="88"/>
  <c r="T70" i="88"/>
  <c r="T112" i="88"/>
  <c r="T14" i="88"/>
  <c r="T79" i="88"/>
  <c r="T119" i="88"/>
  <c r="T165" i="88"/>
  <c r="T109" i="88"/>
  <c r="T16" i="88"/>
  <c r="T143" i="88"/>
  <c r="T118" i="88"/>
  <c r="T154" i="88"/>
  <c r="T172" i="88"/>
  <c r="T170" i="88"/>
  <c r="T117" i="88"/>
  <c r="T167" i="88"/>
  <c r="T113" i="88"/>
  <c r="T31" i="88"/>
  <c r="T66" i="88"/>
  <c r="T96" i="88"/>
  <c r="T82" i="88"/>
  <c r="T47" i="88"/>
  <c r="T28" i="88"/>
  <c r="T36" i="88"/>
  <c r="T156" i="88"/>
  <c r="T116" i="88"/>
  <c r="T55" i="88"/>
  <c r="T65" i="88"/>
  <c r="T163" i="88"/>
  <c r="T110" i="88"/>
  <c r="T85" i="88"/>
  <c r="T115" i="88"/>
  <c r="T57" i="88"/>
  <c r="T71" i="88"/>
  <c r="T153" i="88"/>
  <c r="T174" i="88"/>
  <c r="T98" i="88"/>
  <c r="T78" i="88"/>
  <c r="T77" i="88"/>
  <c r="AI184" i="88"/>
  <c r="T74" i="88"/>
  <c r="T159" i="88"/>
  <c r="AJ154" i="88" l="1"/>
  <c r="AJ60" i="88"/>
  <c r="AJ56" i="88"/>
  <c r="AJ44" i="88"/>
  <c r="AJ123" i="88"/>
  <c r="AJ69" i="88"/>
  <c r="AJ93" i="88"/>
  <c r="AJ20" i="88"/>
  <c r="AJ54" i="88"/>
  <c r="AJ137" i="88"/>
  <c r="AJ105" i="88"/>
  <c r="AJ113" i="88"/>
  <c r="AJ136" i="88"/>
  <c r="AJ104" i="88"/>
  <c r="AJ73" i="88"/>
  <c r="AJ76" i="88"/>
  <c r="AJ118" i="88"/>
  <c r="AJ81" i="88"/>
  <c r="AJ173" i="88"/>
  <c r="AJ59" i="88"/>
  <c r="AJ29" i="88"/>
  <c r="AJ24" i="88"/>
  <c r="AJ45" i="88"/>
  <c r="AJ62" i="88"/>
  <c r="AJ68" i="88"/>
  <c r="AJ160" i="88"/>
  <c r="AJ170" i="88"/>
  <c r="AJ149" i="88"/>
  <c r="AJ108" i="88"/>
  <c r="AJ41" i="88"/>
  <c r="AJ64" i="88"/>
  <c r="AJ70" i="88"/>
  <c r="AJ142" i="88"/>
  <c r="AJ91" i="88"/>
  <c r="AJ30" i="88"/>
  <c r="AJ43" i="88"/>
  <c r="AJ181" i="88"/>
  <c r="AJ155" i="88"/>
  <c r="AJ180" i="88"/>
  <c r="AJ165" i="88"/>
  <c r="AJ86" i="88"/>
  <c r="AJ175" i="88"/>
  <c r="AJ27" i="88"/>
  <c r="AJ90" i="88"/>
  <c r="AJ58" i="88"/>
  <c r="AJ37" i="88"/>
  <c r="AJ122" i="88"/>
  <c r="AJ152" i="88"/>
  <c r="AJ167" i="88"/>
  <c r="AJ117" i="88"/>
  <c r="AJ134" i="88"/>
  <c r="AJ127" i="88"/>
  <c r="AJ15" i="88"/>
  <c r="AJ146" i="88"/>
  <c r="AJ51" i="88"/>
  <c r="AJ119" i="88"/>
  <c r="AJ179" i="88"/>
  <c r="AJ169" i="88"/>
  <c r="AJ48" i="88"/>
  <c r="AJ144" i="88"/>
  <c r="AJ97" i="88"/>
  <c r="AJ102" i="88"/>
  <c r="AJ33" i="88"/>
  <c r="AJ129" i="88"/>
  <c r="AJ49" i="88"/>
  <c r="AJ125" i="88"/>
  <c r="AJ106" i="88"/>
  <c r="AJ111" i="88"/>
  <c r="AJ89" i="88"/>
  <c r="AJ17" i="88"/>
  <c r="AJ19" i="88"/>
  <c r="AJ166" i="88"/>
  <c r="AJ164" i="88"/>
  <c r="AJ92" i="88"/>
  <c r="AJ132" i="88"/>
  <c r="AJ147" i="88"/>
  <c r="AJ141" i="88"/>
  <c r="AJ178" i="88"/>
  <c r="AJ161" i="88"/>
  <c r="AJ53" i="88"/>
  <c r="AJ139" i="88"/>
  <c r="AJ12" i="88"/>
  <c r="AJ135" i="88"/>
  <c r="AJ143" i="88"/>
  <c r="AJ79" i="88"/>
  <c r="AJ72" i="88"/>
  <c r="AJ46" i="88"/>
  <c r="AJ120" i="88"/>
  <c r="AJ99" i="88"/>
  <c r="AJ124" i="88"/>
  <c r="AJ34" i="88"/>
  <c r="AJ80" i="88"/>
  <c r="AJ145" i="88"/>
  <c r="AJ172" i="88"/>
  <c r="AJ50" i="88"/>
  <c r="AJ26" i="88"/>
  <c r="AJ14" i="88"/>
  <c r="AJ148" i="88"/>
  <c r="AJ140" i="88"/>
  <c r="AJ114" i="88"/>
  <c r="AJ151" i="88"/>
  <c r="AJ23" i="88"/>
  <c r="AJ128" i="88"/>
  <c r="AJ16" i="88"/>
  <c r="AJ112" i="88"/>
  <c r="AJ162" i="88"/>
  <c r="AJ130" i="88"/>
  <c r="AJ126" i="88"/>
  <c r="AJ94" i="88"/>
  <c r="AJ176" i="88"/>
  <c r="AJ63" i="88"/>
  <c r="AJ171" i="88"/>
  <c r="AJ32" i="88"/>
  <c r="AJ22" i="88"/>
  <c r="AJ35" i="88"/>
  <c r="AJ100" i="88"/>
  <c r="AJ25" i="88"/>
  <c r="AJ18" i="88"/>
  <c r="AJ168" i="88"/>
  <c r="AJ52" i="88"/>
  <c r="AJ83" i="88"/>
  <c r="AJ158" i="88"/>
  <c r="AJ84" i="88"/>
  <c r="AJ75" i="88"/>
  <c r="AJ177" i="88"/>
  <c r="AJ87" i="88"/>
  <c r="AJ150" i="88"/>
  <c r="AJ121" i="88"/>
  <c r="AJ109" i="88"/>
  <c r="AJ103" i="88"/>
  <c r="AJ40" i="88"/>
  <c r="AJ157" i="88"/>
  <c r="AJ39" i="88"/>
  <c r="AJ61" i="88"/>
  <c r="AJ21" i="88"/>
  <c r="AJ138" i="88"/>
  <c r="AJ101" i="88"/>
  <c r="AJ88" i="88"/>
  <c r="AJ42" i="88"/>
  <c r="AJ13" i="88"/>
  <c r="AJ107" i="88"/>
  <c r="AJ131" i="88"/>
  <c r="AJ133" i="88"/>
  <c r="T186" i="88"/>
  <c r="AJ65" i="88"/>
  <c r="AJ163" i="88"/>
  <c r="AJ55" i="88"/>
  <c r="AJ96" i="88"/>
  <c r="AJ77" i="88"/>
  <c r="AJ95" i="88"/>
  <c r="AJ156" i="88"/>
  <c r="AJ74" i="88"/>
  <c r="AJ28" i="88"/>
  <c r="AJ71" i="88"/>
  <c r="AJ31" i="88"/>
  <c r="AJ110" i="88"/>
  <c r="AJ57" i="88"/>
  <c r="AJ153" i="88"/>
  <c r="AJ47" i="88"/>
  <c r="AJ159" i="88"/>
  <c r="AJ174" i="88"/>
  <c r="AJ115" i="88"/>
  <c r="AJ36" i="88"/>
  <c r="AJ85" i="88"/>
  <c r="AJ78" i="88"/>
  <c r="AJ116" i="88"/>
  <c r="AJ82" i="88"/>
  <c r="AJ66" i="88"/>
  <c r="AJ38" i="88"/>
  <c r="AJ67" i="88"/>
  <c r="AJ98" i="88"/>
  <c r="BI22" i="88" l="1"/>
  <c r="BG22" i="88"/>
  <c r="BG143" i="88"/>
  <c r="BI143" i="88"/>
  <c r="BI146" i="88"/>
  <c r="BG146" i="88"/>
  <c r="BG43" i="88"/>
  <c r="BI43" i="88"/>
  <c r="BI69" i="88"/>
  <c r="BG69" i="88"/>
  <c r="BI82" i="88"/>
  <c r="BG82" i="88"/>
  <c r="BI174" i="88"/>
  <c r="BG174" i="88"/>
  <c r="BG31" i="88"/>
  <c r="BI31" i="88"/>
  <c r="BG77" i="88"/>
  <c r="BI77" i="88"/>
  <c r="BG133" i="88"/>
  <c r="BI133" i="88"/>
  <c r="BG101" i="88"/>
  <c r="BI101" i="88"/>
  <c r="BI40" i="88"/>
  <c r="BG40" i="88"/>
  <c r="BG177" i="88"/>
  <c r="BI177" i="88"/>
  <c r="BG168" i="88"/>
  <c r="BI168" i="88"/>
  <c r="BG32" i="88"/>
  <c r="BI32" i="88"/>
  <c r="BI130" i="88"/>
  <c r="BG130" i="88"/>
  <c r="BG151" i="88"/>
  <c r="BI151" i="88"/>
  <c r="BG50" i="88"/>
  <c r="BI50" i="88"/>
  <c r="BG99" i="88"/>
  <c r="BI99" i="88"/>
  <c r="BI135" i="88"/>
  <c r="BG135" i="88"/>
  <c r="BG141" i="88"/>
  <c r="BI141" i="88"/>
  <c r="BG19" i="88"/>
  <c r="BI19" i="88"/>
  <c r="BI49" i="88"/>
  <c r="BG49" i="88"/>
  <c r="BI48" i="88"/>
  <c r="BG48" i="88"/>
  <c r="BG15" i="88"/>
  <c r="BI15" i="88"/>
  <c r="BG122" i="88"/>
  <c r="BI122" i="88"/>
  <c r="BG86" i="88"/>
  <c r="BI86" i="88"/>
  <c r="BI30" i="88"/>
  <c r="BG30" i="88"/>
  <c r="BI108" i="88"/>
  <c r="BG108" i="88"/>
  <c r="BG45" i="88"/>
  <c r="BI45" i="88"/>
  <c r="BG118" i="88"/>
  <c r="BI118" i="88"/>
  <c r="BG105" i="88"/>
  <c r="BI105" i="88"/>
  <c r="BI123" i="88"/>
  <c r="BG123" i="88"/>
  <c r="BG66" i="88"/>
  <c r="BI66" i="88"/>
  <c r="BG88" i="88"/>
  <c r="BI88" i="88"/>
  <c r="BI126" i="88"/>
  <c r="BG126" i="88"/>
  <c r="BG178" i="88"/>
  <c r="BI178" i="88"/>
  <c r="BI152" i="88"/>
  <c r="BG152" i="88"/>
  <c r="BI113" i="88"/>
  <c r="BG113" i="88"/>
  <c r="BI116" i="88"/>
  <c r="BG116" i="88"/>
  <c r="BI159" i="88"/>
  <c r="BG159" i="88"/>
  <c r="BI71" i="88"/>
  <c r="BG71" i="88"/>
  <c r="BI96" i="88"/>
  <c r="BG96" i="88"/>
  <c r="BI131" i="88"/>
  <c r="BG131" i="88"/>
  <c r="BG138" i="88"/>
  <c r="BI138" i="88"/>
  <c r="BI103" i="88"/>
  <c r="BG103" i="88"/>
  <c r="BI75" i="88"/>
  <c r="BG75" i="88"/>
  <c r="BI18" i="88"/>
  <c r="BG18" i="88"/>
  <c r="BG171" i="88"/>
  <c r="BI171" i="88"/>
  <c r="BG162" i="88"/>
  <c r="BI162" i="88"/>
  <c r="BI114" i="88"/>
  <c r="BG114" i="88"/>
  <c r="BI172" i="88"/>
  <c r="BG172" i="88"/>
  <c r="BI120" i="88"/>
  <c r="BG120" i="88"/>
  <c r="BI12" i="88"/>
  <c r="BG12" i="88"/>
  <c r="BI147" i="88"/>
  <c r="BG147" i="88"/>
  <c r="BI17" i="88"/>
  <c r="BG17" i="88"/>
  <c r="BI129" i="88"/>
  <c r="BG129" i="88"/>
  <c r="BI169" i="88"/>
  <c r="BG169" i="88"/>
  <c r="BI127" i="88"/>
  <c r="BG127" i="88"/>
  <c r="BG37" i="88"/>
  <c r="BI37" i="88"/>
  <c r="BG165" i="88"/>
  <c r="BI165" i="88"/>
  <c r="BI91" i="88"/>
  <c r="BG91" i="88"/>
  <c r="BI149" i="88"/>
  <c r="BG149" i="88"/>
  <c r="BI24" i="88"/>
  <c r="BG24" i="88"/>
  <c r="BI76" i="88"/>
  <c r="BG76" i="88"/>
  <c r="BG137" i="88"/>
  <c r="BI137" i="88"/>
  <c r="BI44" i="88"/>
  <c r="BG44" i="88"/>
  <c r="BG115" i="88"/>
  <c r="BI115" i="88"/>
  <c r="BI157" i="88"/>
  <c r="BG157" i="88"/>
  <c r="BI23" i="88"/>
  <c r="BG23" i="88"/>
  <c r="BG125" i="88"/>
  <c r="BI125" i="88"/>
  <c r="BI41" i="88"/>
  <c r="BG41" i="88"/>
  <c r="BI98" i="88"/>
  <c r="BG98" i="88"/>
  <c r="BG78" i="88"/>
  <c r="BI78" i="88"/>
  <c r="BG47" i="88"/>
  <c r="BI47" i="88"/>
  <c r="BI28" i="88"/>
  <c r="BG28" i="88"/>
  <c r="BI55" i="88"/>
  <c r="BG55" i="88"/>
  <c r="BG107" i="88"/>
  <c r="BI107" i="88"/>
  <c r="BG21" i="88"/>
  <c r="BI21" i="88"/>
  <c r="BG109" i="88"/>
  <c r="BI109" i="88"/>
  <c r="BG84" i="88"/>
  <c r="BI84" i="88"/>
  <c r="BG25" i="88"/>
  <c r="BI25" i="88"/>
  <c r="BI63" i="88"/>
  <c r="BG63" i="88"/>
  <c r="BG112" i="88"/>
  <c r="BI112" i="88"/>
  <c r="BI140" i="88"/>
  <c r="BG140" i="88"/>
  <c r="BG145" i="88"/>
  <c r="BI145" i="88"/>
  <c r="BG46" i="88"/>
  <c r="BI46" i="88"/>
  <c r="BG139" i="88"/>
  <c r="BI139" i="88"/>
  <c r="BI132" i="88"/>
  <c r="BG132" i="88"/>
  <c r="BG89" i="88"/>
  <c r="BI89" i="88"/>
  <c r="BI33" i="88"/>
  <c r="BG33" i="88"/>
  <c r="BI179" i="88"/>
  <c r="BG179" i="88"/>
  <c r="BI134" i="88"/>
  <c r="BG134" i="88"/>
  <c r="BG58" i="88"/>
  <c r="BI58" i="88"/>
  <c r="BI180" i="88"/>
  <c r="BG180" i="88"/>
  <c r="BI142" i="88"/>
  <c r="BG142" i="88"/>
  <c r="BG170" i="88"/>
  <c r="BI170" i="88"/>
  <c r="BG29" i="88"/>
  <c r="BI29" i="88"/>
  <c r="BI73" i="88"/>
  <c r="BG73" i="88"/>
  <c r="BG54" i="88"/>
  <c r="BI54" i="88"/>
  <c r="BG56" i="88"/>
  <c r="BI56" i="88"/>
  <c r="BI110" i="88"/>
  <c r="BG110" i="88"/>
  <c r="BG87" i="88"/>
  <c r="BI87" i="88"/>
  <c r="BI26" i="88"/>
  <c r="BG26" i="88"/>
  <c r="BG166" i="88"/>
  <c r="BI166" i="88"/>
  <c r="BI175" i="88"/>
  <c r="BG175" i="88"/>
  <c r="BG81" i="88"/>
  <c r="BI81" i="88"/>
  <c r="BI85" i="88"/>
  <c r="BG85" i="88"/>
  <c r="BG153" i="88"/>
  <c r="BI153" i="88"/>
  <c r="BI74" i="88"/>
  <c r="BG74" i="88"/>
  <c r="BG163" i="88"/>
  <c r="BI163" i="88"/>
  <c r="BI13" i="88"/>
  <c r="BG13" i="88"/>
  <c r="BI61" i="88"/>
  <c r="BG61" i="88"/>
  <c r="BG121" i="88"/>
  <c r="BI121" i="88"/>
  <c r="BI158" i="88"/>
  <c r="BG158" i="88"/>
  <c r="BG100" i="88"/>
  <c r="BI100" i="88"/>
  <c r="BG176" i="88"/>
  <c r="BI176" i="88"/>
  <c r="BI16" i="88"/>
  <c r="BG16" i="88"/>
  <c r="BG148" i="88"/>
  <c r="BI148" i="88"/>
  <c r="BI80" i="88"/>
  <c r="BG80" i="88"/>
  <c r="BI72" i="88"/>
  <c r="BG72" i="88"/>
  <c r="BG53" i="88"/>
  <c r="BI53" i="88"/>
  <c r="BG92" i="88"/>
  <c r="BI92" i="88"/>
  <c r="BI111" i="88"/>
  <c r="BG111" i="88"/>
  <c r="BG102" i="88"/>
  <c r="BI102" i="88"/>
  <c r="BG119" i="88"/>
  <c r="BI119" i="88"/>
  <c r="BI117" i="88"/>
  <c r="BG117" i="88"/>
  <c r="BG90" i="88"/>
  <c r="BI90" i="88"/>
  <c r="BG155" i="88"/>
  <c r="BI155" i="88"/>
  <c r="BI70" i="88"/>
  <c r="BG70" i="88"/>
  <c r="BG160" i="88"/>
  <c r="BI160" i="88"/>
  <c r="BI59" i="88"/>
  <c r="BG59" i="88"/>
  <c r="BG104" i="88"/>
  <c r="BI104" i="88"/>
  <c r="BG20" i="88"/>
  <c r="BI20" i="88"/>
  <c r="BG60" i="88"/>
  <c r="BI60" i="88"/>
  <c r="BG95" i="88"/>
  <c r="BI95" i="88"/>
  <c r="BI52" i="88"/>
  <c r="BG52" i="88"/>
  <c r="BG124" i="88"/>
  <c r="BI124" i="88"/>
  <c r="BG144" i="88"/>
  <c r="BI144" i="88"/>
  <c r="BI62" i="88"/>
  <c r="BG62" i="88"/>
  <c r="BG67" i="88"/>
  <c r="BI67" i="88"/>
  <c r="BG38" i="88"/>
  <c r="BI38" i="88"/>
  <c r="BI36" i="88"/>
  <c r="BG36" i="88"/>
  <c r="BG57" i="88"/>
  <c r="BI57" i="88"/>
  <c r="BG156" i="88"/>
  <c r="BI156" i="88"/>
  <c r="BI65" i="88"/>
  <c r="BG65" i="88"/>
  <c r="BG42" i="88"/>
  <c r="BI42" i="88"/>
  <c r="BG39" i="88"/>
  <c r="BI39" i="88"/>
  <c r="BG150" i="88"/>
  <c r="BI150" i="88"/>
  <c r="BG83" i="88"/>
  <c r="BI83" i="88"/>
  <c r="BI35" i="88"/>
  <c r="BG35" i="88"/>
  <c r="BI94" i="88"/>
  <c r="BG94" i="88"/>
  <c r="BG128" i="88"/>
  <c r="BI128" i="88"/>
  <c r="AJ186" i="88"/>
  <c r="BI34" i="88"/>
  <c r="BG34" i="88"/>
  <c r="BG79" i="88"/>
  <c r="BI79" i="88"/>
  <c r="BI161" i="88"/>
  <c r="BG161" i="88"/>
  <c r="BI164" i="88"/>
  <c r="BG164" i="88"/>
  <c r="BG106" i="88"/>
  <c r="BI106" i="88"/>
  <c r="BI97" i="88"/>
  <c r="BG97" i="88"/>
  <c r="BI51" i="88"/>
  <c r="BG51" i="88"/>
  <c r="BI167" i="88"/>
  <c r="BG167" i="88"/>
  <c r="BG27" i="88"/>
  <c r="BI27" i="88"/>
  <c r="BG181" i="88"/>
  <c r="BI181" i="88"/>
  <c r="BG64" i="88"/>
  <c r="BI64" i="88"/>
  <c r="BI68" i="88"/>
  <c r="BG68" i="88"/>
  <c r="BG173" i="88"/>
  <c r="BI173" i="88"/>
  <c r="BG136" i="88"/>
  <c r="BI136" i="88"/>
  <c r="BG93" i="88"/>
  <c r="BI93" i="88"/>
  <c r="BG154" i="88"/>
  <c r="BI154" i="88"/>
  <c r="BG14" i="88"/>
  <c r="AM186" i="88"/>
  <c r="BG184" i="88" l="1"/>
  <c r="BI14" i="88"/>
  <c r="BI184" i="88" s="1"/>
</calcChain>
</file>

<file path=xl/sharedStrings.xml><?xml version="1.0" encoding="utf-8"?>
<sst xmlns="http://schemas.openxmlformats.org/spreadsheetml/2006/main" count="3697" uniqueCount="464">
  <si>
    <t>PURPOSE</t>
  </si>
  <si>
    <t>%</t>
  </si>
  <si>
    <t>TOTALS</t>
  </si>
  <si>
    <t>`</t>
  </si>
  <si>
    <t>INCOME</t>
  </si>
  <si>
    <t>PROOF</t>
  </si>
  <si>
    <t>Difference</t>
  </si>
  <si>
    <t>HOW INVESTED</t>
  </si>
  <si>
    <t>PRINCIPAL</t>
  </si>
  <si>
    <t>DATE OF CREATION</t>
  </si>
  <si>
    <t>INCOME PERCENT</t>
  </si>
  <si>
    <t>PRINCIPAL
FEES</t>
  </si>
  <si>
    <t>Common Investment</t>
  </si>
  <si>
    <t>PRINCIPAL SALE GAIN/LOSS</t>
  </si>
  <si>
    <t>INCOME EXPENDED</t>
  </si>
  <si>
    <t>FUND NAME</t>
  </si>
  <si>
    <t>PRINCIPAL NEW FUNDS</t>
  </si>
  <si>
    <t>PRINCIPAL REALIZED GAINS</t>
  </si>
  <si>
    <t>PRINCIPAL WITHDRAWALS</t>
  </si>
  <si>
    <t xml:space="preserve">INCOME FEES </t>
  </si>
  <si>
    <t>REPORT OF THE TRUSTEES OF TRUST FUNDS</t>
  </si>
  <si>
    <t>PRINCIPAL ENDING FAIR VALUE</t>
  </si>
  <si>
    <t>INCOME ENDING BALANCE</t>
  </si>
  <si>
    <t>INCOME BEGIN BALANCE</t>
  </si>
  <si>
    <t>PRINCIPAL AMORTS</t>
  </si>
  <si>
    <t>YEAR TO DATE</t>
  </si>
  <si>
    <t>CAPITAL GAINS DIVIDENDS</t>
  </si>
  <si>
    <t>FundName</t>
  </si>
  <si>
    <t>Purpose</t>
  </si>
  <si>
    <t>HowInvested</t>
  </si>
  <si>
    <t>DateOfCreation</t>
  </si>
  <si>
    <t>PrincipalBOY Balance</t>
  </si>
  <si>
    <t>PrincipalNewFunds</t>
  </si>
  <si>
    <t>PrincipalUnrealizedGains</t>
  </si>
  <si>
    <t>PrincipalRealizedGains</t>
  </si>
  <si>
    <t>PrincipalCashCapGains</t>
  </si>
  <si>
    <t>PrincipalWithdrawals</t>
  </si>
  <si>
    <t>IncomeBOYBalance</t>
  </si>
  <si>
    <t>IncomeIncome</t>
  </si>
  <si>
    <t>IncomeExpended</t>
  </si>
  <si>
    <t>Account #</t>
  </si>
  <si>
    <t>ID</t>
  </si>
  <si>
    <t>TOTAL WITHDRAWALS AND FEES</t>
  </si>
  <si>
    <t>TOTAL FEES AND EXPENDED</t>
  </si>
  <si>
    <t>TOTAL FEES &amp; WITHDRAWALS</t>
  </si>
  <si>
    <t>TOTAL COST PRINCIPAL &amp; INCOME</t>
  </si>
  <si>
    <t>TOTAL MARKET VALUE PRINCIPAL &amp; INCOME</t>
  </si>
  <si>
    <t>PRINCIPAL BEGIN COST BALANCE</t>
  </si>
  <si>
    <t>PRINCIPAL ENDING
COST BALANCE</t>
  </si>
  <si>
    <t>PRINCIPAL BEGIN + NEW FUNDS-WITHDRAWALS</t>
  </si>
  <si>
    <t>PRINCIPAL  BEGIN FAIR VALUE</t>
  </si>
  <si>
    <t>UNREALIZED GAIN/LOSS ANNUAL ONLY</t>
  </si>
  <si>
    <t>BOY PRINICPAL BALANCE</t>
  </si>
  <si>
    <t>BOY INCOME BALANCE</t>
  </si>
  <si>
    <t>DIFFERENCE</t>
  </si>
  <si>
    <t>Current Month</t>
  </si>
  <si>
    <t>YTD-Current</t>
  </si>
  <si>
    <t>Actual Prior YTD</t>
  </si>
  <si>
    <t>Library</t>
  </si>
  <si>
    <t>Beautification</t>
  </si>
  <si>
    <t>Purpose List</t>
  </si>
  <si>
    <t>Capital Reserve (Other)</t>
  </si>
  <si>
    <t>Cemetery Perpetual Care</t>
  </si>
  <si>
    <t>Cemetery Trust (Other)</t>
  </si>
  <si>
    <t>Educational Purposes</t>
  </si>
  <si>
    <t>Environmental Purposes</t>
  </si>
  <si>
    <t>Fire Department Donation</t>
  </si>
  <si>
    <t>Flower/Flag</t>
  </si>
  <si>
    <t>Literary</t>
  </si>
  <si>
    <t>Ministerial</t>
  </si>
  <si>
    <t>Parks/Recreation</t>
  </si>
  <si>
    <t>Police Department Donation</t>
  </si>
  <si>
    <t>Poor/Indigent</t>
  </si>
  <si>
    <t>Public Monument</t>
  </si>
  <si>
    <t>Religious Purposes</t>
  </si>
  <si>
    <t>Scholarship</t>
  </si>
  <si>
    <t>Celebration/Old Home Day</t>
  </si>
  <si>
    <t>Discretionary/Benefit of the Town</t>
  </si>
  <si>
    <t>FOR YEAR ENDING: 06/30/2019</t>
  </si>
  <si>
    <t>TOWN OF MERRIMACK, NH</t>
  </si>
  <si>
    <t>MERR5414</t>
  </si>
  <si>
    <t>PERPETUAL CARE</t>
  </si>
  <si>
    <t>CEMETERY (MULTIPLE)</t>
  </si>
  <si>
    <t>GRIFFIN FENCE FUND</t>
  </si>
  <si>
    <t>GRIFFIN LOT CARE</t>
  </si>
  <si>
    <t>EVERETT PARKER</t>
  </si>
  <si>
    <t>GEORGE CARROLL</t>
  </si>
  <si>
    <t>SHEDD HARRIS FUND</t>
  </si>
  <si>
    <t>PATTERSON, LAWRENCE &amp; CARROLL</t>
  </si>
  <si>
    <t>LAWRENCE</t>
  </si>
  <si>
    <t>GAGE &amp; LAWRENCE</t>
  </si>
  <si>
    <t>STOCKLEY</t>
  </si>
  <si>
    <t>MASTRICOLA FUND</t>
  </si>
  <si>
    <t>WATKINS FOREST INCOME</t>
  </si>
  <si>
    <t>WATKINS TOWN FOREST</t>
  </si>
  <si>
    <t>Divs/Int Principal Account</t>
  </si>
  <si>
    <t>Divs/Int Income Account</t>
  </si>
  <si>
    <t>Total General Divs/Int</t>
  </si>
  <si>
    <t>Gains/Loss Income Account</t>
  </si>
  <si>
    <t>Amort Adj Principal Account</t>
  </si>
  <si>
    <t>Amort Adj Income Account</t>
  </si>
  <si>
    <t>Gain/Loss Income Account</t>
  </si>
  <si>
    <t>FTW/ADR Principal Account</t>
  </si>
  <si>
    <t>FTW/ADR Income Account</t>
  </si>
  <si>
    <t>INCOME BALANCE PRINCIPAL ACCOUNT</t>
  </si>
  <si>
    <t>INCOME BALANCE INCOME ACCOUNT</t>
  </si>
  <si>
    <t>BEGIN BALANCE PRINCIPAL ACCOUNT</t>
  </si>
  <si>
    <t>BEGIN BALANCE INCOME ACCOUNT</t>
  </si>
  <si>
    <t>COPY PRIOR</t>
  </si>
  <si>
    <t>MONTH'S END</t>
  </si>
  <si>
    <t>INCOME BAL</t>
  </si>
  <si>
    <t xml:space="preserve">FOR INCOME </t>
  </si>
  <si>
    <t>ACCOUNT</t>
  </si>
  <si>
    <t>FOR INCOME</t>
  </si>
  <si>
    <t>Add total</t>
  </si>
  <si>
    <t>statement to formula</t>
  </si>
  <si>
    <t>Walkins Town Forest (not reflected on CTC books)</t>
  </si>
  <si>
    <t>CTC ACCOUNTING BALANCE</t>
  </si>
  <si>
    <t>Subtract total</t>
  </si>
  <si>
    <t>TRUST FUND (ACCOUNT NUMBERS XXX5414 and XXX5349)</t>
  </si>
  <si>
    <t>statement from formula</t>
  </si>
  <si>
    <t>Principal A/C -Princ</t>
  </si>
  <si>
    <t>Principal A/C - Inc</t>
  </si>
  <si>
    <t>Income A/C -Princ</t>
  </si>
  <si>
    <t>Income A/C -Inc</t>
  </si>
  <si>
    <t>Tax Cost</t>
  </si>
  <si>
    <t>Total CTC Tax Cost</t>
  </si>
  <si>
    <t xml:space="preserve"> </t>
  </si>
  <si>
    <t>Transfers from</t>
  </si>
  <si>
    <t xml:space="preserve">Transfers from </t>
  </si>
  <si>
    <t>MV</t>
  </si>
  <si>
    <t>U/R G/L</t>
  </si>
  <si>
    <t>PRINCIPAL UNREALIZED GAINS</t>
  </si>
  <si>
    <t>Total Cost</t>
  </si>
  <si>
    <t>ENTER TOTALS FROM CTC STMTS &gt;&gt;&gt;&gt;&gt;&gt;</t>
  </si>
  <si>
    <t>Economic Development</t>
  </si>
  <si>
    <t>Hospital/Health Donation</t>
  </si>
  <si>
    <t>Maintenance and Repair</t>
  </si>
  <si>
    <t>Police/Fire</t>
  </si>
  <si>
    <t>WATKINS PRIZE SPELLING</t>
  </si>
  <si>
    <t xml:space="preserve">WATKINS PRIZE SPEAKING </t>
  </si>
  <si>
    <t xml:space="preserve">WATKINS </t>
  </si>
  <si>
    <t>AS OF: 06/30/2019</t>
  </si>
  <si>
    <t>1/1/1854</t>
  </si>
  <si>
    <t>Single Investment (Non-Common Fund)</t>
  </si>
  <si>
    <t>AS OF: 07/31/2019</t>
  </si>
  <si>
    <t>FOR YEAR ENDING: 06/30/2020</t>
  </si>
  <si>
    <t>AS OF: 08/31/2019</t>
  </si>
  <si>
    <t>CN - CEMETERY (MULTIPLE)</t>
  </si>
  <si>
    <t>CN - EVERETT PARKER</t>
  </si>
  <si>
    <t>CN - GAGE &amp; LAWRENCE</t>
  </si>
  <si>
    <t>CN - GEORGE CARROLL</t>
  </si>
  <si>
    <t>CN - GRIFFIN FENCE FUND</t>
  </si>
  <si>
    <t>CN - GRIFFIN LOT CARE</t>
  </si>
  <si>
    <t>CN - LAWRENCE</t>
  </si>
  <si>
    <t>CN - MASTRICOLA FUND</t>
  </si>
  <si>
    <t>CN - PATTERSON, LAWRENCE &amp; CARROLL</t>
  </si>
  <si>
    <t>CN - PERPETUAL CARE</t>
  </si>
  <si>
    <t>CN - SHEDD HARRIS FUND</t>
  </si>
  <si>
    <t>CN - STOCKLEY</t>
  </si>
  <si>
    <t xml:space="preserve">CN - WATKINS </t>
  </si>
  <si>
    <t>CN - WATKINS FOREST INCOME</t>
  </si>
  <si>
    <t xml:space="preserve">CN - WATKINS PRIZE SPEAKING </t>
  </si>
  <si>
    <t>CN - WATKINS PRIZE SPELLING</t>
  </si>
  <si>
    <t>CN - WATKINS TOWN FOREST</t>
  </si>
  <si>
    <t>AS OF: 09/30/2019</t>
  </si>
  <si>
    <t>AS OF: 10/31/2019</t>
  </si>
  <si>
    <t>AS OF: 11/30/2019</t>
  </si>
  <si>
    <t>AS OF: 12/31/2019</t>
  </si>
  <si>
    <t>AS OF: 01/31/2020</t>
  </si>
  <si>
    <t>AS OF: 02/29/2020</t>
  </si>
  <si>
    <t>AS OF: 03/31/2020</t>
  </si>
  <si>
    <t>AS OF: 04/30/2020</t>
  </si>
  <si>
    <t>AS OF: 05/31/2020</t>
  </si>
  <si>
    <t>CTC Data Input from Statement</t>
  </si>
  <si>
    <t>Total Market Value</t>
  </si>
  <si>
    <t>U/R G/L Income</t>
  </si>
  <si>
    <t>Interest</t>
  </si>
  <si>
    <t>Dividends</t>
  </si>
  <si>
    <t>Capital Gains Dividends</t>
  </si>
  <si>
    <t>Cash Receipts</t>
  </si>
  <si>
    <t>See individual fund</t>
  </si>
  <si>
    <t>Cambridge Trust Fees - Prin</t>
  </si>
  <si>
    <t>Cambridge Trust Fees - Inc</t>
  </si>
  <si>
    <t>Disbursements - FTW/ADR</t>
  </si>
  <si>
    <t>Disbursements - W/D or Expended</t>
  </si>
  <si>
    <t>Sales and Maturities - G/L</t>
  </si>
  <si>
    <t>Payments</t>
  </si>
  <si>
    <t>Amortization</t>
  </si>
  <si>
    <t>Income A/C</t>
  </si>
  <si>
    <t>Princ A/C</t>
  </si>
  <si>
    <t>Transfer to/from A/Cs</t>
  </si>
  <si>
    <t>AS OF: 06/30/2020</t>
  </si>
  <si>
    <t>Income EOY Balance</t>
  </si>
  <si>
    <t>Income Proof</t>
  </si>
  <si>
    <t>MERR5414PERP</t>
  </si>
  <si>
    <t>1/1/1898</t>
  </si>
  <si>
    <t>TOTAL MARKET VALUE</t>
  </si>
  <si>
    <t>INCOME END BALANCE</t>
  </si>
  <si>
    <t>PRINCIPAL END FAIR VALUE</t>
  </si>
  <si>
    <t>FTW/ADR</t>
  </si>
  <si>
    <t>Amort Adj</t>
  </si>
  <si>
    <t>Outside CTC  Income</t>
  </si>
  <si>
    <t>Specific Income</t>
  </si>
  <si>
    <t>General Divs/Int</t>
  </si>
  <si>
    <t>TOTAL INCOME EXPENDED</t>
  </si>
  <si>
    <t>FLOWER FUND EXPENDED</t>
  </si>
  <si>
    <t>LAST REST EXPENDED</t>
  </si>
  <si>
    <t>Realized Income Gain/Loss</t>
  </si>
  <si>
    <t>Specific Fund Income</t>
  </si>
  <si>
    <t>PRINCIPAL AMORTIZATION</t>
  </si>
  <si>
    <t>PRINCIPAL UNREALIZED GAINS ANNUAL ONLY</t>
  </si>
  <si>
    <t># OF SITES</t>
  </si>
  <si>
    <t>TOWN OF MERRIMACK TRUST FUNDS - PERPETUAL CARE CEMETERY FUNDS</t>
  </si>
  <si>
    <t>MERR5414MULTI</t>
  </si>
  <si>
    <t>TOWN OF MERRIMACK TRUST FUNDS - CEMETERY (MULTIPLE) FUNDS</t>
  </si>
  <si>
    <t>EOY Princ</t>
  </si>
  <si>
    <t>EOY Income</t>
  </si>
  <si>
    <t>Total MV</t>
  </si>
  <si>
    <t>Income A/C U/R G/L</t>
  </si>
  <si>
    <t xml:space="preserve">CN - CEMETERY PERPETUAL - ANDERSON, JOHN </t>
  </si>
  <si>
    <t xml:space="preserve">CN - CEMETERY PERPETUAL - ANDERSON, MARY </t>
  </si>
  <si>
    <t xml:space="preserve">CN - CEMETERY PERPETUAL - ARTHUR, JENNIE </t>
  </si>
  <si>
    <t xml:space="preserve">CN - CEMETERY PERPETUAL - AUSTIN, PERLEY </t>
  </si>
  <si>
    <t xml:space="preserve">CN - CEMETERY PERPETUAL - ABBOTT, JUNE </t>
  </si>
  <si>
    <t xml:space="preserve">CN - CEMETERY PERPETUAL - BARNES, RUBEN </t>
  </si>
  <si>
    <t xml:space="preserve">CN - CEMETERY PERPETUAL - BEANE, HERMAN </t>
  </si>
  <si>
    <t>CN - CEMETERY PERPETUAL - BETTERLY, WILLIAM</t>
  </si>
  <si>
    <t xml:space="preserve">CN - CEMETERY PERPETUAL - BOWERS, HORATIO D. </t>
  </si>
  <si>
    <t>CN - CEMETERY PERPETUAL - BEAN - BABKIRK</t>
  </si>
  <si>
    <t xml:space="preserve">CN - CEMETERY PERPETUAL - BLOOD, PERCY </t>
  </si>
  <si>
    <t xml:space="preserve">CN - CEMETERY PERPETUAL - BALL, LAURA </t>
  </si>
  <si>
    <t xml:space="preserve">CN - CEMETERY PERPETUAL - BARRON, EVA </t>
  </si>
  <si>
    <t xml:space="preserve">CN - CEMETERY PERPETUAL - BOYNTON, DAVID </t>
  </si>
  <si>
    <t xml:space="preserve">CN - CEMETERY PERPETUAL - BUCKLEY, CHARLES K. </t>
  </si>
  <si>
    <t xml:space="preserve">CN - CEMETERY PERPETUAL - CHAMBERLAIN, ELVORD C. </t>
  </si>
  <si>
    <t xml:space="preserve">CN - CEMETERY PERPETUAL - CHEEVER, ALVIN </t>
  </si>
  <si>
    <t>CN - CEMETERY PERPETUAL - CORNING - MERRILL</t>
  </si>
  <si>
    <t>CN - CEMETERY PERPETUAL - CHILD - DAVIS</t>
  </si>
  <si>
    <t xml:space="preserve">CN - CEMETERY PERPETUAL - COLBY, DANIAL </t>
  </si>
  <si>
    <t xml:space="preserve">CN - CEMETERY PERPETUAL - COLLIER, JAMES </t>
  </si>
  <si>
    <t>CN - CEMETERY PERPETUAL - COPP - CARROLL</t>
  </si>
  <si>
    <t xml:space="preserve">CN - CEMETERY PERPETUAL - COOK, EDWARD &amp; IDA </t>
  </si>
  <si>
    <t xml:space="preserve">CN - CEMETERY PERPETUAL - CARROLL, GEORGE </t>
  </si>
  <si>
    <t xml:space="preserve">CN - CEMETERY PERPETUAL - DICKEY, MATTHEW </t>
  </si>
  <si>
    <t xml:space="preserve">CN - CEMETERY PERPETUAL - DODGE, HAZEN </t>
  </si>
  <si>
    <t xml:space="preserve">CN - CEMETERY PERPETUAL - ELLIOTT, JAMES B. </t>
  </si>
  <si>
    <t xml:space="preserve">CN - CEMETERY PERPETUAL - BUZZELL EMMONS, MARY </t>
  </si>
  <si>
    <t xml:space="preserve">CN - CEMETERY PERPETUAL - FIELDS, HERMAN &amp; SUSAN </t>
  </si>
  <si>
    <t xml:space="preserve">CN - CEMETERY PERPETUAL - FISHER, LEVI </t>
  </si>
  <si>
    <t xml:space="preserve">CN - CEMETERY PERPETUAL - FOSDICK, JAMES </t>
  </si>
  <si>
    <t xml:space="preserve">CN - CEMETERY PERPETUAL - FRASER, JOHN </t>
  </si>
  <si>
    <t>CN - CEMETERY PERPETUAL - FOSTER - PEASLEE</t>
  </si>
  <si>
    <t xml:space="preserve">CN - CEMETERY PERPETUAL - FULLER, B.  - MERRILL, W. </t>
  </si>
  <si>
    <t xml:space="preserve">CN - CEMETERY PERPETUAL - FOSTER, J. FRANK </t>
  </si>
  <si>
    <t xml:space="preserve">CN - CEMETERY PERPETUAL - FOSKETT, MATTIE </t>
  </si>
  <si>
    <t xml:space="preserve">CN - CEMETERY PERPETUAL - FOOTE, HAROLD </t>
  </si>
  <si>
    <t xml:space="preserve">CN - CEMETERY PERPETUAL - GILSON, AUGUSTUS </t>
  </si>
  <si>
    <t xml:space="preserve">CN - CEMETERY PERPETUAL - GORDON, ARTRUR </t>
  </si>
  <si>
    <t xml:space="preserve">CN - CEMETERY PERPETUAL - GREEN, HARRISON </t>
  </si>
  <si>
    <t xml:space="preserve">CN - CEMETERY PERPETUAL - FIELDS, CHARLES H. </t>
  </si>
  <si>
    <t xml:space="preserve">CN - CEMETERY PERPETUAL - GRAY, ALICE </t>
  </si>
  <si>
    <t xml:space="preserve">CN - CEMETERY PERPETUAL - GILMORE, GEORGE &amp; BART </t>
  </si>
  <si>
    <t>CN - CEMETERY PERPETUAL - GRAVES - HALL</t>
  </si>
  <si>
    <t xml:space="preserve">CN - CEMETERY PERPETUAL - GOODALE, WALT </t>
  </si>
  <si>
    <t xml:space="preserve">CN - CEMETERY PERPETUAL - HALE, JAMES </t>
  </si>
  <si>
    <t xml:space="preserve">CN - CEMETERY PERPETUAL - HENDERSON, DAVID &amp; H. </t>
  </si>
  <si>
    <t xml:space="preserve">CN - CEMETERY PERPETUAL - HERRICK, HENRY C. </t>
  </si>
  <si>
    <t xml:space="preserve">CN - CEMETERY PERPETUAL - HERRICK, HARRISON </t>
  </si>
  <si>
    <t xml:space="preserve">CN - CEMETERY PERPETUAL - HARMON, B. GRAVES </t>
  </si>
  <si>
    <t xml:space="preserve">CN - CEMETERY PERPETUAL - HILL, C. L. </t>
  </si>
  <si>
    <t xml:space="preserve">CN - CEMETERY PERPETUAL - HODGEMAN, ISAAC </t>
  </si>
  <si>
    <t xml:space="preserve">CN - CEMETERY PERPETUAL - HODGEMAN, JAMES F. </t>
  </si>
  <si>
    <t xml:space="preserve">CN - CEMETERY PERPETUAL - HENDERSON, NORRIS </t>
  </si>
  <si>
    <t xml:space="preserve">CN - CEMETERY PERPETUAL - HENDERSON, DAVID </t>
  </si>
  <si>
    <t xml:space="preserve">CN - CEMETERY PERPETUAL - HENSON, GEORGE </t>
  </si>
  <si>
    <t xml:space="preserve">CN - CEMETERY PERPETUAL - HOITT, DR. GEORGE </t>
  </si>
  <si>
    <t xml:space="preserve">CN - CEMETERY PERPETUAL - HUTCHINSON, DANA &amp; F. </t>
  </si>
  <si>
    <t xml:space="preserve">CN - CEMETERY PERPETUAL - HUNTER, LESLIE </t>
  </si>
  <si>
    <t xml:space="preserve">CN - CEMETERY PERPETUAL - HASELTINE, JOHN &amp; M. </t>
  </si>
  <si>
    <t xml:space="preserve">CN - CEMETERY PERPETUAL - INGALLS, DANIEL F. </t>
  </si>
  <si>
    <t xml:space="preserve">CN - CEMETERY PERPETUAL - JONES, LOUISE E. </t>
  </si>
  <si>
    <t xml:space="preserve">CN - CEMETERY PERPETUAL - JONES, G.  - DOE, R. </t>
  </si>
  <si>
    <t>CN - CEMETERY PERPETUAL - JONES - HOFFMAN</t>
  </si>
  <si>
    <t xml:space="preserve">CN - CEMETERY PERPETUAL - JONES, DAVID </t>
  </si>
  <si>
    <t xml:space="preserve">CN - CEMETERY PERPETUAL - JOHNSON, ERNEST </t>
  </si>
  <si>
    <t xml:space="preserve">CN - CEMETERY PERPETUAL - KEEP, JOHN M. </t>
  </si>
  <si>
    <t xml:space="preserve">CN - CEMETERY PERPETUAL - KIMBALL, GEORGE W. </t>
  </si>
  <si>
    <t xml:space="preserve">CN - CEMETERY PERPETUAL - KITTRIDGE, CATHERINE </t>
  </si>
  <si>
    <t xml:space="preserve">CN - CEMETERY PERPETUAL - KITTRIDGE, ERIC &amp; L. </t>
  </si>
  <si>
    <t xml:space="preserve">CN - CEMETERY PERPETUAL - KITTRIDGE, WALTER </t>
  </si>
  <si>
    <t xml:space="preserve">CN - CEMETERY PERPETUAL - LONGA, LEON </t>
  </si>
  <si>
    <t xml:space="preserve">CN - CEMETERY PERPETUAL - MEARS, ROBERT </t>
  </si>
  <si>
    <t xml:space="preserve">CN - CEMETERY PERPETUAL - MELVIN, W.B.  - BARKER, W.A. </t>
  </si>
  <si>
    <t xml:space="preserve">CN - CEMETERY PERPETUAL - MERRIAM, JOHN &amp; DR. ED. </t>
  </si>
  <si>
    <t xml:space="preserve">CN - CEMETERY PERPETUAL - MITCHELL, W. D. </t>
  </si>
  <si>
    <t xml:space="preserve">CN - CEMETERY PERPETUAL - MOULTON, GEORGE </t>
  </si>
  <si>
    <t xml:space="preserve">CN - CEMETERY PERPETUAL - MEARS, HANNAH </t>
  </si>
  <si>
    <t xml:space="preserve">CN - CEMETERY PERPETUAL - MARTINKUS, FRANK </t>
  </si>
  <si>
    <t>CN - CEMETERY PERPETUAL - McGAW LOT</t>
  </si>
  <si>
    <t xml:space="preserve">CN - CEMETERY PERPETUAL - McINTIRE, J0HN L. </t>
  </si>
  <si>
    <t xml:space="preserve">CN - CEMETERY PERPETUAL - McGILVRAY, SIMON &amp; JOHN </t>
  </si>
  <si>
    <t xml:space="preserve">CN - CEMETERY PERPETUAL - NESMITH, CHARLES S. </t>
  </si>
  <si>
    <t xml:space="preserve">CN - CEMETERY PERPETUAL - NICHOLS, LUCY </t>
  </si>
  <si>
    <t xml:space="preserve">CN - CEMETERY PERPETUAL - NICHOLS, M.  - NESMITH, S. </t>
  </si>
  <si>
    <t xml:space="preserve">CN - CEMETERY PERPETUAL - PARKER, FRANK  - INGALLS, J. </t>
  </si>
  <si>
    <t xml:space="preserve">CN - CEMETERY PERPETUAL - PARKER, LAURA </t>
  </si>
  <si>
    <t xml:space="preserve">CN - CEMETERY PERPETUAL - PARKHURST, GEORGE B. </t>
  </si>
  <si>
    <t xml:space="preserve">CN - CEMETERY PERPETUAL - PATTERSON, ALMA &amp; BETTY </t>
  </si>
  <si>
    <t xml:space="preserve">CN - CEMETERY PERPETUAL - PILLSBURY, WARREN </t>
  </si>
  <si>
    <t xml:space="preserve">CN - CEMETERY PERPETUAL - HEIRS, THOMAS PARKER </t>
  </si>
  <si>
    <t xml:space="preserve">CN - CEMETERY PERPETUAL - PLATTS, ANSON </t>
  </si>
  <si>
    <t xml:space="preserve">CN - CEMETERY PERPETUAL - READ, LEWIS </t>
  </si>
  <si>
    <t xml:space="preserve">CN - CEMETERY PERPETUAL - READ, LURHER </t>
  </si>
  <si>
    <t xml:space="preserve">CN - CEMETERY PERPETUAL - READ, ALBERT </t>
  </si>
  <si>
    <t xml:space="preserve">CN - CEMETERY PERPETUAL - ROBERTS, CHARLES </t>
  </si>
  <si>
    <t xml:space="preserve">CN - CEMETERY PERPETUAL - RICHARDS, ARTHUR &amp; MARY </t>
  </si>
  <si>
    <t xml:space="preserve">CN - CEMETERY PERPETUAL - RICHARDSON, HENRY &amp; F. </t>
  </si>
  <si>
    <t xml:space="preserve">CN - CEMETERY PERPETUAL - SEAVERNS, FRANKLIN T. </t>
  </si>
  <si>
    <t xml:space="preserve">CN - CEMETERY PERPETUAL - SHEDD, ISAAC COMBS </t>
  </si>
  <si>
    <t xml:space="preserve">CN - CEMETERY PERPETUAL - SMITH, DANIEL </t>
  </si>
  <si>
    <t xml:space="preserve">CN - CEMETERY PERPETUAL - SHEDD, ELIZABETH BOYSON </t>
  </si>
  <si>
    <t>CN - CEMETERY PERPETUAL - SOUHEGAN LODGE, IOOF</t>
  </si>
  <si>
    <t xml:space="preserve">CN - CEMETERY PERPETUAL - STOWELL, JOHN &amp; HERMAN </t>
  </si>
  <si>
    <t xml:space="preserve">CN - CEMETERY PERPETUAL - SANDERSON, L. E. </t>
  </si>
  <si>
    <t xml:space="preserve">CN - CEMETERY PERPETUAL - UPHAM, MABEL </t>
  </si>
  <si>
    <t xml:space="preserve">CN - CEMETERY PERPETUAL - WALLACE, M.  - BARNES, D. </t>
  </si>
  <si>
    <t xml:space="preserve">CN - CEMETERY PERPETUAL - WALCH, JAMES </t>
  </si>
  <si>
    <t xml:space="preserve">CN - CEMETERY PERPETUAL - WALKER, LEONARD </t>
  </si>
  <si>
    <t xml:space="preserve">CN - CEMETERY PERPETUAL - WEST, GEORGE </t>
  </si>
  <si>
    <t xml:space="preserve">CN - CEMETERY PERPETUAL - WHEELER, ELLEN </t>
  </si>
  <si>
    <t xml:space="preserve">CN - CEMETERY PERPETUAL - WILKINS, JAMES </t>
  </si>
  <si>
    <t xml:space="preserve">CN - CEMETERY PERPETUAL - WILKINS, A. McCAULY </t>
  </si>
  <si>
    <t xml:space="preserve">CN - CEMETERY PERPETUAL - WILSON, HENRY </t>
  </si>
  <si>
    <t xml:space="preserve">CN - CEMETERY PERPETUAL - WOOD, ELIZABETH </t>
  </si>
  <si>
    <t xml:space="preserve">CN - CEMETERY PERPETUAL - WATKINS, THOMAS </t>
  </si>
  <si>
    <t xml:space="preserve">CN - CEMETERY PERPETUAL - WATKINS, CHAS. &amp; ISABELL </t>
  </si>
  <si>
    <t xml:space="preserve">CN - CEMETERY PERPETUAL - WATKINS, ELIZA </t>
  </si>
  <si>
    <t xml:space="preserve">CN - CEMETERY PERPETUAL - WATKINS, WILL &amp; MARGARET </t>
  </si>
  <si>
    <t xml:space="preserve">CN - CEMETERY PERPETUAL - WARRINER, WESTON &amp; THEO </t>
  </si>
  <si>
    <t>CN - CEMETERY PERPETUAL - MARY WELCH</t>
  </si>
  <si>
    <t xml:space="preserve">CN - CEMETERY PERPETUAL - YOUNG, CHARLES F. </t>
  </si>
  <si>
    <t>CN - CEMETERY PERPETUAL - THORNTON, JAMES  POST GAR</t>
  </si>
  <si>
    <t xml:space="preserve">CN - CEMETERY PERPETUAL - WATKINS, HARRY </t>
  </si>
  <si>
    <t xml:space="preserve">CN - CEMETERY PERPETUAL - WATKINS, GEORGE &amp; ELIZA </t>
  </si>
  <si>
    <t>CN - CEMETERY PERPETUAL - BARNES, BETSY</t>
  </si>
  <si>
    <t xml:space="preserve">CN - CEMETERY PERPETUAL - CLARK, TERESA </t>
  </si>
  <si>
    <t xml:space="preserve">CN - CEMETERY PERPETUAL - FIELDS, HERMAN &amp; SARAH </t>
  </si>
  <si>
    <t xml:space="preserve">CN - CEMETERY PERPETUAL - FOLLANSBEE, S. C. </t>
  </si>
  <si>
    <t xml:space="preserve">CN - CEMETERY PERPETUAL - FOLLANSBEE, WASHINGTON </t>
  </si>
  <si>
    <t xml:space="preserve">CN - CEMETERY PERPETUAL - GREEN, MARTIN </t>
  </si>
  <si>
    <t xml:space="preserve">CN - CEMETERY PERPETUAL - GRIFFIN, GEORGE &amp; SARAH </t>
  </si>
  <si>
    <t xml:space="preserve">CN - CEMETERY PERPETUAL - GORDON, MARY </t>
  </si>
  <si>
    <t xml:space="preserve">CN - CEMETERY PERPETUAL - GOULD, HORACE </t>
  </si>
  <si>
    <t>CN - CEMETERY PERPETUAL - FREEMAN - HILL</t>
  </si>
  <si>
    <t xml:space="preserve">CN - CEMETERY PERPETUAL - HOOD, J. R. </t>
  </si>
  <si>
    <t xml:space="preserve">CN - CEMETERY PERPETUAL - JENKINS, ALBERT </t>
  </si>
  <si>
    <t xml:space="preserve">CN - CEMETERY PERPETUAL - KING, ANN </t>
  </si>
  <si>
    <t xml:space="preserve">CN - CEMETERY PERPETUAL - LOUGEE, CHARLES </t>
  </si>
  <si>
    <t>CN - CEMETERY PERPETUAL - McCLURE LOT</t>
  </si>
  <si>
    <t xml:space="preserve">CN - CEMETERY PERPETUAL - PATTERSON, ALICE &amp; BETSY </t>
  </si>
  <si>
    <t xml:space="preserve">CN - CEMETERY PERPETUAL - SPALDING, D. &amp; JOHN L. </t>
  </si>
  <si>
    <t xml:space="preserve">CN - CEMETERY PERPETUAL - TRUELL, MOSES </t>
  </si>
  <si>
    <t xml:space="preserve">CN - CEMETERY PERPETUAL - WOOD, JEREMIAH </t>
  </si>
  <si>
    <t xml:space="preserve">CN - CEMETERY PERPETUAL - MOORE, M. L. </t>
  </si>
  <si>
    <t xml:space="preserve">CN - CEMETERY PERPETUAL - ATKINS, IRENE </t>
  </si>
  <si>
    <t xml:space="preserve">CN - CEMETERY PERPETUAL - PROCTER, NORMAN P. </t>
  </si>
  <si>
    <t xml:space="preserve">CN - CEMETERY PERPETUAL - FORD, JR., FRED H. </t>
  </si>
  <si>
    <t xml:space="preserve">CN - CEMETERY PERPETUAL - TUTTLE, ED. </t>
  </si>
  <si>
    <t xml:space="preserve">CN - CEMETERY PERPETUAL - PIKE, A. </t>
  </si>
  <si>
    <t xml:space="preserve">CN - CEMETERY PERPETUAL - WARREN, C. </t>
  </si>
  <si>
    <t xml:space="preserve">CN - CEMETERY PERPETUAL - TUTTLE, E. </t>
  </si>
  <si>
    <t xml:space="preserve">CN - CEMETERY PERPETUAL - WRIGHT, GEORGE </t>
  </si>
  <si>
    <t xml:space="preserve">CN - CEMETERY PERPETUAL - STYLES, JOHN &amp; JOSEPHINE </t>
  </si>
  <si>
    <t xml:space="preserve">CN - CEMETERY PERPETUAL - LINDSEY, JAMES M. </t>
  </si>
  <si>
    <t xml:space="preserve">CN - CEMETERY PERPETUAL - NELSEN, MARTIN </t>
  </si>
  <si>
    <t xml:space="preserve">CN - CEMETERY PERPETUAL - JORDAN, ARLINE </t>
  </si>
  <si>
    <t xml:space="preserve">CN - CEMETERY PERPETUAL - LINSCOTT, HARLAN &amp; BESSIE </t>
  </si>
  <si>
    <t xml:space="preserve">CN - CEMETERY PERPETUAL - KENT, G. HAROLD &amp; CLAIRE </t>
  </si>
  <si>
    <t>CN - CEMETERY PERPETUAL - WILBER &amp; LUELLA ANDERSON</t>
  </si>
  <si>
    <t xml:space="preserve">CN - CEMETERY PERPETUAL - COLTON, IDA F. </t>
  </si>
  <si>
    <t xml:space="preserve">CN - CEMETERY PERPETUAL - CAMERON, CHARLOTTE </t>
  </si>
  <si>
    <t xml:space="preserve">CN - CEMETERY PERPETUAL - FERGUSON, JAMES W. </t>
  </si>
  <si>
    <t xml:space="preserve">CN - CEMETERY PERPETUAL - WELLS, WILLIAM </t>
  </si>
  <si>
    <t xml:space="preserve">CN - CEMETERY PERPETUAL - RICHARDSON, HARVEY &amp; F. </t>
  </si>
  <si>
    <t xml:space="preserve">CN - CEMETERY PERPETUAL - SHEDD, ISAAC COOMBS </t>
  </si>
  <si>
    <t xml:space="preserve">CN - CEMETERY MULTI - ATWOOD, WM. &amp; BERTHA </t>
  </si>
  <si>
    <t xml:space="preserve">CN - CEMETERY MULTI - BILLS, FRANK &amp; MABEL </t>
  </si>
  <si>
    <t xml:space="preserve">CN - CEMETERY MULTI - BLOOD, MONTROSE &amp; MARTHA </t>
  </si>
  <si>
    <t xml:space="preserve">CN - CEMETERY MULTI - BUTTERFIELD, EDWIN B. </t>
  </si>
  <si>
    <t xml:space="preserve">CN - CEMETERY MULTI - BEARD, CLEVELAND </t>
  </si>
  <si>
    <t xml:space="preserve">CN - CEMETERY MULTI - BABKIRK, JAMES &amp; ROSE </t>
  </si>
  <si>
    <t xml:space="preserve">CN - CEMETERY MULTI - BEARD, RALPH </t>
  </si>
  <si>
    <t xml:space="preserve">CN - CEMETERY MULTI - BIGWOOD, GEORGE &amp; ETHEL </t>
  </si>
  <si>
    <t>CN - CEMETERY MULTI - BEARD - CLARK</t>
  </si>
  <si>
    <t xml:space="preserve">CN - CEMETERY MULTI - BISHOP, WILLIAM &amp; DELIA </t>
  </si>
  <si>
    <t xml:space="preserve">CN - CEMETERY MULTI - BROWNE, CHARLES </t>
  </si>
  <si>
    <t xml:space="preserve">CN - CEMETERY MULTI - BROAD, GARNET &amp; RITA </t>
  </si>
  <si>
    <t>CN - CEMETERY MULTI - BORROUGHS, GAY</t>
  </si>
  <si>
    <t xml:space="preserve">CN - CEMETERY MULTI - CENTER, LEON </t>
  </si>
  <si>
    <t xml:space="preserve">CN - CEMETERY MULTI - COGGER, HENRY B. </t>
  </si>
  <si>
    <t>CN - CEMETERY MULTI - CARMAN, CLARENCE &amp; A.</t>
  </si>
  <si>
    <t xml:space="preserve">CN - CEMETERY MULTI - CHASE, LEROY &amp; MYREL </t>
  </si>
  <si>
    <t xml:space="preserve">CN - CEMETERY MULTI - COLDWELL, LUCY </t>
  </si>
  <si>
    <t xml:space="preserve">CN - CEMETERY MULTI - DUPEL, FRED </t>
  </si>
  <si>
    <t xml:space="preserve">CN - CEMETERY MULTI - DICHAUD, ELIZABETH </t>
  </si>
  <si>
    <t xml:space="preserve">CN - CEMETERY MULTI - EDWARDS, LEON &amp; ALICE </t>
  </si>
  <si>
    <t xml:space="preserve">CN - CEMETERY MULTI - FOSTER, EDNA </t>
  </si>
  <si>
    <t xml:space="preserve">CN - CEMETERY MULTI - FOLLANSBEE, CHARLES </t>
  </si>
  <si>
    <t xml:space="preserve">CN - CEMETERY MULTI - FISK, CHARLES &amp; LILLIAN </t>
  </si>
  <si>
    <t xml:space="preserve">CN - CEMETERY MULTI - GOODALE, CHARLES &amp; IDA </t>
  </si>
  <si>
    <t xml:space="preserve">CN - CEMETERY MULTI - GREELEY, DR. GUY &amp; MARY </t>
  </si>
  <si>
    <t xml:space="preserve">CN - CEMETERY MULTI - GETZ, ELIZABETH </t>
  </si>
  <si>
    <t xml:space="preserve">CN - CEMETERY MULTI - GROUX, HENRY </t>
  </si>
  <si>
    <t>CN - CEMETERY MULTI - HALL - NOYES</t>
  </si>
  <si>
    <t xml:space="preserve">CN - CEMETERY MULTI - HADLEY, FRANCES </t>
  </si>
  <si>
    <t xml:space="preserve">CN - CEMETERY MULTI - HOLMAN, CARL </t>
  </si>
  <si>
    <t xml:space="preserve">CN - CEMETERY MULTI - JOHNSON, G. ALBERT </t>
  </si>
  <si>
    <t xml:space="preserve">CN - CEMETERY MULTI - JUNKINS, CLARE &amp; DORIS </t>
  </si>
  <si>
    <t xml:space="preserve">CN - CEMETERY MULTI - KAHOWSKI, EDITH </t>
  </si>
  <si>
    <t xml:space="preserve">CN - CEMETERY MULTI - LANGTINE, MABEL </t>
  </si>
  <si>
    <t xml:space="preserve">CN - CEMETERY MULTI - LAWRENCE, ANNA W. </t>
  </si>
  <si>
    <t xml:space="preserve">CN - CEMETERY MULTI - MAKER, CLAUDE &amp; FLORA </t>
  </si>
  <si>
    <t xml:space="preserve">CN - CEMETERY MULTI - METCALF, JESSE &amp; HAZEL </t>
  </si>
  <si>
    <t xml:space="preserve">CN - CEMETERY MULTI - MONAST, LILLIAN </t>
  </si>
  <si>
    <t xml:space="preserve">CN - CEMETERY MULTI - McCRILLIS, WILLIAM </t>
  </si>
  <si>
    <t xml:space="preserve">CN - CEMETERY MULTI - NUTE, SR. &amp; JR., CHARLES </t>
  </si>
  <si>
    <t xml:space="preserve">CN - CEMETERY MULTI - PEON, DEL </t>
  </si>
  <si>
    <t xml:space="preserve">CN - CEMETERY MULTI - PARKER, NATHAN </t>
  </si>
  <si>
    <t xml:space="preserve">CN - CEMETERY MULTI - PENROD, HOBART </t>
  </si>
  <si>
    <t xml:space="preserve">CN - CEMETERY MULTI - PERRY, GERALD </t>
  </si>
  <si>
    <t xml:space="preserve">CN - CEMETERY MULTI - PYNENBERG, JOSEPH &amp; HELEN </t>
  </si>
  <si>
    <t xml:space="preserve">CN - CEMETERY MULTI - READ, JOHN </t>
  </si>
  <si>
    <t xml:space="preserve">CN - CEMETERY MULTI - RICHARDS, HOWARD &amp; DOT. </t>
  </si>
  <si>
    <t xml:space="preserve">CN - CEMETERY MULTI - READ, ALTON </t>
  </si>
  <si>
    <t xml:space="preserve">CN - CEMETERY MULTI - TRUELL, HARLAND </t>
  </si>
  <si>
    <t xml:space="preserve">CN - CEMETERY MULTI - TUCKER, RITA </t>
  </si>
  <si>
    <t xml:space="preserve">CN - CEMETERY MULTI - THIBODEAU, ARTHUR &amp; HENRY </t>
  </si>
  <si>
    <t xml:space="preserve">CN - CEMETERY MULTI - TIMMONS, ART. &amp; ELIZABETH </t>
  </si>
  <si>
    <t xml:space="preserve">CN - CEMETERY MULTI - TRENCH, MARJORY &amp; DAVID </t>
  </si>
  <si>
    <t xml:space="preserve">CN - CEMETERY MULTI - WELCH, ELDRIDGE &amp; MABEL </t>
  </si>
  <si>
    <t xml:space="preserve">CN - CEMETERY MULTI - WILKINS, TERESA </t>
  </si>
  <si>
    <t xml:space="preserve">CN - CEMETERY MULTI - WATKINS, GUY &amp; MARGARET </t>
  </si>
  <si>
    <t xml:space="preserve">CN - CEMETERY MULTI - WOODMAN, CLARENCE </t>
  </si>
  <si>
    <t xml:space="preserve">CN - CEMETERY MULTI - WOODWARD, EDWIN </t>
  </si>
  <si>
    <t xml:space="preserve">CN - CEMETERY MULTI - BOISVERT, WILFRED </t>
  </si>
  <si>
    <t xml:space="preserve">CN - CEMETERY MULTI - BATISAVITCH, IRENE </t>
  </si>
  <si>
    <t xml:space="preserve">CN - CEMETERY MULTI - BULLLARD, ROBERT &amp; EDITH </t>
  </si>
  <si>
    <t xml:space="preserve">CN - CEMETERY MULTI - CLINGHAN, C. MAE </t>
  </si>
  <si>
    <t xml:space="preserve">CN - CEMETERY MULTI - DUROCHER, ARTHUR </t>
  </si>
  <si>
    <t xml:space="preserve">CN - CEMETERY MULTI - FREDETT, PETER &amp; VIOLET </t>
  </si>
  <si>
    <t xml:space="preserve">CN - CEMETERY MULTI - GREGOIRE, LEDA A. </t>
  </si>
  <si>
    <t xml:space="preserve">CN - CEMETERY MULTI - KABLICK, JOHN &amp; EVELYN </t>
  </si>
  <si>
    <t xml:space="preserve">CN - CEMETERY MULTI - OLCHER, HELEN </t>
  </si>
  <si>
    <t xml:space="preserve">CN - CEMETERY MULTI - SULLIVAN, PATRICK J. </t>
  </si>
  <si>
    <t xml:space="preserve">CN - CEMETERY MULTI - VILLIARD, CONRAD </t>
  </si>
  <si>
    <t xml:space="preserve">CN - CEMETERY MULTI - WILSON, MINOR &amp; CHRISTIE </t>
  </si>
  <si>
    <t xml:space="preserve">CN - CEMETERY MULTI - PROCTER, GEORGE </t>
  </si>
  <si>
    <t xml:space="preserve">CN - CEMETERY MULTI - SPALDING, SAMUEL &amp; IRA </t>
  </si>
  <si>
    <t>CN - CEMETERY PERPETUAL - BLOOD, JAMES</t>
  </si>
  <si>
    <t>CN - CEMETERY PERPETUAL - LAWRENCE, CHAS. &amp; HENRY</t>
  </si>
  <si>
    <t>CN - CEMETERY PERPETUAL - MacDONALD, ELLIS B.</t>
  </si>
  <si>
    <t>CN - CEMETERY MULTI - HILL, DORIS &amp; WARREN</t>
  </si>
  <si>
    <t>CN - CEMETERY MULTI - RUSSELL, CHARLES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</si>
</sst>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%"/>
    <numFmt numFmtId="165" formatCode="0.00000000%"/>
    <numFmt numFmtId="166" formatCode="_(* #,##0.000000000_);_(* \(#,##0.000000000\);_(* &quot;-&quot;?????????_);_(@_)"/>
  </numFmts>
  <fonts count="66">
    <font>
      <sz val="12"/>
      <name val="Arial MT"/>
    </font>
    <font>
      <sz val="12"/>
      <name val="Arial MT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8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i/>
      <sz val="10"/>
      <color rgb="FF00B050"/>
      <name val="Arial"/>
      <family val="2"/>
    </font>
    <font>
      <b/>
      <i/>
      <sz val="10"/>
      <name val="Arial"/>
      <family val="2"/>
    </font>
    <font>
      <sz val="9"/>
      <color rgb="FF00B050"/>
      <name val="Arial"/>
      <family val="2"/>
    </font>
    <font>
      <u/>
      <sz val="10"/>
      <color rgb="FFFF0000"/>
      <name val="Arial"/>
      <family val="2"/>
    </font>
    <font>
      <u/>
      <sz val="10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00B050"/>
      <name val="Arial"/>
      <family val="2"/>
    </font>
    <font>
      <sz val="10"/>
      <name val="Arial MT"/>
    </font>
    <font>
      <u/>
      <sz val="10"/>
      <color rgb="FF00B050"/>
      <name val="Arial"/>
      <family val="2"/>
    </font>
    <font>
      <u/>
      <sz val="12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8"/>
      <color rgb="FF7030A0"/>
      <name val="Arial"/>
      <family val="2"/>
    </font>
    <font>
      <sz val="12"/>
      <color rgb="FF7030A0"/>
      <name val="Arial"/>
      <family val="2"/>
    </font>
    <font>
      <sz val="9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Calibri"/>
      <family val="2"/>
    </font>
    <font>
      <b/>
      <u/>
      <sz val="10"/>
      <color rgb="FF0070C0"/>
      <name val="Arial"/>
      <family val="2"/>
    </font>
    <font>
      <b/>
      <u val="doubleAccounting"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2"/>
      <color theme="3" tint="-0.249977111117893"/>
      <name val="Arial"/>
      <family val="2"/>
    </font>
    <font>
      <sz val="12"/>
      <color theme="4" tint="-0.249977111117893"/>
      <name val="Arial"/>
      <family val="2"/>
    </font>
    <font>
      <b/>
      <sz val="11"/>
      <color rgb="FF7030A0"/>
      <name val="Calibri"/>
      <family val="2"/>
      <scheme val="minor"/>
    </font>
    <font>
      <b/>
      <sz val="10"/>
      <color rgb="FF002060"/>
      <name val="Arial"/>
      <family val="2"/>
    </font>
    <font>
      <i/>
      <sz val="10"/>
      <color rgb="FF7030A0"/>
      <name val="Arial"/>
      <family val="2"/>
    </font>
    <font>
      <i/>
      <sz val="10"/>
      <color theme="4" tint="-0.249977111117893"/>
      <name val="Arial"/>
      <family val="2"/>
    </font>
    <font>
      <i/>
      <sz val="10"/>
      <color rgb="FF00B050"/>
      <name val="Arial"/>
      <family val="2"/>
    </font>
    <font>
      <b/>
      <u/>
      <sz val="10"/>
      <color rgb="FF7030A0"/>
      <name val="Arial"/>
      <family val="2"/>
    </font>
    <font>
      <u val="singleAccounting"/>
      <sz val="10"/>
      <color rgb="FF7030A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sz val="12"/>
      <color rgb="FF002060"/>
      <name val="Arial"/>
      <family val="2"/>
    </font>
    <font>
      <sz val="11"/>
      <color rgb="FF002060"/>
      <name val="Calibri"/>
      <family val="2"/>
      <scheme val="minor"/>
    </font>
    <font>
      <u val="singleAccounting"/>
      <sz val="10"/>
      <color rgb="FF002060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8"/>
      <color rgb="FF00B050"/>
      <name val="Arial"/>
      <family val="2"/>
    </font>
    <font>
      <sz val="11"/>
      <name val="Calibri"/>
      <family val="2"/>
      <scheme val="minor"/>
    </font>
    <font>
      <b/>
      <u val="singleAccounting"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2" borderId="0"/>
    <xf numFmtId="43" fontId="1" fillId="0" borderId="0" applyFont="0" applyFill="0" applyBorder="0" applyAlignment="0" applyProtection="0"/>
    <xf numFmtId="0" fontId="1" fillId="2" borderId="0"/>
    <xf numFmtId="0" fontId="4" fillId="0" borderId="0"/>
    <xf numFmtId="43" fontId="4" fillId="0" borderId="0" applyFont="0" applyFill="0" applyBorder="0" applyAlignment="0" applyProtection="0"/>
    <xf numFmtId="0" fontId="3" fillId="0" borderId="0"/>
  </cellStyleXfs>
  <cellXfs count="672">
    <xf numFmtId="0" fontId="0" fillId="2" borderId="0" xfId="0" applyNumberFormat="1"/>
    <xf numFmtId="0" fontId="0" fillId="0" borderId="0" xfId="0" applyNumberFormat="1" applyFill="1"/>
    <xf numFmtId="0" fontId="3" fillId="0" borderId="0" xfId="3" applyFont="1" applyFill="1"/>
    <xf numFmtId="39" fontId="3" fillId="0" borderId="0" xfId="3" applyNumberFormat="1" applyFont="1" applyFill="1"/>
    <xf numFmtId="39" fontId="10" fillId="0" borderId="0" xfId="3" applyNumberFormat="1" applyFont="1" applyFill="1"/>
    <xf numFmtId="39" fontId="10" fillId="0" borderId="0" xfId="3" applyNumberFormat="1" applyFont="1" applyFill="1" applyAlignment="1">
      <alignment horizontal="center"/>
    </xf>
    <xf numFmtId="0" fontId="6" fillId="0" borderId="0" xfId="3" applyFont="1" applyFill="1" applyAlignment="1">
      <alignment horizontal="center" vertical="center" wrapText="1"/>
    </xf>
    <xf numFmtId="39" fontId="3" fillId="0" borderId="6" xfId="3" applyNumberFormat="1" applyFont="1" applyFill="1" applyBorder="1"/>
    <xf numFmtId="39" fontId="10" fillId="0" borderId="0" xfId="3" applyNumberFormat="1" applyFont="1" applyFill="1" applyBorder="1"/>
    <xf numFmtId="39" fontId="3" fillId="0" borderId="6" xfId="3" applyNumberFormat="1" applyFont="1" applyFill="1" applyBorder="1" applyProtection="1"/>
    <xf numFmtId="0" fontId="6" fillId="0" borderId="0" xfId="3" applyFont="1" applyFill="1"/>
    <xf numFmtId="4" fontId="3" fillId="0" borderId="0" xfId="3" applyNumberFormat="1" applyFont="1" applyFill="1"/>
    <xf numFmtId="0" fontId="13" fillId="0" borderId="0" xfId="3" applyFont="1" applyFill="1" applyAlignment="1">
      <alignment horizontal="center" vertical="center" wrapText="1"/>
    </xf>
    <xf numFmtId="39" fontId="3" fillId="0" borderId="9" xfId="3" applyNumberFormat="1" applyFont="1" applyFill="1" applyBorder="1"/>
    <xf numFmtId="39" fontId="3" fillId="0" borderId="10" xfId="3" applyNumberFormat="1" applyFont="1" applyFill="1" applyBorder="1" applyProtection="1"/>
    <xf numFmtId="0" fontId="5" fillId="0" borderId="0" xfId="3" applyFont="1" applyFill="1" applyAlignment="1"/>
    <xf numFmtId="0" fontId="3" fillId="0" borderId="0" xfId="3" applyFont="1" applyFill="1" applyBorder="1"/>
    <xf numFmtId="4" fontId="3" fillId="0" borderId="1" xfId="3" applyNumberFormat="1" applyFont="1" applyFill="1" applyBorder="1" applyProtection="1"/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39" fontId="3" fillId="0" borderId="0" xfId="3" applyNumberFormat="1" applyFont="1" applyFill="1" applyAlignment="1">
      <alignment horizontal="center"/>
    </xf>
    <xf numFmtId="39" fontId="3" fillId="0" borderId="11" xfId="3" applyNumberFormat="1" applyFont="1" applyFill="1" applyBorder="1"/>
    <xf numFmtId="10" fontId="3" fillId="0" borderId="0" xfId="3" applyNumberFormat="1" applyFont="1" applyFill="1" applyAlignment="1">
      <alignment horizontal="center"/>
    </xf>
    <xf numFmtId="0" fontId="18" fillId="0" borderId="0" xfId="0" applyNumberFormat="1" applyFont="1" applyFill="1"/>
    <xf numFmtId="0" fontId="19" fillId="0" borderId="0" xfId="0" applyNumberFormat="1" applyFont="1" applyFill="1"/>
    <xf numFmtId="4" fontId="3" fillId="0" borderId="0" xfId="3" applyNumberFormat="1" applyFont="1" applyFill="1" applyAlignment="1">
      <alignment horizontal="center"/>
    </xf>
    <xf numFmtId="0" fontId="17" fillId="0" borderId="0" xfId="0" applyNumberFormat="1" applyFont="1" applyFill="1" applyBorder="1"/>
    <xf numFmtId="0" fontId="18" fillId="0" borderId="9" xfId="0" applyNumberFormat="1" applyFont="1" applyFill="1" applyBorder="1"/>
    <xf numFmtId="0" fontId="18" fillId="0" borderId="0" xfId="0" applyNumberFormat="1" applyFont="1" applyFill="1" applyAlignment="1">
      <alignment horizontal="center"/>
    </xf>
    <xf numFmtId="0" fontId="20" fillId="0" borderId="0" xfId="0" applyNumberFormat="1" applyFont="1" applyFill="1"/>
    <xf numFmtId="39" fontId="3" fillId="0" borderId="10" xfId="3" applyNumberFormat="1" applyFont="1" applyFill="1" applyBorder="1"/>
    <xf numFmtId="0" fontId="16" fillId="0" borderId="0" xfId="0" applyNumberFormat="1" applyFont="1" applyFill="1"/>
    <xf numFmtId="39" fontId="3" fillId="0" borderId="15" xfId="3" applyNumberFormat="1" applyFont="1" applyFill="1" applyBorder="1" applyProtection="1"/>
    <xf numFmtId="39" fontId="3" fillId="0" borderId="15" xfId="3" applyNumberFormat="1" applyFont="1" applyFill="1" applyBorder="1"/>
    <xf numFmtId="39" fontId="6" fillId="0" borderId="16" xfId="3" applyNumberFormat="1" applyFont="1" applyFill="1" applyBorder="1"/>
    <xf numFmtId="0" fontId="20" fillId="0" borderId="9" xfId="0" applyNumberFormat="1" applyFont="1" applyFill="1" applyBorder="1"/>
    <xf numFmtId="39" fontId="6" fillId="5" borderId="20" xfId="3" applyNumberFormat="1" applyFont="1" applyFill="1" applyBorder="1" applyAlignment="1">
      <alignment horizontal="center" vertical="center" wrapText="1"/>
    </xf>
    <xf numFmtId="39" fontId="6" fillId="0" borderId="7" xfId="3" applyNumberFormat="1" applyFont="1" applyFill="1" applyBorder="1" applyAlignment="1">
      <alignment horizontal="center" vertical="center" wrapText="1"/>
    </xf>
    <xf numFmtId="10" fontId="6" fillId="0" borderId="7" xfId="3" applyNumberFormat="1" applyFont="1" applyFill="1" applyBorder="1" applyAlignment="1">
      <alignment horizontal="center" vertical="center" wrapText="1"/>
    </xf>
    <xf numFmtId="39" fontId="6" fillId="0" borderId="8" xfId="3" applyNumberFormat="1" applyFont="1" applyFill="1" applyBorder="1" applyAlignment="1">
      <alignment horizontal="center" vertical="center" wrapText="1"/>
    </xf>
    <xf numFmtId="39" fontId="6" fillId="0" borderId="22" xfId="3" applyNumberFormat="1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 applyProtection="1">
      <alignment horizontal="center" vertical="center" wrapText="1"/>
    </xf>
    <xf numFmtId="39" fontId="6" fillId="0" borderId="26" xfId="3" applyNumberFormat="1" applyFont="1" applyFill="1" applyBorder="1" applyAlignment="1">
      <alignment horizontal="center" vertical="center" wrapText="1"/>
    </xf>
    <xf numFmtId="39" fontId="3" fillId="0" borderId="27" xfId="3" applyNumberFormat="1" applyFont="1" applyFill="1" applyBorder="1"/>
    <xf numFmtId="39" fontId="8" fillId="0" borderId="27" xfId="3" applyNumberFormat="1" applyFont="1" applyFill="1" applyBorder="1"/>
    <xf numFmtId="39" fontId="3" fillId="0" borderId="28" xfId="3" applyNumberFormat="1" applyFont="1" applyFill="1" applyBorder="1"/>
    <xf numFmtId="39" fontId="6" fillId="0" borderId="29" xfId="3" applyNumberFormat="1" applyFont="1" applyFill="1" applyBorder="1"/>
    <xf numFmtId="39" fontId="6" fillId="0" borderId="30" xfId="3" applyNumberFormat="1" applyFont="1" applyFill="1" applyBorder="1"/>
    <xf numFmtId="39" fontId="6" fillId="0" borderId="31" xfId="3" applyNumberFormat="1" applyFont="1" applyFill="1" applyBorder="1" applyProtection="1"/>
    <xf numFmtId="39" fontId="6" fillId="0" borderId="32" xfId="3" applyNumberFormat="1" applyFont="1" applyFill="1" applyBorder="1"/>
    <xf numFmtId="164" fontId="6" fillId="0" borderId="30" xfId="3" applyNumberFormat="1" applyFont="1" applyFill="1" applyBorder="1"/>
    <xf numFmtId="39" fontId="6" fillId="0" borderId="33" xfId="3" applyNumberFormat="1" applyFont="1" applyFill="1" applyBorder="1"/>
    <xf numFmtId="43" fontId="19" fillId="0" borderId="27" xfId="0" applyNumberFormat="1" applyFont="1" applyFill="1" applyBorder="1"/>
    <xf numFmtId="0" fontId="19" fillId="0" borderId="27" xfId="0" applyNumberFormat="1" applyFont="1" applyFill="1" applyBorder="1"/>
    <xf numFmtId="0" fontId="18" fillId="0" borderId="0" xfId="0" applyNumberFormat="1" applyFont="1" applyFill="1" applyBorder="1"/>
    <xf numFmtId="0" fontId="3" fillId="0" borderId="4" xfId="3" applyFont="1" applyFill="1" applyBorder="1" applyAlignment="1">
      <alignment horizontal="center"/>
    </xf>
    <xf numFmtId="39" fontId="3" fillId="0" borderId="4" xfId="3" applyNumberFormat="1" applyFont="1" applyFill="1" applyBorder="1"/>
    <xf numFmtId="4" fontId="3" fillId="0" borderId="9" xfId="3" applyNumberFormat="1" applyFont="1" applyFill="1" applyBorder="1"/>
    <xf numFmtId="39" fontId="3" fillId="0" borderId="35" xfId="3" applyNumberFormat="1" applyFont="1" applyFill="1" applyBorder="1"/>
    <xf numFmtId="39" fontId="3" fillId="0" borderId="21" xfId="3" applyNumberFormat="1" applyFont="1" applyFill="1" applyBorder="1"/>
    <xf numFmtId="39" fontId="6" fillId="4" borderId="36" xfId="3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/>
    <xf numFmtId="0" fontId="6" fillId="0" borderId="26" xfId="3" applyFont="1" applyFill="1" applyBorder="1" applyAlignment="1">
      <alignment horizontal="center" vertical="center" wrapText="1"/>
    </xf>
    <xf numFmtId="0" fontId="6" fillId="0" borderId="36" xfId="3" applyFont="1" applyFill="1" applyBorder="1" applyAlignment="1">
      <alignment horizontal="center" vertical="center" wrapText="1"/>
    </xf>
    <xf numFmtId="0" fontId="6" fillId="0" borderId="37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wrapText="1"/>
    </xf>
    <xf numFmtId="0" fontId="8" fillId="0" borderId="27" xfId="3" applyFont="1" applyFill="1" applyBorder="1"/>
    <xf numFmtId="0" fontId="3" fillId="0" borderId="38" xfId="3" applyFont="1" applyFill="1" applyBorder="1"/>
    <xf numFmtId="0" fontId="3" fillId="0" borderId="39" xfId="3" applyFont="1" applyFill="1" applyBorder="1"/>
    <xf numFmtId="0" fontId="6" fillId="0" borderId="32" xfId="3" applyFont="1" applyFill="1" applyBorder="1"/>
    <xf numFmtId="0" fontId="6" fillId="0" borderId="40" xfId="3" applyFont="1" applyFill="1" applyBorder="1" applyAlignment="1">
      <alignment horizontal="center"/>
    </xf>
    <xf numFmtId="0" fontId="6" fillId="0" borderId="41" xfId="3" applyFont="1" applyFill="1" applyBorder="1"/>
    <xf numFmtId="39" fontId="6" fillId="0" borderId="31" xfId="3" applyNumberFormat="1" applyFont="1" applyFill="1" applyBorder="1"/>
    <xf numFmtId="14" fontId="3" fillId="0" borderId="10" xfId="3" applyNumberFormat="1" applyFont="1" applyFill="1" applyBorder="1"/>
    <xf numFmtId="10" fontId="3" fillId="0" borderId="6" xfId="3" applyNumberFormat="1" applyFont="1" applyFill="1" applyBorder="1" applyAlignment="1">
      <alignment horizontal="right"/>
    </xf>
    <xf numFmtId="164" fontId="3" fillId="0" borderId="6" xfId="3" quotePrefix="1" applyNumberFormat="1" applyFont="1" applyFill="1" applyBorder="1" applyAlignment="1">
      <alignment horizontal="right"/>
    </xf>
    <xf numFmtId="10" fontId="3" fillId="0" borderId="9" xfId="3" applyNumberFormat="1" applyFont="1" applyFill="1" applyBorder="1" applyAlignment="1">
      <alignment horizontal="right"/>
    </xf>
    <xf numFmtId="164" fontId="6" fillId="0" borderId="30" xfId="3" applyNumberFormat="1" applyFont="1" applyFill="1" applyBorder="1" applyAlignment="1">
      <alignment horizontal="right"/>
    </xf>
    <xf numFmtId="164" fontId="8" fillId="0" borderId="6" xfId="3" applyNumberFormat="1" applyFont="1" applyFill="1" applyBorder="1"/>
    <xf numFmtId="39" fontId="9" fillId="0" borderId="30" xfId="3" applyNumberFormat="1" applyFont="1" applyFill="1" applyBorder="1"/>
    <xf numFmtId="39" fontId="18" fillId="0" borderId="0" xfId="0" applyNumberFormat="1" applyFont="1" applyFill="1"/>
    <xf numFmtId="0" fontId="3" fillId="0" borderId="0" xfId="0" applyNumberFormat="1" applyFont="1" applyFill="1"/>
    <xf numFmtId="43" fontId="11" fillId="0" borderId="0" xfId="0" applyNumberFormat="1" applyFont="1" applyFill="1"/>
    <xf numFmtId="39" fontId="3" fillId="0" borderId="6" xfId="0" applyNumberFormat="1" applyFont="1" applyFill="1" applyBorder="1"/>
    <xf numFmtId="39" fontId="3" fillId="0" borderId="34" xfId="3" applyNumberFormat="1" applyFont="1" applyFill="1" applyBorder="1"/>
    <xf numFmtId="39" fontId="8" fillId="0" borderId="34" xfId="3" applyNumberFormat="1" applyFont="1" applyFill="1" applyBorder="1"/>
    <xf numFmtId="39" fontId="6" fillId="3" borderId="36" xfId="3" applyNumberFormat="1" applyFont="1" applyFill="1" applyBorder="1" applyAlignment="1">
      <alignment horizontal="center" vertical="center" wrapText="1"/>
    </xf>
    <xf numFmtId="4" fontId="6" fillId="3" borderId="36" xfId="3" applyNumberFormat="1" applyFont="1" applyFill="1" applyBorder="1" applyAlignment="1" applyProtection="1">
      <alignment horizontal="center" vertical="center" wrapText="1"/>
    </xf>
    <xf numFmtId="39" fontId="6" fillId="3" borderId="37" xfId="3" applyNumberFormat="1" applyFont="1" applyFill="1" applyBorder="1" applyAlignment="1">
      <alignment horizontal="center" vertical="center" wrapText="1"/>
    </xf>
    <xf numFmtId="0" fontId="21" fillId="7" borderId="0" xfId="3" applyFont="1" applyFill="1" applyAlignment="1">
      <alignment horizontal="center" vertical="center" wrapText="1"/>
    </xf>
    <xf numFmtId="0" fontId="21" fillId="7" borderId="27" xfId="3" applyFont="1" applyFill="1" applyBorder="1" applyAlignment="1">
      <alignment horizontal="center" vertical="center" wrapText="1"/>
    </xf>
    <xf numFmtId="0" fontId="21" fillId="7" borderId="6" xfId="3" applyFont="1" applyFill="1" applyBorder="1" applyAlignment="1">
      <alignment horizontal="center" vertical="center" wrapText="1"/>
    </xf>
    <xf numFmtId="0" fontId="21" fillId="7" borderId="0" xfId="3" applyFont="1" applyFill="1" applyBorder="1" applyAlignment="1">
      <alignment horizontal="center" vertical="center" wrapText="1"/>
    </xf>
    <xf numFmtId="0" fontId="21" fillId="7" borderId="10" xfId="3" applyFont="1" applyFill="1" applyBorder="1" applyAlignment="1">
      <alignment horizontal="center" vertical="center" wrapText="1"/>
    </xf>
    <xf numFmtId="39" fontId="21" fillId="7" borderId="27" xfId="3" applyNumberFormat="1" applyFont="1" applyFill="1" applyBorder="1" applyAlignment="1">
      <alignment horizontal="center" vertical="center" wrapText="1"/>
    </xf>
    <xf numFmtId="39" fontId="21" fillId="7" borderId="6" xfId="3" applyNumberFormat="1" applyFont="1" applyFill="1" applyBorder="1" applyAlignment="1">
      <alignment horizontal="center" vertical="center" wrapText="1"/>
    </xf>
    <xf numFmtId="10" fontId="21" fillId="7" borderId="6" xfId="3" applyNumberFormat="1" applyFont="1" applyFill="1" applyBorder="1" applyAlignment="1">
      <alignment horizontal="center" vertical="center" wrapText="1"/>
    </xf>
    <xf numFmtId="0" fontId="21" fillId="7" borderId="9" xfId="3" applyFont="1" applyFill="1" applyBorder="1" applyAlignment="1">
      <alignment horizontal="center" vertical="center" wrapText="1"/>
    </xf>
    <xf numFmtId="39" fontId="21" fillId="7" borderId="10" xfId="3" applyNumberFormat="1" applyFont="1" applyFill="1" applyBorder="1" applyAlignment="1">
      <alignment horizontal="center" vertical="center" wrapText="1"/>
    </xf>
    <xf numFmtId="39" fontId="21" fillId="7" borderId="0" xfId="3" applyNumberFormat="1" applyFont="1" applyFill="1" applyBorder="1" applyAlignment="1">
      <alignment horizontal="center" vertical="center" wrapText="1"/>
    </xf>
    <xf numFmtId="4" fontId="21" fillId="7" borderId="1" xfId="3" applyNumberFormat="1" applyFont="1" applyFill="1" applyBorder="1" applyAlignment="1" applyProtection="1">
      <alignment horizontal="center" vertical="center" wrapText="1"/>
    </xf>
    <xf numFmtId="39" fontId="21" fillId="7" borderId="9" xfId="3" applyNumberFormat="1" applyFont="1" applyFill="1" applyBorder="1" applyAlignment="1">
      <alignment horizontal="center" vertical="center" wrapText="1"/>
    </xf>
    <xf numFmtId="39" fontId="21" fillId="7" borderId="18" xfId="3" applyNumberFormat="1" applyFont="1" applyFill="1" applyBorder="1" applyAlignment="1">
      <alignment horizontal="center" vertical="center" wrapText="1"/>
    </xf>
    <xf numFmtId="39" fontId="21" fillId="7" borderId="21" xfId="3" applyNumberFormat="1" applyFont="1" applyFill="1" applyBorder="1" applyAlignment="1">
      <alignment horizontal="center" vertical="center" wrapText="1"/>
    </xf>
    <xf numFmtId="39" fontId="21" fillId="7" borderId="42" xfId="3" applyNumberFormat="1" applyFont="1" applyFill="1" applyBorder="1" applyAlignment="1">
      <alignment horizontal="center" vertical="center" wrapText="1"/>
    </xf>
    <xf numFmtId="4" fontId="21" fillId="7" borderId="6" xfId="3" applyNumberFormat="1" applyFont="1" applyFill="1" applyBorder="1" applyAlignment="1" applyProtection="1">
      <alignment horizontal="center" vertical="center" wrapText="1"/>
    </xf>
    <xf numFmtId="0" fontId="5" fillId="7" borderId="0" xfId="3" applyFont="1" applyFill="1" applyAlignment="1"/>
    <xf numFmtId="0" fontId="19" fillId="7" borderId="0" xfId="0" applyNumberFormat="1" applyFont="1" applyFill="1"/>
    <xf numFmtId="0" fontId="11" fillId="7" borderId="0" xfId="3" applyFont="1" applyFill="1"/>
    <xf numFmtId="0" fontId="14" fillId="7" borderId="36" xfId="3" applyFont="1" applyFill="1" applyBorder="1" applyAlignment="1">
      <alignment horizontal="center" vertical="center" wrapText="1"/>
    </xf>
    <xf numFmtId="39" fontId="14" fillId="7" borderId="36" xfId="3" applyNumberFormat="1" applyFont="1" applyFill="1" applyBorder="1" applyAlignment="1">
      <alignment horizontal="center" vertical="center" wrapText="1"/>
    </xf>
    <xf numFmtId="0" fontId="20" fillId="7" borderId="9" xfId="0" applyNumberFormat="1" applyFont="1" applyFill="1" applyBorder="1"/>
    <xf numFmtId="0" fontId="18" fillId="7" borderId="9" xfId="0" applyNumberFormat="1" applyFont="1" applyFill="1" applyBorder="1"/>
    <xf numFmtId="43" fontId="10" fillId="7" borderId="6" xfId="0" applyNumberFormat="1" applyFont="1" applyFill="1" applyBorder="1"/>
    <xf numFmtId="39" fontId="14" fillId="7" borderId="30" xfId="3" applyNumberFormat="1" applyFont="1" applyFill="1" applyBorder="1"/>
    <xf numFmtId="39" fontId="3" fillId="0" borderId="10" xfId="0" applyNumberFormat="1" applyFont="1" applyFill="1" applyBorder="1"/>
    <xf numFmtId="0" fontId="20" fillId="7" borderId="0" xfId="0" applyNumberFormat="1" applyFont="1" applyFill="1"/>
    <xf numFmtId="0" fontId="18" fillId="7" borderId="0" xfId="0" applyNumberFormat="1" applyFont="1" applyFill="1"/>
    <xf numFmtId="0" fontId="10" fillId="7" borderId="0" xfId="3" applyFont="1" applyFill="1"/>
    <xf numFmtId="0" fontId="15" fillId="7" borderId="0" xfId="3" applyFont="1" applyFill="1" applyAlignment="1"/>
    <xf numFmtId="39" fontId="10" fillId="7" borderId="0" xfId="3" applyNumberFormat="1" applyFont="1" applyFill="1"/>
    <xf numFmtId="39" fontId="10" fillId="7" borderId="0" xfId="3" applyNumberFormat="1" applyFont="1" applyFill="1" applyAlignment="1">
      <alignment horizontal="center"/>
    </xf>
    <xf numFmtId="39" fontId="14" fillId="7" borderId="2" xfId="3" applyNumberFormat="1" applyFont="1" applyFill="1" applyBorder="1" applyAlignment="1">
      <alignment horizontal="center" vertical="center" wrapText="1"/>
    </xf>
    <xf numFmtId="39" fontId="10" fillId="7" borderId="6" xfId="3" applyNumberFormat="1" applyFont="1" applyFill="1" applyBorder="1"/>
    <xf numFmtId="39" fontId="10" fillId="7" borderId="35" xfId="3" applyNumberFormat="1" applyFont="1" applyFill="1" applyBorder="1"/>
    <xf numFmtId="39" fontId="14" fillId="7" borderId="7" xfId="3" applyNumberFormat="1" applyFont="1" applyFill="1" applyBorder="1" applyAlignment="1">
      <alignment horizontal="center" vertical="center" wrapText="1"/>
    </xf>
    <xf numFmtId="39" fontId="10" fillId="7" borderId="9" xfId="3" applyNumberFormat="1" applyFont="1" applyFill="1" applyBorder="1"/>
    <xf numFmtId="39" fontId="10" fillId="7" borderId="6" xfId="3" applyNumberFormat="1" applyFont="1" applyFill="1" applyBorder="1" applyProtection="1"/>
    <xf numFmtId="39" fontId="10" fillId="7" borderId="6" xfId="3" quotePrefix="1" applyNumberFormat="1" applyFont="1" applyFill="1" applyBorder="1" applyAlignment="1" applyProtection="1">
      <alignment horizontal="right"/>
    </xf>
    <xf numFmtId="39" fontId="14" fillId="7" borderId="30" xfId="3" quotePrefix="1" applyNumberFormat="1" applyFont="1" applyFill="1" applyBorder="1" applyAlignment="1">
      <alignment horizontal="right"/>
    </xf>
    <xf numFmtId="0" fontId="3" fillId="7" borderId="0" xfId="3" applyFont="1" applyFill="1"/>
    <xf numFmtId="0" fontId="3" fillId="7" borderId="0" xfId="3" applyFont="1" applyFill="1" applyAlignment="1">
      <alignment horizontal="center"/>
    </xf>
    <xf numFmtId="0" fontId="3" fillId="7" borderId="0" xfId="3" applyFont="1" applyFill="1" applyBorder="1"/>
    <xf numFmtId="0" fontId="14" fillId="7" borderId="0" xfId="3" applyFont="1" applyFill="1" applyAlignment="1">
      <alignment horizontal="center" vertical="center" wrapText="1"/>
    </xf>
    <xf numFmtId="0" fontId="18" fillId="7" borderId="0" xfId="0" applyNumberFormat="1" applyFont="1" applyFill="1" applyBorder="1"/>
    <xf numFmtId="0" fontId="6" fillId="7" borderId="0" xfId="3" applyFont="1" applyFill="1"/>
    <xf numFmtId="39" fontId="10" fillId="7" borderId="6" xfId="0" applyNumberFormat="1" applyFont="1" applyFill="1" applyBorder="1"/>
    <xf numFmtId="0" fontId="24" fillId="7" borderId="0" xfId="3" applyFont="1" applyFill="1"/>
    <xf numFmtId="0" fontId="25" fillId="7" borderId="0" xfId="3" applyFont="1" applyFill="1"/>
    <xf numFmtId="0" fontId="26" fillId="7" borderId="0" xfId="3" applyFont="1" applyFill="1"/>
    <xf numFmtId="39" fontId="25" fillId="7" borderId="0" xfId="0" applyNumberFormat="1" applyFont="1" applyFill="1"/>
    <xf numFmtId="0" fontId="18" fillId="7" borderId="0" xfId="0" applyNumberFormat="1" applyFont="1" applyFill="1" applyAlignment="1">
      <alignment horizontal="center"/>
    </xf>
    <xf numFmtId="0" fontId="10" fillId="7" borderId="0" xfId="3" applyFont="1" applyFill="1" applyAlignment="1">
      <alignment horizontal="center"/>
    </xf>
    <xf numFmtId="165" fontId="23" fillId="7" borderId="0" xfId="3" applyNumberFormat="1" applyFont="1" applyFill="1" applyAlignment="1">
      <alignment horizontal="right"/>
    </xf>
    <xf numFmtId="39" fontId="3" fillId="7" borderId="0" xfId="3" applyNumberFormat="1" applyFont="1" applyFill="1"/>
    <xf numFmtId="39" fontId="25" fillId="7" borderId="0" xfId="3" applyNumberFormat="1" applyFont="1" applyFill="1"/>
    <xf numFmtId="165" fontId="10" fillId="7" borderId="0" xfId="3" applyNumberFormat="1" applyFont="1" applyFill="1" applyAlignment="1">
      <alignment horizontal="center"/>
    </xf>
    <xf numFmtId="4" fontId="10" fillId="7" borderId="0" xfId="3" applyNumberFormat="1" applyFont="1" applyFill="1"/>
    <xf numFmtId="39" fontId="26" fillId="7" borderId="0" xfId="3" applyNumberFormat="1" applyFont="1" applyFill="1"/>
    <xf numFmtId="165" fontId="3" fillId="7" borderId="0" xfId="3" applyNumberFormat="1" applyFont="1" applyFill="1" applyAlignment="1">
      <alignment horizontal="center"/>
    </xf>
    <xf numFmtId="4" fontId="3" fillId="7" borderId="0" xfId="3" applyNumberFormat="1" applyFont="1" applyFill="1"/>
    <xf numFmtId="10" fontId="3" fillId="7" borderId="0" xfId="3" applyNumberFormat="1" applyFont="1" applyFill="1" applyAlignment="1">
      <alignment horizontal="center"/>
    </xf>
    <xf numFmtId="0" fontId="11" fillId="7" borderId="0" xfId="3" applyFont="1" applyFill="1" applyAlignment="1">
      <alignment horizontal="right"/>
    </xf>
    <xf numFmtId="0" fontId="24" fillId="7" borderId="0" xfId="3" applyFont="1" applyFill="1" applyAlignment="1">
      <alignment horizontal="right"/>
    </xf>
    <xf numFmtId="0" fontId="24" fillId="7" borderId="0" xfId="0" applyNumberFormat="1" applyFont="1" applyFill="1" applyAlignment="1">
      <alignment horizontal="right"/>
    </xf>
    <xf numFmtId="0" fontId="10" fillId="7" borderId="0" xfId="3" applyFont="1" applyFill="1" applyAlignment="1">
      <alignment horizontal="right"/>
    </xf>
    <xf numFmtId="0" fontId="3" fillId="7" borderId="0" xfId="3" applyFont="1" applyFill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0" fontId="10" fillId="7" borderId="0" xfId="0" applyNumberFormat="1" applyFont="1" applyFill="1"/>
    <xf numFmtId="0" fontId="28" fillId="0" borderId="0" xfId="0" applyNumberFormat="1" applyFont="1" applyFill="1"/>
    <xf numFmtId="0" fontId="18" fillId="7" borderId="0" xfId="0" applyNumberFormat="1" applyFont="1" applyFill="1" applyAlignment="1"/>
    <xf numFmtId="0" fontId="18" fillId="0" borderId="0" xfId="0" applyNumberFormat="1" applyFont="1" applyFill="1" applyAlignment="1"/>
    <xf numFmtId="0" fontId="20" fillId="0" borderId="0" xfId="0" applyNumberFormat="1" applyFont="1" applyFill="1" applyAlignment="1"/>
    <xf numFmtId="0" fontId="20" fillId="7" borderId="0" xfId="0" applyNumberFormat="1" applyFont="1" applyFill="1" applyAlignment="1"/>
    <xf numFmtId="0" fontId="3" fillId="0" borderId="0" xfId="3" applyFont="1" applyFill="1" applyAlignment="1"/>
    <xf numFmtId="0" fontId="3" fillId="7" borderId="0" xfId="3" applyFont="1" applyFill="1" applyAlignment="1"/>
    <xf numFmtId="39" fontId="3" fillId="0" borderId="0" xfId="3" applyNumberFormat="1" applyFont="1" applyFill="1" applyAlignment="1"/>
    <xf numFmtId="39" fontId="10" fillId="7" borderId="0" xfId="3" applyNumberFormat="1" applyFont="1" applyFill="1" applyAlignment="1"/>
    <xf numFmtId="39" fontId="10" fillId="0" borderId="0" xfId="3" applyNumberFormat="1" applyFont="1" applyFill="1" applyAlignment="1"/>
    <xf numFmtId="4" fontId="3" fillId="0" borderId="0" xfId="3" applyNumberFormat="1" applyFont="1" applyFill="1" applyAlignment="1" applyProtection="1"/>
    <xf numFmtId="0" fontId="19" fillId="0" borderId="0" xfId="0" applyNumberFormat="1" applyFont="1" applyFill="1" applyAlignment="1"/>
    <xf numFmtId="0" fontId="19" fillId="7" borderId="0" xfId="0" applyNumberFormat="1" applyFont="1" applyFill="1" applyAlignment="1"/>
    <xf numFmtId="0" fontId="16" fillId="0" borderId="0" xfId="0" applyNumberFormat="1" applyFont="1" applyFill="1" applyAlignment="1">
      <alignment vertical="center"/>
    </xf>
    <xf numFmtId="0" fontId="16" fillId="0" borderId="0" xfId="2" applyNumberFormat="1" applyFont="1" applyFill="1" applyBorder="1" applyAlignment="1">
      <alignment vertical="center"/>
    </xf>
    <xf numFmtId="0" fontId="14" fillId="7" borderId="9" xfId="3" applyFont="1" applyFill="1" applyBorder="1" applyAlignment="1">
      <alignment horizontal="center" vertical="center" wrapText="1"/>
    </xf>
    <xf numFmtId="0" fontId="20" fillId="7" borderId="6" xfId="0" applyNumberFormat="1" applyFont="1" applyFill="1" applyBorder="1"/>
    <xf numFmtId="43" fontId="10" fillId="7" borderId="7" xfId="1" applyFont="1" applyFill="1" applyBorder="1"/>
    <xf numFmtId="43" fontId="10" fillId="7" borderId="7" xfId="0" applyNumberFormat="1" applyFont="1" applyFill="1" applyBorder="1"/>
    <xf numFmtId="0" fontId="3" fillId="0" borderId="6" xfId="3" applyFont="1" applyFill="1" applyBorder="1" applyAlignment="1">
      <alignment horizontal="center"/>
    </xf>
    <xf numFmtId="0" fontId="29" fillId="7" borderId="0" xfId="3" applyFont="1" applyFill="1"/>
    <xf numFmtId="39" fontId="29" fillId="7" borderId="0" xfId="0" applyNumberFormat="1" applyFont="1" applyFill="1"/>
    <xf numFmtId="0" fontId="30" fillId="7" borderId="0" xfId="0" applyNumberFormat="1" applyFont="1" applyFill="1" applyAlignment="1">
      <alignment horizontal="center"/>
    </xf>
    <xf numFmtId="0" fontId="14" fillId="7" borderId="43" xfId="3" applyFont="1" applyFill="1" applyBorder="1" applyAlignment="1">
      <alignment horizontal="center" vertical="center" wrapText="1"/>
    </xf>
    <xf numFmtId="0" fontId="21" fillId="7" borderId="43" xfId="3" applyFont="1" applyFill="1" applyBorder="1" applyAlignment="1">
      <alignment horizontal="center" vertical="center" wrapText="1"/>
    </xf>
    <xf numFmtId="14" fontId="10" fillId="7" borderId="35" xfId="3" applyNumberFormat="1" applyFont="1" applyFill="1" applyBorder="1"/>
    <xf numFmtId="43" fontId="10" fillId="7" borderId="1" xfId="1" applyFont="1" applyFill="1" applyBorder="1"/>
    <xf numFmtId="43" fontId="10" fillId="7" borderId="2" xfId="1" applyFont="1" applyFill="1" applyBorder="1"/>
    <xf numFmtId="0" fontId="10" fillId="7" borderId="35" xfId="3" applyFont="1" applyFill="1" applyBorder="1"/>
    <xf numFmtId="0" fontId="6" fillId="4" borderId="26" xfId="3" applyFont="1" applyFill="1" applyBorder="1" applyAlignment="1">
      <alignment horizontal="center" vertical="center" wrapText="1"/>
    </xf>
    <xf numFmtId="39" fontId="22" fillId="7" borderId="34" xfId="3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/>
    <xf numFmtId="43" fontId="3" fillId="0" borderId="34" xfId="0" applyNumberFormat="1" applyFont="1" applyFill="1" applyBorder="1"/>
    <xf numFmtId="43" fontId="5" fillId="7" borderId="0" xfId="1" applyFont="1" applyFill="1" applyAlignment="1"/>
    <xf numFmtId="43" fontId="3" fillId="7" borderId="0" xfId="1" applyFont="1" applyFill="1" applyAlignment="1"/>
    <xf numFmtId="43" fontId="3" fillId="7" borderId="0" xfId="1" applyFont="1" applyFill="1" applyAlignment="1">
      <alignment horizontal="center"/>
    </xf>
    <xf numFmtId="43" fontId="18" fillId="7" borderId="0" xfId="1" applyFont="1" applyFill="1"/>
    <xf numFmtId="43" fontId="3" fillId="7" borderId="0" xfId="1" applyFont="1" applyFill="1"/>
    <xf numFmtId="43" fontId="23" fillId="7" borderId="0" xfId="1" applyFont="1" applyFill="1" applyAlignment="1">
      <alignment horizontal="right"/>
    </xf>
    <xf numFmtId="43" fontId="10" fillId="7" borderId="0" xfId="1" applyFont="1" applyFill="1" applyAlignment="1">
      <alignment horizontal="center"/>
    </xf>
    <xf numFmtId="43" fontId="14" fillId="7" borderId="30" xfId="1" applyFont="1" applyFill="1" applyBorder="1"/>
    <xf numFmtId="43" fontId="26" fillId="7" borderId="7" xfId="1" applyFont="1" applyFill="1" applyBorder="1" applyAlignment="1">
      <alignment horizontal="center" vertical="center" wrapText="1"/>
    </xf>
    <xf numFmtId="43" fontId="31" fillId="7" borderId="6" xfId="1" applyFont="1" applyFill="1" applyBorder="1" applyAlignment="1">
      <alignment horizontal="center" vertical="center" wrapText="1"/>
    </xf>
    <xf numFmtId="43" fontId="26" fillId="7" borderId="6" xfId="1" applyFont="1" applyFill="1" applyBorder="1"/>
    <xf numFmtId="39" fontId="26" fillId="7" borderId="6" xfId="3" applyNumberFormat="1" applyFont="1" applyFill="1" applyBorder="1"/>
    <xf numFmtId="43" fontId="26" fillId="7" borderId="9" xfId="1" applyFont="1" applyFill="1" applyBorder="1"/>
    <xf numFmtId="43" fontId="32" fillId="7" borderId="30" xfId="1" applyFont="1" applyFill="1" applyBorder="1"/>
    <xf numFmtId="39" fontId="32" fillId="7" borderId="7" xfId="3" applyNumberFormat="1" applyFont="1" applyFill="1" applyBorder="1" applyAlignment="1">
      <alignment horizontal="center" vertical="center" wrapText="1"/>
    </xf>
    <xf numFmtId="39" fontId="31" fillId="7" borderId="6" xfId="3" applyNumberFormat="1" applyFont="1" applyFill="1" applyBorder="1" applyAlignment="1">
      <alignment horizontal="center" vertical="center" wrapText="1"/>
    </xf>
    <xf numFmtId="39" fontId="26" fillId="7" borderId="9" xfId="3" applyNumberFormat="1" applyFont="1" applyFill="1" applyBorder="1"/>
    <xf numFmtId="39" fontId="32" fillId="7" borderId="30" xfId="3" applyNumberFormat="1" applyFont="1" applyFill="1" applyBorder="1"/>
    <xf numFmtId="39" fontId="3" fillId="0" borderId="8" xfId="3" applyNumberFormat="1" applyFont="1" applyFill="1" applyBorder="1" applyProtection="1"/>
    <xf numFmtId="39" fontId="32" fillId="7" borderId="44" xfId="3" applyNumberFormat="1" applyFont="1" applyFill="1" applyBorder="1" applyAlignment="1">
      <alignment horizontal="center" vertical="center" wrapText="1"/>
    </xf>
    <xf numFmtId="39" fontId="14" fillId="7" borderId="45" xfId="3" applyNumberFormat="1" applyFont="1" applyFill="1" applyBorder="1" applyAlignment="1">
      <alignment horizontal="center" vertical="center" wrapText="1"/>
    </xf>
    <xf numFmtId="0" fontId="33" fillId="7" borderId="0" xfId="3" applyFont="1" applyFill="1" applyAlignment="1"/>
    <xf numFmtId="39" fontId="26" fillId="7" borderId="0" xfId="3" applyNumberFormat="1" applyFont="1" applyFill="1" applyAlignment="1"/>
    <xf numFmtId="39" fontId="26" fillId="7" borderId="0" xfId="3" applyNumberFormat="1" applyFont="1" applyFill="1" applyAlignment="1">
      <alignment horizontal="center"/>
    </xf>
    <xf numFmtId="0" fontId="34" fillId="7" borderId="0" xfId="0" applyNumberFormat="1" applyFont="1" applyFill="1"/>
    <xf numFmtId="43" fontId="33" fillId="7" borderId="0" xfId="1" applyFont="1" applyFill="1" applyAlignment="1"/>
    <xf numFmtId="43" fontId="15" fillId="7" borderId="0" xfId="1" applyFont="1" applyFill="1" applyAlignment="1"/>
    <xf numFmtId="43" fontId="26" fillId="7" borderId="0" xfId="1" applyFont="1" applyFill="1" applyAlignment="1"/>
    <xf numFmtId="43" fontId="10" fillId="7" borderId="0" xfId="1" applyFont="1" applyFill="1" applyAlignment="1"/>
    <xf numFmtId="43" fontId="26" fillId="7" borderId="0" xfId="1" applyFont="1" applyFill="1" applyAlignment="1">
      <alignment horizontal="center"/>
    </xf>
    <xf numFmtId="43" fontId="32" fillId="7" borderId="7" xfId="1" applyFont="1" applyFill="1" applyBorder="1" applyAlignment="1">
      <alignment horizontal="center" vertical="center" wrapText="1"/>
    </xf>
    <xf numFmtId="43" fontId="10" fillId="7" borderId="6" xfId="1" applyFont="1" applyFill="1" applyBorder="1"/>
    <xf numFmtId="43" fontId="34" fillId="7" borderId="0" xfId="1" applyFont="1" applyFill="1"/>
    <xf numFmtId="43" fontId="20" fillId="7" borderId="0" xfId="1" applyFont="1" applyFill="1"/>
    <xf numFmtId="43" fontId="26" fillId="7" borderId="0" xfId="1" applyFont="1" applyFill="1"/>
    <xf numFmtId="43" fontId="10" fillId="7" borderId="0" xfId="1" applyFont="1" applyFill="1"/>
    <xf numFmtId="43" fontId="35" fillId="7" borderId="0" xfId="1" applyFont="1" applyFill="1" applyAlignment="1">
      <alignment horizontal="right"/>
    </xf>
    <xf numFmtId="39" fontId="36" fillId="7" borderId="0" xfId="3" applyNumberFormat="1" applyFont="1" applyFill="1" applyBorder="1" applyAlignment="1">
      <alignment horizontal="center"/>
    </xf>
    <xf numFmtId="39" fontId="31" fillId="7" borderId="18" xfId="3" applyNumberFormat="1" applyFont="1" applyFill="1" applyBorder="1" applyAlignment="1">
      <alignment horizontal="center" vertical="center" wrapText="1"/>
    </xf>
    <xf numFmtId="39" fontId="26" fillId="7" borderId="5" xfId="3" applyNumberFormat="1" applyFont="1" applyFill="1" applyBorder="1"/>
    <xf numFmtId="39" fontId="26" fillId="7" borderId="5" xfId="3" applyNumberFormat="1" applyFont="1" applyFill="1" applyBorder="1" applyProtection="1"/>
    <xf numFmtId="39" fontId="27" fillId="7" borderId="0" xfId="3" applyNumberFormat="1" applyFont="1" applyFill="1" applyBorder="1" applyAlignment="1">
      <alignment horizontal="center"/>
    </xf>
    <xf numFmtId="39" fontId="10" fillId="7" borderId="10" xfId="3" applyNumberFormat="1" applyFont="1" applyFill="1" applyBorder="1"/>
    <xf numFmtId="39" fontId="10" fillId="7" borderId="10" xfId="3" applyNumberFormat="1" applyFont="1" applyFill="1" applyBorder="1" applyProtection="1"/>
    <xf numFmtId="39" fontId="10" fillId="7" borderId="5" xfId="3" applyNumberFormat="1" applyFont="1" applyFill="1" applyBorder="1" applyProtection="1"/>
    <xf numFmtId="39" fontId="10" fillId="7" borderId="11" xfId="3" applyNumberFormat="1" applyFont="1" applyFill="1" applyBorder="1"/>
    <xf numFmtId="0" fontId="37" fillId="7" borderId="0" xfId="0" applyNumberFormat="1" applyFont="1" applyFill="1"/>
    <xf numFmtId="0" fontId="37" fillId="0" borderId="0" xfId="0" applyNumberFormat="1" applyFont="1" applyFill="1"/>
    <xf numFmtId="0" fontId="38" fillId="0" borderId="0" xfId="3" applyFont="1" applyFill="1"/>
    <xf numFmtId="39" fontId="38" fillId="0" borderId="0" xfId="3" applyNumberFormat="1" applyFont="1" applyFill="1"/>
    <xf numFmtId="39" fontId="38" fillId="7" borderId="0" xfId="3" applyNumberFormat="1" applyFont="1" applyFill="1"/>
    <xf numFmtId="10" fontId="38" fillId="0" borderId="0" xfId="3" applyNumberFormat="1" applyFont="1" applyFill="1" applyAlignment="1">
      <alignment horizontal="center"/>
    </xf>
    <xf numFmtId="43" fontId="38" fillId="7" borderId="0" xfId="1" applyFont="1" applyFill="1"/>
    <xf numFmtId="4" fontId="38" fillId="0" borderId="0" xfId="3" applyNumberFormat="1" applyFont="1" applyFill="1"/>
    <xf numFmtId="0" fontId="38" fillId="7" borderId="0" xfId="3" applyFont="1" applyFill="1"/>
    <xf numFmtId="43" fontId="39" fillId="0" borderId="0" xfId="1" applyFont="1" applyFill="1"/>
    <xf numFmtId="39" fontId="40" fillId="0" borderId="0" xfId="3" applyNumberFormat="1" applyFont="1" applyFill="1"/>
    <xf numFmtId="0" fontId="41" fillId="0" borderId="0" xfId="3" applyFont="1" applyFill="1" applyAlignment="1">
      <alignment vertical="center"/>
    </xf>
    <xf numFmtId="39" fontId="41" fillId="0" borderId="0" xfId="3" applyNumberFormat="1" applyFont="1" applyFill="1" applyAlignment="1">
      <alignment vertical="center"/>
    </xf>
    <xf numFmtId="39" fontId="41" fillId="7" borderId="0" xfId="3" applyNumberFormat="1" applyFont="1" applyFill="1" applyAlignment="1">
      <alignment vertical="center"/>
    </xf>
    <xf numFmtId="10" fontId="41" fillId="0" borderId="0" xfId="3" applyNumberFormat="1" applyFont="1" applyFill="1" applyAlignment="1">
      <alignment horizontal="center" vertical="center"/>
    </xf>
    <xf numFmtId="43" fontId="41" fillId="7" borderId="0" xfId="1" applyFont="1" applyFill="1" applyAlignment="1">
      <alignment vertical="center"/>
    </xf>
    <xf numFmtId="4" fontId="41" fillId="0" borderId="0" xfId="3" applyNumberFormat="1" applyFont="1" applyFill="1" applyAlignment="1">
      <alignment vertical="center"/>
    </xf>
    <xf numFmtId="0" fontId="41" fillId="7" borderId="0" xfId="3" applyFont="1" applyFill="1" applyAlignment="1">
      <alignment vertical="center"/>
    </xf>
    <xf numFmtId="0" fontId="41" fillId="7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43" fontId="41" fillId="0" borderId="0" xfId="1" applyFont="1" applyFill="1" applyAlignment="1">
      <alignment vertical="center"/>
    </xf>
    <xf numFmtId="43" fontId="38" fillId="0" borderId="0" xfId="1" applyFont="1" applyFill="1" applyAlignment="1">
      <alignment vertical="center"/>
    </xf>
    <xf numFmtId="43" fontId="40" fillId="0" borderId="0" xfId="1" applyFont="1" applyFill="1"/>
    <xf numFmtId="43" fontId="42" fillId="7" borderId="7" xfId="1" applyFont="1" applyFill="1" applyBorder="1" applyAlignment="1">
      <alignment horizontal="center" vertical="center" wrapText="1"/>
    </xf>
    <xf numFmtId="43" fontId="43" fillId="7" borderId="6" xfId="1" applyFont="1" applyFill="1" applyBorder="1" applyAlignment="1">
      <alignment horizontal="center" vertical="center" wrapText="1"/>
    </xf>
    <xf numFmtId="43" fontId="44" fillId="7" borderId="6" xfId="1" applyFont="1" applyFill="1" applyBorder="1"/>
    <xf numFmtId="43" fontId="44" fillId="7" borderId="9" xfId="1" applyFont="1" applyFill="1" applyBorder="1"/>
    <xf numFmtId="43" fontId="42" fillId="7" borderId="30" xfId="1" applyFont="1" applyFill="1" applyBorder="1"/>
    <xf numFmtId="43" fontId="44" fillId="7" borderId="7" xfId="1" applyFont="1" applyFill="1" applyBorder="1" applyAlignment="1">
      <alignment horizontal="center" vertical="center" wrapText="1"/>
    </xf>
    <xf numFmtId="39" fontId="44" fillId="7" borderId="6" xfId="3" applyNumberFormat="1" applyFont="1" applyFill="1" applyBorder="1"/>
    <xf numFmtId="39" fontId="42" fillId="7" borderId="7" xfId="3" applyNumberFormat="1" applyFont="1" applyFill="1" applyBorder="1" applyAlignment="1">
      <alignment horizontal="center" vertical="center" wrapText="1"/>
    </xf>
    <xf numFmtId="39" fontId="43" fillId="7" borderId="6" xfId="3" applyNumberFormat="1" applyFont="1" applyFill="1" applyBorder="1" applyAlignment="1">
      <alignment horizontal="center" vertical="center" wrapText="1"/>
    </xf>
    <xf numFmtId="39" fontId="44" fillId="7" borderId="9" xfId="3" applyNumberFormat="1" applyFont="1" applyFill="1" applyBorder="1"/>
    <xf numFmtId="39" fontId="42" fillId="7" borderId="30" xfId="3" applyNumberFormat="1" applyFont="1" applyFill="1" applyBorder="1"/>
    <xf numFmtId="43" fontId="20" fillId="7" borderId="9" xfId="1" applyFont="1" applyFill="1" applyBorder="1"/>
    <xf numFmtId="39" fontId="32" fillId="7" borderId="36" xfId="3" applyNumberFormat="1" applyFont="1" applyFill="1" applyBorder="1" applyAlignment="1">
      <alignment horizontal="center" vertical="center" wrapText="1"/>
    </xf>
    <xf numFmtId="0" fontId="34" fillId="7" borderId="9" xfId="0" applyNumberFormat="1" applyFont="1" applyFill="1" applyBorder="1"/>
    <xf numFmtId="39" fontId="26" fillId="7" borderId="6" xfId="0" applyNumberFormat="1" applyFont="1" applyFill="1" applyBorder="1"/>
    <xf numFmtId="0" fontId="46" fillId="7" borderId="9" xfId="0" applyNumberFormat="1" applyFont="1" applyFill="1" applyBorder="1"/>
    <xf numFmtId="39" fontId="42" fillId="7" borderId="36" xfId="3" applyNumberFormat="1" applyFont="1" applyFill="1" applyBorder="1" applyAlignment="1">
      <alignment horizontal="center" vertical="center" wrapText="1"/>
    </xf>
    <xf numFmtId="0" fontId="47" fillId="7" borderId="9" xfId="0" applyNumberFormat="1" applyFont="1" applyFill="1" applyBorder="1"/>
    <xf numFmtId="39" fontId="44" fillId="7" borderId="6" xfId="0" applyNumberFormat="1" applyFont="1" applyFill="1" applyBorder="1"/>
    <xf numFmtId="0" fontId="3" fillId="7" borderId="5" xfId="0" applyNumberFormat="1" applyFont="1" applyFill="1" applyBorder="1"/>
    <xf numFmtId="39" fontId="10" fillId="7" borderId="0" xfId="3" applyNumberFormat="1" applyFont="1" applyFill="1" applyBorder="1" applyProtection="1"/>
    <xf numFmtId="0" fontId="3" fillId="7" borderId="34" xfId="0" applyNumberFormat="1" applyFont="1" applyFill="1" applyBorder="1"/>
    <xf numFmtId="0" fontId="3" fillId="7" borderId="10" xfId="0" applyNumberFormat="1" applyFont="1" applyFill="1" applyBorder="1"/>
    <xf numFmtId="39" fontId="26" fillId="7" borderId="34" xfId="3" applyNumberFormat="1" applyFont="1" applyFill="1" applyBorder="1" applyProtection="1"/>
    <xf numFmtId="0" fontId="26" fillId="7" borderId="0" xfId="0" applyNumberFormat="1" applyFont="1" applyFill="1"/>
    <xf numFmtId="39" fontId="26" fillId="7" borderId="0" xfId="3" applyNumberFormat="1" applyFont="1" applyFill="1" applyAlignment="1">
      <alignment horizontal="right"/>
    </xf>
    <xf numFmtId="0" fontId="26" fillId="7" borderId="0" xfId="0" applyNumberFormat="1" applyFont="1" applyFill="1" applyAlignment="1">
      <alignment horizontal="right"/>
    </xf>
    <xf numFmtId="39" fontId="10" fillId="7" borderId="0" xfId="1" applyNumberFormat="1" applyFont="1" applyFill="1"/>
    <xf numFmtId="39" fontId="29" fillId="7" borderId="0" xfId="1" applyNumberFormat="1" applyFont="1" applyFill="1"/>
    <xf numFmtId="0" fontId="36" fillId="7" borderId="0" xfId="0" applyNumberFormat="1" applyFont="1" applyFill="1" applyAlignment="1">
      <alignment horizontal="right"/>
    </xf>
    <xf numFmtId="0" fontId="36" fillId="7" borderId="0" xfId="0" applyNumberFormat="1" applyFont="1" applyFill="1"/>
    <xf numFmtId="39" fontId="29" fillId="7" borderId="0" xfId="3" applyNumberFormat="1" applyFont="1" applyFill="1" applyAlignment="1">
      <alignment horizontal="center"/>
    </xf>
    <xf numFmtId="39" fontId="10" fillId="7" borderId="3" xfId="1" applyNumberFormat="1" applyFont="1" applyFill="1" applyBorder="1"/>
    <xf numFmtId="0" fontId="11" fillId="7" borderId="0" xfId="0" applyNumberFormat="1" applyFont="1" applyFill="1" applyAlignment="1">
      <alignment horizontal="right"/>
    </xf>
    <xf numFmtId="39" fontId="10" fillId="7" borderId="0" xfId="0" applyNumberFormat="1" applyFont="1" applyFill="1"/>
    <xf numFmtId="43" fontId="11" fillId="7" borderId="0" xfId="1" applyFont="1" applyFill="1"/>
    <xf numFmtId="43" fontId="12" fillId="7" borderId="0" xfId="1" applyFont="1" applyFill="1"/>
    <xf numFmtId="43" fontId="12" fillId="7" borderId="0" xfId="1" applyFont="1" applyFill="1" applyAlignment="1">
      <alignment horizontal="center"/>
    </xf>
    <xf numFmtId="43" fontId="12" fillId="7" borderId="0" xfId="1" applyFont="1" applyFill="1" applyAlignment="1">
      <alignment horizontal="right"/>
    </xf>
    <xf numFmtId="166" fontId="12" fillId="7" borderId="0" xfId="1" applyNumberFormat="1" applyFont="1" applyFill="1" applyAlignment="1">
      <alignment horizontal="right"/>
    </xf>
    <xf numFmtId="43" fontId="2" fillId="7" borderId="0" xfId="1" applyFont="1" applyFill="1"/>
    <xf numFmtId="43" fontId="48" fillId="7" borderId="0" xfId="1" applyFont="1" applyFill="1"/>
    <xf numFmtId="0" fontId="3" fillId="7" borderId="0" xfId="0" applyNumberFormat="1" applyFont="1" applyFill="1"/>
    <xf numFmtId="43" fontId="14" fillId="7" borderId="31" xfId="1" applyFont="1" applyFill="1" applyBorder="1"/>
    <xf numFmtId="39" fontId="49" fillId="7" borderId="30" xfId="3" applyNumberFormat="1" applyFont="1" applyFill="1" applyBorder="1"/>
    <xf numFmtId="39" fontId="26" fillId="7" borderId="0" xfId="1" applyNumberFormat="1" applyFont="1" applyFill="1"/>
    <xf numFmtId="39" fontId="32" fillId="7" borderId="0" xfId="0" applyNumberFormat="1" applyFont="1" applyFill="1"/>
    <xf numFmtId="0" fontId="25" fillId="7" borderId="0" xfId="0" applyNumberFormat="1" applyFont="1" applyFill="1" applyAlignment="1">
      <alignment horizontal="center"/>
    </xf>
    <xf numFmtId="39" fontId="13" fillId="7" borderId="0" xfId="3" applyNumberFormat="1" applyFont="1" applyFill="1"/>
    <xf numFmtId="39" fontId="50" fillId="7" borderId="6" xfId="3" applyNumberFormat="1" applyFont="1" applyFill="1" applyBorder="1"/>
    <xf numFmtId="39" fontId="51" fillId="7" borderId="6" xfId="3" applyNumberFormat="1" applyFont="1" applyFill="1" applyBorder="1"/>
    <xf numFmtId="39" fontId="52" fillId="7" borderId="6" xfId="3" applyNumberFormat="1" applyFont="1" applyFill="1" applyBorder="1"/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3" fillId="7" borderId="6" xfId="0" applyNumberFormat="1" applyFont="1" applyFill="1" applyBorder="1"/>
    <xf numFmtId="43" fontId="26" fillId="7" borderId="0" xfId="1" applyFont="1" applyFill="1" applyBorder="1"/>
    <xf numFmtId="43" fontId="44" fillId="7" borderId="0" xfId="1" applyFont="1" applyFill="1" applyBorder="1"/>
    <xf numFmtId="39" fontId="52" fillId="7" borderId="6" xfId="3" applyNumberFormat="1" applyFont="1" applyFill="1" applyBorder="1" applyProtection="1"/>
    <xf numFmtId="39" fontId="21" fillId="7" borderId="6" xfId="3" applyNumberFormat="1" applyFont="1" applyFill="1" applyBorder="1"/>
    <xf numFmtId="39" fontId="31" fillId="7" borderId="6" xfId="3" applyNumberFormat="1" applyFont="1" applyFill="1" applyBorder="1"/>
    <xf numFmtId="39" fontId="43" fillId="7" borderId="6" xfId="3" applyNumberFormat="1" applyFont="1" applyFill="1" applyBorder="1"/>
    <xf numFmtId="0" fontId="0" fillId="7" borderId="0" xfId="0" applyFill="1"/>
    <xf numFmtId="0" fontId="26" fillId="7" borderId="0" xfId="2" applyFont="1" applyFill="1" applyAlignment="1">
      <alignment horizontal="right"/>
    </xf>
    <xf numFmtId="39" fontId="26" fillId="7" borderId="0" xfId="1" applyNumberFormat="1" applyFont="1" applyFill="1" applyAlignment="1">
      <alignment horizontal="right"/>
    </xf>
    <xf numFmtId="0" fontId="53" fillId="7" borderId="0" xfId="5" applyFont="1" applyFill="1" applyAlignment="1">
      <alignment horizontal="right"/>
    </xf>
    <xf numFmtId="43" fontId="54" fillId="7" borderId="0" xfId="1" applyFont="1" applyFill="1" applyAlignment="1">
      <alignment horizontal="right"/>
    </xf>
    <xf numFmtId="0" fontId="54" fillId="7" borderId="0" xfId="3" applyFont="1" applyFill="1" applyAlignment="1">
      <alignment horizontal="right"/>
    </xf>
    <xf numFmtId="39" fontId="10" fillId="7" borderId="0" xfId="1" applyNumberFormat="1" applyFont="1" applyFill="1" applyBorder="1"/>
    <xf numFmtId="39" fontId="55" fillId="7" borderId="0" xfId="1" applyNumberFormat="1" applyFont="1" applyFill="1" applyAlignment="1">
      <alignment horizontal="right"/>
    </xf>
    <xf numFmtId="0" fontId="6" fillId="7" borderId="0" xfId="3" applyFont="1" applyFill="1" applyAlignment="1">
      <alignment horizontal="center" vertical="center" wrapText="1"/>
    </xf>
    <xf numFmtId="43" fontId="3" fillId="7" borderId="0" xfId="0" applyNumberFormat="1" applyFont="1" applyFill="1"/>
    <xf numFmtId="39" fontId="6" fillId="7" borderId="31" xfId="3" applyNumberFormat="1" applyFont="1" applyFill="1" applyBorder="1"/>
    <xf numFmtId="0" fontId="11" fillId="0" borderId="0" xfId="0" applyNumberFormat="1" applyFont="1" applyFill="1"/>
    <xf numFmtId="0" fontId="10" fillId="8" borderId="0" xfId="0" applyNumberFormat="1" applyFont="1" applyFill="1"/>
    <xf numFmtId="0" fontId="8" fillId="8" borderId="27" xfId="3" applyFont="1" applyFill="1" applyBorder="1"/>
    <xf numFmtId="0" fontId="3" fillId="8" borderId="6" xfId="3" applyFont="1" applyFill="1" applyBorder="1" applyAlignment="1">
      <alignment horizontal="center"/>
    </xf>
    <xf numFmtId="0" fontId="3" fillId="8" borderId="0" xfId="3" applyFont="1" applyFill="1" applyBorder="1" applyAlignment="1">
      <alignment horizontal="center"/>
    </xf>
    <xf numFmtId="14" fontId="3" fillId="8" borderId="10" xfId="0" applyNumberFormat="1" applyFont="1" applyFill="1" applyBorder="1" applyAlignment="1" applyProtection="1">
      <alignment horizontal="center"/>
      <protection locked="0"/>
    </xf>
    <xf numFmtId="39" fontId="8" fillId="8" borderId="27" xfId="3" applyNumberFormat="1" applyFont="1" applyFill="1" applyBorder="1"/>
    <xf numFmtId="39" fontId="3" fillId="8" borderId="6" xfId="3" applyNumberFormat="1" applyFont="1" applyFill="1" applyBorder="1" applyProtection="1"/>
    <xf numFmtId="39" fontId="10" fillId="8" borderId="6" xfId="3" quotePrefix="1" applyNumberFormat="1" applyFont="1" applyFill="1" applyBorder="1" applyAlignment="1" applyProtection="1">
      <alignment horizontal="right"/>
    </xf>
    <xf numFmtId="164" fontId="3" fillId="8" borderId="6" xfId="3" quotePrefix="1" applyNumberFormat="1" applyFont="1" applyFill="1" applyBorder="1" applyAlignment="1">
      <alignment horizontal="right"/>
    </xf>
    <xf numFmtId="39" fontId="10" fillId="8" borderId="6" xfId="3" applyNumberFormat="1" applyFont="1" applyFill="1" applyBorder="1" applyProtection="1"/>
    <xf numFmtId="39" fontId="3" fillId="8" borderId="10" xfId="3" applyNumberFormat="1" applyFont="1" applyFill="1" applyBorder="1" applyProtection="1"/>
    <xf numFmtId="39" fontId="8" fillId="8" borderId="34" xfId="3" applyNumberFormat="1" applyFont="1" applyFill="1" applyBorder="1"/>
    <xf numFmtId="164" fontId="8" fillId="8" borderId="6" xfId="3" applyNumberFormat="1" applyFont="1" applyFill="1" applyBorder="1"/>
    <xf numFmtId="43" fontId="26" fillId="8" borderId="6" xfId="1" applyFont="1" applyFill="1" applyBorder="1"/>
    <xf numFmtId="43" fontId="44" fillId="8" borderId="6" xfId="1" applyFont="1" applyFill="1" applyBorder="1"/>
    <xf numFmtId="39" fontId="26" fillId="8" borderId="6" xfId="3" applyNumberFormat="1" applyFont="1" applyFill="1" applyBorder="1"/>
    <xf numFmtId="39" fontId="44" fillId="8" borderId="6" xfId="3" applyNumberFormat="1" applyFont="1" applyFill="1" applyBorder="1"/>
    <xf numFmtId="39" fontId="10" fillId="8" borderId="6" xfId="3" applyNumberFormat="1" applyFont="1" applyFill="1" applyBorder="1"/>
    <xf numFmtId="39" fontId="3" fillId="8" borderId="6" xfId="3" applyNumberFormat="1" applyFont="1" applyFill="1" applyBorder="1"/>
    <xf numFmtId="39" fontId="26" fillId="8" borderId="34" xfId="3" applyNumberFormat="1" applyFont="1" applyFill="1" applyBorder="1" applyProtection="1"/>
    <xf numFmtId="39" fontId="10" fillId="8" borderId="10" xfId="3" applyNumberFormat="1" applyFont="1" applyFill="1" applyBorder="1" applyProtection="1"/>
    <xf numFmtId="39" fontId="3" fillId="8" borderId="15" xfId="3" applyNumberFormat="1" applyFont="1" applyFill="1" applyBorder="1" applyProtection="1"/>
    <xf numFmtId="43" fontId="11" fillId="8" borderId="0" xfId="0" applyNumberFormat="1" applyFont="1" applyFill="1"/>
    <xf numFmtId="43" fontId="10" fillId="8" borderId="6" xfId="0" applyNumberFormat="1" applyFont="1" applyFill="1" applyBorder="1"/>
    <xf numFmtId="43" fontId="10" fillId="8" borderId="1" xfId="1" applyFont="1" applyFill="1" applyBorder="1"/>
    <xf numFmtId="43" fontId="3" fillId="8" borderId="34" xfId="0" applyNumberFormat="1" applyFont="1" applyFill="1" applyBorder="1"/>
    <xf numFmtId="39" fontId="10" fillId="8" borderId="6" xfId="0" applyNumberFormat="1" applyFont="1" applyFill="1" applyBorder="1"/>
    <xf numFmtId="39" fontId="3" fillId="8" borderId="6" xfId="0" applyNumberFormat="1" applyFont="1" applyFill="1" applyBorder="1"/>
    <xf numFmtId="43" fontId="10" fillId="8" borderId="6" xfId="1" applyFont="1" applyFill="1" applyBorder="1"/>
    <xf numFmtId="39" fontId="26" fillId="8" borderId="6" xfId="0" applyNumberFormat="1" applyFont="1" applyFill="1" applyBorder="1"/>
    <xf numFmtId="39" fontId="44" fillId="8" borderId="6" xfId="0" applyNumberFormat="1" applyFont="1" applyFill="1" applyBorder="1"/>
    <xf numFmtId="39" fontId="3" fillId="8" borderId="10" xfId="0" applyNumberFormat="1" applyFont="1" applyFill="1" applyBorder="1"/>
    <xf numFmtId="0" fontId="3" fillId="8" borderId="0" xfId="0" applyNumberFormat="1" applyFont="1" applyFill="1"/>
    <xf numFmtId="0" fontId="18" fillId="0" borderId="0" xfId="0" applyFont="1" applyFill="1"/>
    <xf numFmtId="0" fontId="20" fillId="0" borderId="0" xfId="0" applyFont="1" applyFill="1"/>
    <xf numFmtId="0" fontId="20" fillId="7" borderId="0" xfId="0" applyFont="1" applyFill="1"/>
    <xf numFmtId="0" fontId="18" fillId="7" borderId="0" xfId="0" applyFont="1" applyFill="1"/>
    <xf numFmtId="0" fontId="19" fillId="7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ill="1"/>
    <xf numFmtId="39" fontId="26" fillId="0" borderId="0" xfId="1" applyNumberFormat="1" applyFont="1" applyFill="1" applyAlignment="1">
      <alignment horizontal="right"/>
    </xf>
    <xf numFmtId="0" fontId="26" fillId="0" borderId="0" xfId="2" applyFont="1" applyFill="1" applyAlignment="1">
      <alignment horizontal="right"/>
    </xf>
    <xf numFmtId="43" fontId="26" fillId="0" borderId="0" xfId="1" applyFont="1" applyFill="1"/>
    <xf numFmtId="0" fontId="53" fillId="0" borderId="0" xfId="5" applyFont="1" applyAlignment="1">
      <alignment horizontal="left"/>
    </xf>
    <xf numFmtId="0" fontId="3" fillId="0" borderId="0" xfId="5"/>
    <xf numFmtId="39" fontId="10" fillId="0" borderId="0" xfId="5" applyNumberFormat="1" applyFont="1"/>
    <xf numFmtId="39" fontId="3" fillId="0" borderId="0" xfId="5" applyNumberFormat="1"/>
    <xf numFmtId="39" fontId="10" fillId="7" borderId="0" xfId="5" applyNumberFormat="1" applyFont="1" applyFill="1"/>
    <xf numFmtId="4" fontId="3" fillId="0" borderId="0" xfId="5" applyNumberFormat="1"/>
    <xf numFmtId="10" fontId="3" fillId="0" borderId="0" xfId="5" applyNumberFormat="1" applyAlignment="1">
      <alignment horizontal="center"/>
    </xf>
    <xf numFmtId="0" fontId="3" fillId="0" borderId="0" xfId="5" applyAlignment="1">
      <alignment horizontal="center"/>
    </xf>
    <xf numFmtId="43" fontId="56" fillId="0" borderId="0" xfId="1" applyFont="1" applyFill="1"/>
    <xf numFmtId="43" fontId="27" fillId="0" borderId="0" xfId="1" applyFont="1" applyFill="1"/>
    <xf numFmtId="43" fontId="17" fillId="0" borderId="0" xfId="1" applyFont="1" applyFill="1"/>
    <xf numFmtId="43" fontId="11" fillId="0" borderId="0" xfId="1" applyFont="1" applyFill="1" applyAlignment="1">
      <alignment horizontal="right"/>
    </xf>
    <xf numFmtId="43" fontId="56" fillId="7" borderId="0" xfId="1" applyFont="1" applyFill="1"/>
    <xf numFmtId="43" fontId="19" fillId="7" borderId="0" xfId="1" applyFont="1" applyFill="1"/>
    <xf numFmtId="43" fontId="19" fillId="0" borderId="0" xfId="1" applyFont="1" applyFill="1" applyAlignment="1">
      <alignment horizontal="right"/>
    </xf>
    <xf numFmtId="43" fontId="56" fillId="0" borderId="0" xfId="1" applyFont="1" applyFill="1" applyAlignment="1">
      <alignment horizontal="center"/>
    </xf>
    <xf numFmtId="39" fontId="25" fillId="0" borderId="0" xfId="0" applyNumberFormat="1" applyFont="1" applyFill="1"/>
    <xf numFmtId="39" fontId="29" fillId="0" borderId="0" xfId="0" applyNumberFormat="1" applyFont="1" applyFill="1"/>
    <xf numFmtId="0" fontId="24" fillId="0" borderId="0" xfId="0" applyFont="1" applyFill="1" applyAlignment="1">
      <alignment horizontal="right"/>
    </xf>
    <xf numFmtId="165" fontId="3" fillId="0" borderId="0" xfId="5" applyNumberFormat="1" applyAlignment="1">
      <alignment horizontal="center"/>
    </xf>
    <xf numFmtId="0" fontId="3" fillId="0" borderId="0" xfId="5" applyAlignment="1">
      <alignment horizontal="right"/>
    </xf>
    <xf numFmtId="0" fontId="11" fillId="0" borderId="0" xfId="5" applyFont="1"/>
    <xf numFmtId="0" fontId="10" fillId="0" borderId="0" xfId="5" applyFont="1"/>
    <xf numFmtId="39" fontId="26" fillId="0" borderId="0" xfId="5" applyNumberFormat="1" applyFont="1"/>
    <xf numFmtId="0" fontId="26" fillId="0" borderId="0" xfId="5" applyFont="1"/>
    <xf numFmtId="0" fontId="11" fillId="0" borderId="0" xfId="5" applyFont="1" applyAlignment="1">
      <alignment horizontal="right"/>
    </xf>
    <xf numFmtId="4" fontId="10" fillId="0" borderId="0" xfId="5" applyNumberFormat="1" applyFont="1"/>
    <xf numFmtId="165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right"/>
    </xf>
    <xf numFmtId="0" fontId="10" fillId="0" borderId="0" xfId="5" applyFont="1" applyAlignment="1">
      <alignment horizontal="center"/>
    </xf>
    <xf numFmtId="0" fontId="10" fillId="7" borderId="0" xfId="5" applyFont="1" applyFill="1"/>
    <xf numFmtId="39" fontId="25" fillId="0" borderId="0" xfId="5" applyNumberFormat="1" applyFont="1"/>
    <xf numFmtId="0" fontId="29" fillId="0" borderId="0" xfId="5" applyFont="1"/>
    <xf numFmtId="0" fontId="24" fillId="0" borderId="0" xfId="5" applyFont="1" applyAlignment="1">
      <alignment horizontal="right"/>
    </xf>
    <xf numFmtId="165" fontId="23" fillId="0" borderId="0" xfId="5" applyNumberFormat="1" applyFont="1" applyAlignment="1">
      <alignment horizontal="right"/>
    </xf>
    <xf numFmtId="0" fontId="18" fillId="7" borderId="0" xfId="0" applyFont="1" applyFill="1" applyAlignment="1">
      <alignment horizontal="center"/>
    </xf>
    <xf numFmtId="0" fontId="30" fillId="7" borderId="0" xfId="0" applyFont="1" applyFill="1" applyAlignment="1">
      <alignment horizontal="center"/>
    </xf>
    <xf numFmtId="39" fontId="3" fillId="7" borderId="0" xfId="5" applyNumberFormat="1" applyFill="1"/>
    <xf numFmtId="4" fontId="3" fillId="7" borderId="0" xfId="5" applyNumberFormat="1" applyFill="1"/>
    <xf numFmtId="10" fontId="3" fillId="7" borderId="0" xfId="5" applyNumberFormat="1" applyFill="1" applyAlignment="1">
      <alignment horizontal="center"/>
    </xf>
    <xf numFmtId="0" fontId="3" fillId="7" borderId="0" xfId="5" applyFill="1"/>
    <xf numFmtId="0" fontId="3" fillId="7" borderId="0" xfId="5" applyFill="1" applyAlignment="1">
      <alignment horizontal="center"/>
    </xf>
    <xf numFmtId="39" fontId="18" fillId="7" borderId="0" xfId="0" applyNumberFormat="1" applyFont="1" applyFill="1"/>
    <xf numFmtId="0" fontId="49" fillId="7" borderId="0" xfId="0" applyFont="1" applyFill="1"/>
    <xf numFmtId="43" fontId="49" fillId="7" borderId="0" xfId="0" applyNumberFormat="1" applyFont="1" applyFill="1"/>
    <xf numFmtId="0" fontId="55" fillId="7" borderId="0" xfId="0" applyFont="1" applyFill="1"/>
    <xf numFmtId="39" fontId="49" fillId="7" borderId="0" xfId="0" applyNumberFormat="1" applyFont="1" applyFill="1"/>
    <xf numFmtId="0" fontId="49" fillId="7" borderId="0" xfId="0" applyFont="1" applyFill="1" applyAlignment="1">
      <alignment horizontal="center"/>
    </xf>
    <xf numFmtId="0" fontId="6" fillId="7" borderId="0" xfId="0" applyFont="1" applyFill="1"/>
    <xf numFmtId="43" fontId="55" fillId="7" borderId="0" xfId="1" applyFont="1" applyFill="1"/>
    <xf numFmtId="39" fontId="55" fillId="7" borderId="0" xfId="5" applyNumberFormat="1" applyFont="1" applyFill="1"/>
    <xf numFmtId="43" fontId="55" fillId="7" borderId="0" xfId="1" applyFont="1" applyFill="1" applyAlignment="1">
      <alignment horizontal="center"/>
    </xf>
    <xf numFmtId="0" fontId="57" fillId="7" borderId="0" xfId="0" applyFont="1" applyFill="1"/>
    <xf numFmtId="39" fontId="58" fillId="7" borderId="0" xfId="0" applyNumberFormat="1" applyFont="1" applyFill="1"/>
    <xf numFmtId="43" fontId="59" fillId="7" borderId="0" xfId="1" applyFont="1" applyFill="1"/>
    <xf numFmtId="39" fontId="57" fillId="7" borderId="0" xfId="0" applyNumberFormat="1" applyFont="1" applyFill="1"/>
    <xf numFmtId="0" fontId="57" fillId="7" borderId="0" xfId="0" applyFont="1" applyFill="1" applyAlignment="1">
      <alignment horizontal="center"/>
    </xf>
    <xf numFmtId="0" fontId="6" fillId="0" borderId="0" xfId="5" applyFont="1"/>
    <xf numFmtId="39" fontId="6" fillId="0" borderId="31" xfId="5" applyNumberFormat="1" applyFont="1" applyBorder="1"/>
    <xf numFmtId="39" fontId="6" fillId="0" borderId="30" xfId="5" applyNumberFormat="1" applyFont="1" applyBorder="1"/>
    <xf numFmtId="39" fontId="14" fillId="7" borderId="30" xfId="5" applyNumberFormat="1" applyFont="1" applyFill="1" applyBorder="1"/>
    <xf numFmtId="39" fontId="14" fillId="0" borderId="30" xfId="5" applyNumberFormat="1" applyFont="1" applyBorder="1"/>
    <xf numFmtId="39" fontId="6" fillId="0" borderId="29" xfId="5" applyNumberFormat="1" applyFont="1" applyBorder="1"/>
    <xf numFmtId="43" fontId="3" fillId="0" borderId="2" xfId="1" applyFont="1" applyFill="1" applyBorder="1"/>
    <xf numFmtId="39" fontId="6" fillId="0" borderId="16" xfId="5" applyNumberFormat="1" applyFont="1" applyBorder="1"/>
    <xf numFmtId="39" fontId="6" fillId="0" borderId="33" xfId="5" applyNumberFormat="1" applyFont="1" applyBorder="1"/>
    <xf numFmtId="39" fontId="9" fillId="0" borderId="30" xfId="5" applyNumberFormat="1" applyFont="1" applyBorder="1"/>
    <xf numFmtId="39" fontId="10" fillId="7" borderId="30" xfId="5" applyNumberFormat="1" applyFont="1" applyFill="1" applyBorder="1"/>
    <xf numFmtId="164" fontId="6" fillId="0" borderId="30" xfId="5" applyNumberFormat="1" applyFont="1" applyBorder="1"/>
    <xf numFmtId="39" fontId="6" fillId="0" borderId="32" xfId="5" applyNumberFormat="1" applyFont="1" applyBorder="1"/>
    <xf numFmtId="39" fontId="32" fillId="7" borderId="30" xfId="5" applyNumberFormat="1" applyFont="1" applyFill="1" applyBorder="1"/>
    <xf numFmtId="164" fontId="6" fillId="0" borderId="30" xfId="5" applyNumberFormat="1" applyFont="1" applyBorder="1" applyAlignment="1">
      <alignment horizontal="right"/>
    </xf>
    <xf numFmtId="39" fontId="6" fillId="7" borderId="30" xfId="5" quotePrefix="1" applyNumberFormat="1" applyFont="1" applyFill="1" applyBorder="1" applyAlignment="1">
      <alignment horizontal="right"/>
    </xf>
    <xf numFmtId="37" fontId="6" fillId="0" borderId="29" xfId="5" applyNumberFormat="1" applyFont="1" applyBorder="1"/>
    <xf numFmtId="0" fontId="6" fillId="0" borderId="41" xfId="5" applyFont="1" applyBorder="1"/>
    <xf numFmtId="0" fontId="6" fillId="0" borderId="40" xfId="5" applyFont="1" applyBorder="1" applyAlignment="1">
      <alignment horizontal="center"/>
    </xf>
    <xf numFmtId="0" fontId="6" fillId="0" borderId="32" xfId="5" applyFont="1" applyBorder="1"/>
    <xf numFmtId="0" fontId="6" fillId="7" borderId="0" xfId="5" applyFont="1" applyFill="1"/>
    <xf numFmtId="0" fontId="18" fillId="0" borderId="15" xfId="0" applyFont="1" applyFill="1" applyBorder="1"/>
    <xf numFmtId="0" fontId="20" fillId="0" borderId="11" xfId="0" applyFont="1" applyFill="1" applyBorder="1"/>
    <xf numFmtId="0" fontId="18" fillId="0" borderId="9" xfId="0" applyFont="1" applyFill="1" applyBorder="1"/>
    <xf numFmtId="0" fontId="20" fillId="7" borderId="9" xfId="0" applyFont="1" applyFill="1" applyBorder="1"/>
    <xf numFmtId="0" fontId="20" fillId="0" borderId="9" xfId="0" applyFont="1" applyFill="1" applyBorder="1"/>
    <xf numFmtId="0" fontId="18" fillId="0" borderId="28" xfId="0" applyFont="1" applyFill="1" applyBorder="1"/>
    <xf numFmtId="0" fontId="3" fillId="0" borderId="35" xfId="5" applyBorder="1"/>
    <xf numFmtId="0" fontId="14" fillId="7" borderId="9" xfId="5" applyFont="1" applyFill="1" applyBorder="1" applyAlignment="1">
      <alignment horizontal="center" vertical="center" wrapText="1"/>
    </xf>
    <xf numFmtId="0" fontId="19" fillId="0" borderId="27" xfId="0" applyFont="1" applyFill="1" applyBorder="1"/>
    <xf numFmtId="39" fontId="3" fillId="0" borderId="21" xfId="5" applyNumberFormat="1" applyBorder="1"/>
    <xf numFmtId="39" fontId="3" fillId="0" borderId="35" xfId="5" applyNumberFormat="1" applyBorder="1"/>
    <xf numFmtId="39" fontId="10" fillId="7" borderId="35" xfId="5" applyNumberFormat="1" applyFont="1" applyFill="1" applyBorder="1"/>
    <xf numFmtId="39" fontId="3" fillId="0" borderId="9" xfId="5" applyNumberFormat="1" applyBorder="1"/>
    <xf numFmtId="4" fontId="3" fillId="0" borderId="9" xfId="5" applyNumberFormat="1" applyBorder="1"/>
    <xf numFmtId="39" fontId="10" fillId="7" borderId="9" xfId="5" applyNumberFormat="1" applyFont="1" applyFill="1" applyBorder="1"/>
    <xf numFmtId="39" fontId="3" fillId="0" borderId="4" xfId="5" applyNumberFormat="1" applyBorder="1"/>
    <xf numFmtId="39" fontId="3" fillId="0" borderId="11" xfId="5" applyNumberFormat="1" applyBorder="1"/>
    <xf numFmtId="10" fontId="3" fillId="0" borderId="9" xfId="5" applyNumberFormat="1" applyBorder="1" applyAlignment="1">
      <alignment horizontal="right"/>
    </xf>
    <xf numFmtId="39" fontId="3" fillId="7" borderId="9" xfId="5" applyNumberFormat="1" applyFill="1" applyBorder="1"/>
    <xf numFmtId="39" fontId="3" fillId="0" borderId="28" xfId="5" applyNumberFormat="1" applyBorder="1"/>
    <xf numFmtId="0" fontId="3" fillId="0" borderId="4" xfId="5" applyBorder="1"/>
    <xf numFmtId="0" fontId="3" fillId="0" borderId="39" xfId="5" applyBorder="1"/>
    <xf numFmtId="0" fontId="3" fillId="0" borderId="4" xfId="5" applyBorder="1" applyAlignment="1">
      <alignment horizontal="center"/>
    </xf>
    <xf numFmtId="0" fontId="3" fillId="0" borderId="38" xfId="5" applyBorder="1"/>
    <xf numFmtId="0" fontId="3" fillId="0" borderId="0" xfId="0" applyFont="1" applyFill="1"/>
    <xf numFmtId="0" fontId="3" fillId="0" borderId="46" xfId="0" applyFont="1" applyFill="1" applyBorder="1"/>
    <xf numFmtId="0" fontId="10" fillId="0" borderId="6" xfId="0" applyFont="1" applyFill="1" applyBorder="1"/>
    <xf numFmtId="39" fontId="3" fillId="0" borderId="15" xfId="5" applyNumberFormat="1" applyBorder="1"/>
    <xf numFmtId="39" fontId="10" fillId="7" borderId="6" xfId="5" applyNumberFormat="1" applyFont="1" applyFill="1" applyBorder="1"/>
    <xf numFmtId="39" fontId="3" fillId="0" borderId="6" xfId="5" applyNumberFormat="1" applyBorder="1"/>
    <xf numFmtId="164" fontId="8" fillId="0" borderId="6" xfId="5" applyNumberFormat="1" applyFont="1" applyBorder="1"/>
    <xf numFmtId="39" fontId="8" fillId="0" borderId="34" xfId="5" applyNumberFormat="1" applyFont="1" applyBorder="1"/>
    <xf numFmtId="39" fontId="3" fillId="0" borderId="10" xfId="5" applyNumberFormat="1" applyBorder="1"/>
    <xf numFmtId="164" fontId="3" fillId="0" borderId="6" xfId="5" quotePrefix="1" applyNumberFormat="1" applyBorder="1" applyAlignment="1">
      <alignment horizontal="right"/>
    </xf>
    <xf numFmtId="39" fontId="3" fillId="7" borderId="6" xfId="5" quotePrefix="1" applyNumberFormat="1" applyFill="1" applyBorder="1" applyAlignment="1">
      <alignment horizontal="right"/>
    </xf>
    <xf numFmtId="39" fontId="8" fillId="0" borderId="27" xfId="5" applyNumberFormat="1" applyFont="1" applyBorder="1"/>
    <xf numFmtId="0" fontId="3" fillId="0" borderId="0" xfId="0" applyFont="1" applyFill="1" applyAlignment="1" applyProtection="1">
      <alignment horizontal="center"/>
      <protection locked="0"/>
    </xf>
    <xf numFmtId="0" fontId="3" fillId="0" borderId="6" xfId="5" applyBorder="1" applyAlignment="1">
      <alignment horizontal="center"/>
    </xf>
    <xf numFmtId="0" fontId="8" fillId="0" borderId="27" xfId="5" applyFont="1" applyBorder="1"/>
    <xf numFmtId="0" fontId="10" fillId="7" borderId="0" xfId="0" applyFont="1" applyFill="1"/>
    <xf numFmtId="43" fontId="3" fillId="0" borderId="15" xfId="1" applyFont="1" applyFill="1" applyBorder="1"/>
    <xf numFmtId="43" fontId="3" fillId="0" borderId="1" xfId="1" applyFont="1" applyFill="1" applyBorder="1"/>
    <xf numFmtId="39" fontId="60" fillId="0" borderId="6" xfId="5" applyNumberFormat="1" applyFont="1" applyBorder="1"/>
    <xf numFmtId="14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39" fontId="55" fillId="0" borderId="0" xfId="5" applyNumberFormat="1" applyFont="1"/>
    <xf numFmtId="0" fontId="3" fillId="0" borderId="15" xfId="0" applyFont="1" applyFill="1" applyBorder="1"/>
    <xf numFmtId="0" fontId="18" fillId="0" borderId="21" xfId="0" applyFont="1" applyFill="1" applyBorder="1"/>
    <xf numFmtId="0" fontId="18" fillId="7" borderId="9" xfId="0" applyFont="1" applyFill="1" applyBorder="1"/>
    <xf numFmtId="0" fontId="20" fillId="7" borderId="6" xfId="0" applyFont="1" applyFill="1" applyBorder="1"/>
    <xf numFmtId="39" fontId="3" fillId="0" borderId="18" xfId="5" applyNumberFormat="1" applyBorder="1"/>
    <xf numFmtId="4" fontId="60" fillId="0" borderId="1" xfId="5" applyNumberFormat="1" applyFont="1" applyBorder="1"/>
    <xf numFmtId="4" fontId="3" fillId="0" borderId="1" xfId="5" applyNumberFormat="1" applyBorder="1"/>
    <xf numFmtId="39" fontId="3" fillId="0" borderId="34" xfId="5" applyNumberFormat="1" applyBorder="1"/>
    <xf numFmtId="10" fontId="3" fillId="0" borderId="6" xfId="5" applyNumberFormat="1" applyBorder="1" applyAlignment="1">
      <alignment horizontal="right"/>
    </xf>
    <xf numFmtId="39" fontId="3" fillId="7" borderId="6" xfId="5" applyNumberFormat="1" applyFill="1" applyBorder="1"/>
    <xf numFmtId="39" fontId="3" fillId="0" borderId="27" xfId="5" applyNumberFormat="1" applyBorder="1"/>
    <xf numFmtId="14" fontId="3" fillId="0" borderId="0" xfId="5" applyNumberFormat="1"/>
    <xf numFmtId="14" fontId="3" fillId="0" borderId="10" xfId="5" applyNumberFormat="1" applyBorder="1"/>
    <xf numFmtId="0" fontId="7" fillId="0" borderId="27" xfId="5" applyFont="1" applyBorder="1" applyAlignment="1">
      <alignment wrapText="1"/>
    </xf>
    <xf numFmtId="0" fontId="21" fillId="7" borderId="0" xfId="5" applyFont="1" applyFill="1" applyAlignment="1">
      <alignment horizontal="center" vertical="center" wrapText="1"/>
    </xf>
    <xf numFmtId="0" fontId="21" fillId="7" borderId="44" xfId="5" applyFont="1" applyFill="1" applyBorder="1" applyAlignment="1">
      <alignment horizontal="center" vertical="center" wrapText="1"/>
    </xf>
    <xf numFmtId="39" fontId="21" fillId="7" borderId="10" xfId="5" applyNumberFormat="1" applyFont="1" applyFill="1" applyBorder="1" applyAlignment="1">
      <alignment horizontal="center" vertical="center" wrapText="1"/>
    </xf>
    <xf numFmtId="4" fontId="21" fillId="7" borderId="6" xfId="5" applyNumberFormat="1" applyFont="1" applyFill="1" applyBorder="1" applyAlignment="1">
      <alignment horizontal="center" vertical="center" wrapText="1"/>
    </xf>
    <xf numFmtId="39" fontId="21" fillId="7" borderId="6" xfId="5" applyNumberFormat="1" applyFont="1" applyFill="1" applyBorder="1" applyAlignment="1">
      <alignment horizontal="center" vertical="center" wrapText="1"/>
    </xf>
    <xf numFmtId="39" fontId="21" fillId="0" borderId="6" xfId="5" applyNumberFormat="1" applyFont="1" applyBorder="1" applyAlignment="1">
      <alignment horizontal="center" vertical="center" wrapText="1"/>
    </xf>
    <xf numFmtId="39" fontId="22" fillId="7" borderId="34" xfId="5" applyNumberFormat="1" applyFont="1" applyFill="1" applyBorder="1" applyAlignment="1">
      <alignment horizontal="center" vertical="center" wrapText="1"/>
    </xf>
    <xf numFmtId="39" fontId="22" fillId="0" borderId="42" xfId="5" applyNumberFormat="1" applyFont="1" applyBorder="1" applyAlignment="1">
      <alignment horizontal="center" vertical="center" wrapText="1"/>
    </xf>
    <xf numFmtId="39" fontId="21" fillId="7" borderId="21" xfId="5" applyNumberFormat="1" applyFont="1" applyFill="1" applyBorder="1" applyAlignment="1">
      <alignment horizontal="center" vertical="center" wrapText="1"/>
    </xf>
    <xf numFmtId="39" fontId="21" fillId="7" borderId="18" xfId="5" applyNumberFormat="1" applyFont="1" applyFill="1" applyBorder="1" applyAlignment="1">
      <alignment horizontal="center" vertical="center" wrapText="1"/>
    </xf>
    <xf numFmtId="39" fontId="21" fillId="7" borderId="9" xfId="5" applyNumberFormat="1" applyFont="1" applyFill="1" applyBorder="1" applyAlignment="1">
      <alignment horizontal="center" vertical="center" wrapText="1"/>
    </xf>
    <xf numFmtId="4" fontId="61" fillId="7" borderId="1" xfId="5" applyNumberFormat="1" applyFont="1" applyFill="1" applyBorder="1" applyAlignment="1">
      <alignment horizontal="center" vertical="center" wrapText="1"/>
    </xf>
    <xf numFmtId="4" fontId="21" fillId="7" borderId="1" xfId="5" applyNumberFormat="1" applyFont="1" applyFill="1" applyBorder="1" applyAlignment="1">
      <alignment horizontal="center" vertical="center" wrapText="1"/>
    </xf>
    <xf numFmtId="39" fontId="52" fillId="7" borderId="6" xfId="5" applyNumberFormat="1" applyFont="1" applyFill="1" applyBorder="1" applyAlignment="1">
      <alignment horizontal="center" vertical="center" wrapText="1"/>
    </xf>
    <xf numFmtId="39" fontId="21" fillId="7" borderId="0" xfId="5" applyNumberFormat="1" applyFont="1" applyFill="1" applyAlignment="1">
      <alignment horizontal="center" vertical="center" wrapText="1"/>
    </xf>
    <xf numFmtId="0" fontId="21" fillId="7" borderId="9" xfId="5" applyFont="1" applyFill="1" applyBorder="1" applyAlignment="1">
      <alignment horizontal="center" vertical="center" wrapText="1"/>
    </xf>
    <xf numFmtId="0" fontId="21" fillId="7" borderId="6" xfId="5" applyFont="1" applyFill="1" applyBorder="1" applyAlignment="1">
      <alignment horizontal="center" vertical="center" wrapText="1"/>
    </xf>
    <xf numFmtId="10" fontId="21" fillId="7" borderId="6" xfId="5" applyNumberFormat="1" applyFont="1" applyFill="1" applyBorder="1" applyAlignment="1">
      <alignment horizontal="center" vertical="center" wrapText="1"/>
    </xf>
    <xf numFmtId="39" fontId="22" fillId="7" borderId="6" xfId="5" applyNumberFormat="1" applyFont="1" applyFill="1" applyBorder="1" applyAlignment="1">
      <alignment horizontal="center" vertical="center" wrapText="1"/>
    </xf>
    <xf numFmtId="39" fontId="21" fillId="7" borderId="27" xfId="5" applyNumberFormat="1" applyFont="1" applyFill="1" applyBorder="1" applyAlignment="1">
      <alignment horizontal="center" vertical="center" wrapText="1"/>
    </xf>
    <xf numFmtId="0" fontId="21" fillId="7" borderId="10" xfId="5" applyFont="1" applyFill="1" applyBorder="1" applyAlignment="1">
      <alignment horizontal="center" vertical="center" wrapText="1"/>
    </xf>
    <xf numFmtId="0" fontId="21" fillId="7" borderId="27" xfId="5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6" fillId="5" borderId="37" xfId="5" applyFont="1" applyFill="1" applyBorder="1" applyAlignment="1">
      <alignment horizontal="center" vertical="center" wrapText="1"/>
    </xf>
    <xf numFmtId="0" fontId="6" fillId="3" borderId="36" xfId="5" applyFont="1" applyFill="1" applyBorder="1" applyAlignment="1">
      <alignment horizontal="center" vertical="center" wrapText="1"/>
    </xf>
    <xf numFmtId="0" fontId="6" fillId="4" borderId="26" xfId="5" applyFont="1" applyFill="1" applyBorder="1" applyAlignment="1">
      <alignment horizontal="center" vertical="center" wrapText="1"/>
    </xf>
    <xf numFmtId="39" fontId="6" fillId="3" borderId="37" xfId="5" applyNumberFormat="1" applyFont="1" applyFill="1" applyBorder="1" applyAlignment="1">
      <alignment horizontal="center" vertical="center" wrapText="1"/>
    </xf>
    <xf numFmtId="4" fontId="6" fillId="3" borderId="36" xfId="5" applyNumberFormat="1" applyFont="1" applyFill="1" applyBorder="1" applyAlignment="1">
      <alignment horizontal="center" vertical="center" wrapText="1"/>
    </xf>
    <xf numFmtId="39" fontId="6" fillId="3" borderId="36" xfId="5" applyNumberFormat="1" applyFont="1" applyFill="1" applyBorder="1" applyAlignment="1">
      <alignment horizontal="center" vertical="center" wrapText="1"/>
    </xf>
    <xf numFmtId="39" fontId="14" fillId="7" borderId="36" xfId="5" applyNumberFormat="1" applyFont="1" applyFill="1" applyBorder="1" applyAlignment="1">
      <alignment horizontal="center" vertical="center" wrapText="1"/>
    </xf>
    <xf numFmtId="39" fontId="6" fillId="4" borderId="36" xfId="5" applyNumberFormat="1" applyFont="1" applyFill="1" applyBorder="1" applyAlignment="1">
      <alignment horizontal="center" vertical="center" wrapText="1"/>
    </xf>
    <xf numFmtId="0" fontId="14" fillId="7" borderId="36" xfId="5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39" fontId="6" fillId="5" borderId="20" xfId="5" applyNumberFormat="1" applyFont="1" applyFill="1" applyBorder="1" applyAlignment="1">
      <alignment horizontal="center" vertical="center" wrapText="1"/>
    </xf>
    <xf numFmtId="39" fontId="6" fillId="0" borderId="8" xfId="5" applyNumberFormat="1" applyFont="1" applyBorder="1" applyAlignment="1">
      <alignment horizontal="center" vertical="center" wrapText="1"/>
    </xf>
    <xf numFmtId="39" fontId="14" fillId="7" borderId="2" xfId="5" applyNumberFormat="1" applyFont="1" applyFill="1" applyBorder="1" applyAlignment="1">
      <alignment horizontal="center" vertical="center" wrapText="1"/>
    </xf>
    <xf numFmtId="39" fontId="6" fillId="0" borderId="7" xfId="5" applyNumberFormat="1" applyFont="1" applyBorder="1" applyAlignment="1">
      <alignment horizontal="center" vertical="center" wrapText="1"/>
    </xf>
    <xf numFmtId="4" fontId="62" fillId="0" borderId="7" xfId="5" applyNumberFormat="1" applyFont="1" applyBorder="1" applyAlignment="1">
      <alignment horizontal="center" vertical="center" wrapText="1"/>
    </xf>
    <xf numFmtId="4" fontId="6" fillId="0" borderId="7" xfId="5" applyNumberFormat="1" applyFont="1" applyBorder="1" applyAlignment="1">
      <alignment horizontal="center" vertical="center" wrapText="1"/>
    </xf>
    <xf numFmtId="39" fontId="10" fillId="7" borderId="7" xfId="5" applyNumberFormat="1" applyFont="1" applyFill="1" applyBorder="1" applyAlignment="1">
      <alignment horizontal="center" vertical="center" wrapText="1"/>
    </xf>
    <xf numFmtId="39" fontId="14" fillId="7" borderId="7" xfId="5" applyNumberFormat="1" applyFont="1" applyFill="1" applyBorder="1" applyAlignment="1">
      <alignment horizontal="center" vertical="center" wrapText="1"/>
    </xf>
    <xf numFmtId="39" fontId="6" fillId="0" borderId="22" xfId="5" applyNumberFormat="1" applyFont="1" applyBorder="1" applyAlignment="1">
      <alignment horizontal="center" vertical="center" wrapText="1"/>
    </xf>
    <xf numFmtId="10" fontId="6" fillId="0" borderId="7" xfId="5" applyNumberFormat="1" applyFont="1" applyBorder="1" applyAlignment="1">
      <alignment horizontal="center" vertical="center" wrapText="1"/>
    </xf>
    <xf numFmtId="39" fontId="6" fillId="7" borderId="7" xfId="5" applyNumberFormat="1" applyFont="1" applyFill="1" applyBorder="1" applyAlignment="1">
      <alignment horizontal="center" vertical="center" wrapText="1"/>
    </xf>
    <xf numFmtId="39" fontId="6" fillId="0" borderId="26" xfId="5" applyNumberFormat="1" applyFont="1" applyBorder="1" applyAlignment="1">
      <alignment horizontal="center" vertical="center" wrapText="1"/>
    </xf>
    <xf numFmtId="0" fontId="6" fillId="0" borderId="47" xfId="5" applyFont="1" applyBorder="1" applyAlignment="1">
      <alignment horizontal="center" vertical="center" wrapText="1"/>
    </xf>
    <xf numFmtId="0" fontId="6" fillId="0" borderId="37" xfId="5" applyFont="1" applyBorder="1" applyAlignment="1">
      <alignment horizontal="center" vertical="center" wrapText="1"/>
    </xf>
    <xf numFmtId="0" fontId="6" fillId="0" borderId="36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14" fillId="7" borderId="0" xfId="5" applyFont="1" applyFill="1" applyAlignment="1">
      <alignment horizontal="center" vertical="center" wrapText="1"/>
    </xf>
    <xf numFmtId="0" fontId="17" fillId="0" borderId="0" xfId="0" applyFont="1" applyFill="1"/>
    <xf numFmtId="39" fontId="10" fillId="0" borderId="0" xfId="5" applyNumberFormat="1" applyFont="1" applyAlignment="1">
      <alignment horizontal="center"/>
    </xf>
    <xf numFmtId="39" fontId="3" fillId="0" borderId="0" xfId="5" applyNumberFormat="1" applyAlignment="1">
      <alignment horizontal="center"/>
    </xf>
    <xf numFmtId="39" fontId="10" fillId="7" borderId="0" xfId="5" applyNumberFormat="1" applyFont="1" applyFill="1" applyAlignment="1">
      <alignment horizontal="center"/>
    </xf>
    <xf numFmtId="4" fontId="3" fillId="0" borderId="0" xfId="5" applyNumberFormat="1" applyAlignment="1">
      <alignment horizontal="center"/>
    </xf>
    <xf numFmtId="39" fontId="3" fillId="7" borderId="0" xfId="5" applyNumberForma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5" fillId="7" borderId="0" xfId="5" applyFont="1" applyFill="1"/>
    <xf numFmtId="0" fontId="5" fillId="0" borderId="0" xfId="5" applyFont="1"/>
    <xf numFmtId="0" fontId="5" fillId="7" borderId="0" xfId="5" applyFont="1" applyFill="1"/>
    <xf numFmtId="0" fontId="63" fillId="7" borderId="0" xfId="5" applyFont="1" applyFill="1"/>
    <xf numFmtId="0" fontId="5" fillId="0" borderId="0" xfId="5" applyFont="1" applyAlignment="1">
      <alignment horizontal="center"/>
    </xf>
    <xf numFmtId="43" fontId="18" fillId="7" borderId="0" xfId="0" applyNumberFormat="1" applyFont="1" applyFill="1"/>
    <xf numFmtId="0" fontId="3" fillId="9" borderId="0" xfId="0" applyFont="1" applyFill="1"/>
    <xf numFmtId="0" fontId="17" fillId="6" borderId="0" xfId="0" applyFont="1" applyFill="1" applyAlignment="1">
      <alignment horizontal="center"/>
    </xf>
    <xf numFmtId="0" fontId="37" fillId="0" borderId="0" xfId="0" applyFont="1" applyFill="1"/>
    <xf numFmtId="43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9" fontId="25" fillId="7" borderId="0" xfId="5" applyNumberFormat="1" applyFont="1" applyFill="1"/>
    <xf numFmtId="0" fontId="26" fillId="7" borderId="0" xfId="5" applyFont="1" applyFill="1"/>
    <xf numFmtId="39" fontId="26" fillId="7" borderId="0" xfId="5" applyNumberFormat="1" applyFont="1" applyFill="1"/>
    <xf numFmtId="43" fontId="37" fillId="7" borderId="0" xfId="0" applyNumberFormat="1" applyFont="1" applyFill="1"/>
    <xf numFmtId="39" fontId="21" fillId="0" borderId="42" xfId="5" applyNumberFormat="1" applyFont="1" applyBorder="1" applyAlignment="1">
      <alignment horizontal="center" vertical="center" wrapText="1"/>
    </xf>
    <xf numFmtId="39" fontId="21" fillId="7" borderId="34" xfId="5" applyNumberFormat="1" applyFont="1" applyFill="1" applyBorder="1" applyAlignment="1">
      <alignment horizontal="center" vertical="center" wrapText="1"/>
    </xf>
    <xf numFmtId="43" fontId="27" fillId="7" borderId="0" xfId="1" applyFont="1" applyFill="1"/>
    <xf numFmtId="43" fontId="17" fillId="7" borderId="0" xfId="1" applyFont="1" applyFill="1"/>
    <xf numFmtId="0" fontId="24" fillId="7" borderId="0" xfId="5" applyFont="1" applyFill="1"/>
    <xf numFmtId="0" fontId="11" fillId="7" borderId="0" xfId="5" applyFont="1" applyFill="1"/>
    <xf numFmtId="0" fontId="25" fillId="7" borderId="0" xfId="5" applyFont="1" applyFill="1"/>
    <xf numFmtId="0" fontId="29" fillId="7" borderId="0" xfId="5" applyFont="1" applyFill="1"/>
    <xf numFmtId="39" fontId="11" fillId="7" borderId="0" xfId="0" applyNumberFormat="1" applyFont="1" applyFill="1"/>
    <xf numFmtId="0" fontId="8" fillId="0" borderId="27" xfId="5" applyFont="1" applyFill="1" applyBorder="1"/>
    <xf numFmtId="0" fontId="3" fillId="0" borderId="6" xfId="5" applyFill="1" applyBorder="1" applyAlignment="1">
      <alignment horizontal="center"/>
    </xf>
    <xf numFmtId="0" fontId="3" fillId="0" borderId="0" xfId="5" applyFill="1" applyAlignment="1">
      <alignment horizontal="center"/>
    </xf>
    <xf numFmtId="39" fontId="8" fillId="0" borderId="27" xfId="5" applyNumberFormat="1" applyFont="1" applyFill="1" applyBorder="1"/>
    <xf numFmtId="39" fontId="3" fillId="0" borderId="6" xfId="5" applyNumberFormat="1" applyFill="1" applyBorder="1"/>
    <xf numFmtId="164" fontId="3" fillId="0" borderId="6" xfId="5" quotePrefix="1" applyNumberFormat="1" applyFill="1" applyBorder="1" applyAlignment="1">
      <alignment horizontal="right"/>
    </xf>
    <xf numFmtId="39" fontId="3" fillId="0" borderId="10" xfId="5" applyNumberFormat="1" applyFill="1" applyBorder="1"/>
    <xf numFmtId="39" fontId="8" fillId="0" borderId="34" xfId="5" applyNumberFormat="1" applyFont="1" applyFill="1" applyBorder="1"/>
    <xf numFmtId="164" fontId="8" fillId="0" borderId="6" xfId="5" applyNumberFormat="1" applyFont="1" applyFill="1" applyBorder="1"/>
    <xf numFmtId="39" fontId="60" fillId="0" borderId="6" xfId="5" applyNumberFormat="1" applyFont="1" applyFill="1" applyBorder="1"/>
    <xf numFmtId="39" fontId="3" fillId="0" borderId="0" xfId="5" applyNumberFormat="1" applyFill="1"/>
    <xf numFmtId="39" fontId="3" fillId="0" borderId="15" xfId="5" applyNumberFormat="1" applyFill="1" applyBorder="1"/>
    <xf numFmtId="39" fontId="55" fillId="0" borderId="0" xfId="5" applyNumberFormat="1" applyFont="1" applyFill="1"/>
    <xf numFmtId="0" fontId="53" fillId="0" borderId="0" xfId="5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2" applyFont="1" applyFill="1" applyAlignment="1">
      <alignment horizontal="center"/>
    </xf>
    <xf numFmtId="0" fontId="28" fillId="0" borderId="6" xfId="0" applyNumberFormat="1" applyFont="1" applyFill="1" applyBorder="1" applyAlignment="1">
      <alignment horizontal="center"/>
    </xf>
    <xf numFmtId="0" fontId="10" fillId="0" borderId="0" xfId="0" applyNumberFormat="1" applyFont="1" applyFill="1"/>
    <xf numFmtId="39" fontId="10" fillId="0" borderId="6" xfId="3" quotePrefix="1" applyNumberFormat="1" applyFont="1" applyFill="1" applyBorder="1" applyAlignment="1" applyProtection="1">
      <alignment horizontal="right"/>
    </xf>
    <xf numFmtId="39" fontId="10" fillId="0" borderId="6" xfId="3" applyNumberFormat="1" applyFont="1" applyFill="1" applyBorder="1" applyProtection="1"/>
    <xf numFmtId="43" fontId="26" fillId="0" borderId="6" xfId="1" applyFont="1" applyFill="1" applyBorder="1"/>
    <xf numFmtId="43" fontId="44" fillId="0" borderId="6" xfId="1" applyFont="1" applyFill="1" applyBorder="1"/>
    <xf numFmtId="39" fontId="26" fillId="0" borderId="6" xfId="3" applyNumberFormat="1" applyFont="1" applyFill="1" applyBorder="1"/>
    <xf numFmtId="39" fontId="44" fillId="0" borderId="6" xfId="3" applyNumberFormat="1" applyFont="1" applyFill="1" applyBorder="1"/>
    <xf numFmtId="39" fontId="10" fillId="0" borderId="6" xfId="3" applyNumberFormat="1" applyFont="1" applyFill="1" applyBorder="1"/>
    <xf numFmtId="39" fontId="26" fillId="0" borderId="5" xfId="3" applyNumberFormat="1" applyFont="1" applyFill="1" applyBorder="1" applyProtection="1"/>
    <xf numFmtId="39" fontId="10" fillId="0" borderId="10" xfId="3" applyNumberFormat="1" applyFont="1" applyFill="1" applyBorder="1" applyProtection="1"/>
    <xf numFmtId="39" fontId="26" fillId="0" borderId="34" xfId="3" applyNumberFormat="1" applyFont="1" applyFill="1" applyBorder="1" applyProtection="1"/>
    <xf numFmtId="0" fontId="20" fillId="0" borderId="35" xfId="0" applyNumberFormat="1" applyFont="1" applyFill="1" applyBorder="1"/>
    <xf numFmtId="39" fontId="3" fillId="0" borderId="1" xfId="0" applyNumberFormat="1" applyFont="1" applyFill="1" applyBorder="1"/>
    <xf numFmtId="0" fontId="20" fillId="0" borderId="6" xfId="0" applyFont="1" applyFill="1" applyBorder="1"/>
    <xf numFmtId="0" fontId="18" fillId="0" borderId="6" xfId="0" applyFont="1" applyFill="1" applyBorder="1"/>
    <xf numFmtId="43" fontId="3" fillId="0" borderId="6" xfId="0" applyNumberFormat="1" applyFont="1" applyFill="1" applyBorder="1"/>
    <xf numFmtId="39" fontId="3" fillId="0" borderId="30" xfId="0" applyNumberFormat="1" applyFont="1" applyFill="1" applyBorder="1"/>
    <xf numFmtId="0" fontId="3" fillId="0" borderId="30" xfId="0" applyFont="1" applyFill="1" applyBorder="1"/>
    <xf numFmtId="39" fontId="6" fillId="4" borderId="48" xfId="3" applyNumberFormat="1" applyFont="1" applyFill="1" applyBorder="1" applyAlignment="1">
      <alignment horizontal="center" vertical="center" wrapText="1"/>
    </xf>
    <xf numFmtId="39" fontId="6" fillId="3" borderId="20" xfId="5" applyNumberFormat="1" applyFont="1" applyFill="1" applyBorder="1" applyAlignment="1">
      <alignment horizontal="center" vertical="center" wrapText="1"/>
    </xf>
    <xf numFmtId="43" fontId="64" fillId="7" borderId="0" xfId="0" applyNumberFormat="1" applyFont="1" applyFill="1"/>
    <xf numFmtId="0" fontId="10" fillId="7" borderId="0" xfId="5" applyFont="1" applyFill="1" applyAlignment="1">
      <alignment horizontal="center"/>
    </xf>
    <xf numFmtId="0" fontId="10" fillId="7" borderId="0" xfId="5" applyFont="1" applyFill="1" applyAlignment="1">
      <alignment horizontal="right"/>
    </xf>
    <xf numFmtId="165" fontId="23" fillId="7" borderId="0" xfId="5" applyNumberFormat="1" applyFont="1" applyFill="1" applyAlignment="1">
      <alignment horizontal="right"/>
    </xf>
    <xf numFmtId="0" fontId="24" fillId="7" borderId="0" xfId="5" applyFont="1" applyFill="1" applyAlignment="1">
      <alignment horizontal="right"/>
    </xf>
    <xf numFmtId="165" fontId="10" fillId="7" borderId="0" xfId="5" applyNumberFormat="1" applyFont="1" applyFill="1" applyAlignment="1">
      <alignment horizontal="center"/>
    </xf>
    <xf numFmtId="4" fontId="10" fillId="7" borderId="0" xfId="5" applyNumberFormat="1" applyFont="1" applyFill="1"/>
    <xf numFmtId="0" fontId="11" fillId="7" borderId="0" xfId="5" applyFont="1" applyFill="1" applyAlignment="1">
      <alignment horizontal="right"/>
    </xf>
    <xf numFmtId="0" fontId="3" fillId="7" borderId="0" xfId="5" applyFill="1" applyAlignment="1">
      <alignment horizontal="right"/>
    </xf>
    <xf numFmtId="165" fontId="3" fillId="7" borderId="0" xfId="5" applyNumberFormat="1" applyFill="1" applyAlignment="1">
      <alignment horizontal="center"/>
    </xf>
    <xf numFmtId="0" fontId="24" fillId="7" borderId="0" xfId="0" applyFont="1" applyFill="1" applyAlignment="1">
      <alignment horizontal="right"/>
    </xf>
    <xf numFmtId="43" fontId="56" fillId="7" borderId="0" xfId="1" applyFont="1" applyFill="1" applyAlignment="1">
      <alignment horizontal="center"/>
    </xf>
    <xf numFmtId="43" fontId="19" fillId="7" borderId="0" xfId="1" applyFont="1" applyFill="1" applyAlignment="1">
      <alignment horizontal="right"/>
    </xf>
    <xf numFmtId="43" fontId="11" fillId="7" borderId="0" xfId="1" applyFont="1" applyFill="1" applyAlignment="1">
      <alignment horizontal="right"/>
    </xf>
    <xf numFmtId="43" fontId="6" fillId="0" borderId="2" xfId="1" applyFont="1" applyFill="1" applyBorder="1"/>
    <xf numFmtId="43" fontId="65" fillId="0" borderId="0" xfId="1" applyFont="1" applyFill="1"/>
    <xf numFmtId="0" fontId="38" fillId="0" borderId="0" xfId="0" applyFont="1" applyFill="1"/>
    <xf numFmtId="39" fontId="17" fillId="4" borderId="23" xfId="3" applyNumberFormat="1" applyFont="1" applyFill="1" applyBorder="1" applyAlignment="1">
      <alignment horizontal="center"/>
    </xf>
    <xf numFmtId="39" fontId="17" fillId="4" borderId="24" xfId="3" applyNumberFormat="1" applyFont="1" applyFill="1" applyBorder="1" applyAlignment="1">
      <alignment horizontal="center"/>
    </xf>
    <xf numFmtId="39" fontId="17" fillId="4" borderId="25" xfId="3" applyNumberFormat="1" applyFont="1" applyFill="1" applyBorder="1" applyAlignment="1">
      <alignment horizontal="center"/>
    </xf>
    <xf numFmtId="39" fontId="45" fillId="3" borderId="23" xfId="3" applyNumberFormat="1" applyFont="1" applyFill="1" applyBorder="1" applyAlignment="1">
      <alignment horizontal="center"/>
    </xf>
    <xf numFmtId="39" fontId="45" fillId="3" borderId="24" xfId="3" applyNumberFormat="1" applyFont="1" applyFill="1" applyBorder="1" applyAlignment="1">
      <alignment horizontal="center"/>
    </xf>
    <xf numFmtId="39" fontId="45" fillId="3" borderId="25" xfId="3" applyNumberFormat="1" applyFont="1" applyFill="1" applyBorder="1" applyAlignment="1">
      <alignment horizontal="center"/>
    </xf>
    <xf numFmtId="0" fontId="17" fillId="6" borderId="12" xfId="0" applyNumberFormat="1" applyFont="1" applyFill="1" applyBorder="1" applyAlignment="1">
      <alignment horizontal="center"/>
    </xf>
    <xf numFmtId="0" fontId="17" fillId="6" borderId="17" xfId="0" applyNumberFormat="1" applyFont="1" applyFill="1" applyBorder="1" applyAlignment="1">
      <alignment horizontal="center"/>
    </xf>
    <xf numFmtId="0" fontId="17" fillId="6" borderId="13" xfId="0" applyNumberFormat="1" applyFont="1" applyFill="1" applyBorder="1" applyAlignment="1">
      <alignment horizontal="center"/>
    </xf>
    <xf numFmtId="0" fontId="17" fillId="6" borderId="19" xfId="0" applyNumberFormat="1" applyFont="1" applyFill="1" applyBorder="1" applyAlignment="1">
      <alignment horizontal="center"/>
    </xf>
    <xf numFmtId="0" fontId="17" fillId="6" borderId="14" xfId="0" applyNumberFormat="1" applyFont="1" applyFill="1" applyBorder="1" applyAlignment="1">
      <alignment horizontal="center"/>
    </xf>
    <xf numFmtId="39" fontId="26" fillId="7" borderId="0" xfId="1" applyNumberFormat="1" applyFont="1" applyFill="1" applyAlignment="1">
      <alignment horizontal="center"/>
    </xf>
    <xf numFmtId="39" fontId="17" fillId="4" borderId="23" xfId="5" applyNumberFormat="1" applyFont="1" applyFill="1" applyBorder="1" applyAlignment="1">
      <alignment horizontal="center"/>
    </xf>
    <xf numFmtId="39" fontId="17" fillId="4" borderId="24" xfId="5" applyNumberFormat="1" applyFont="1" applyFill="1" applyBorder="1" applyAlignment="1">
      <alignment horizontal="center"/>
    </xf>
    <xf numFmtId="39" fontId="17" fillId="4" borderId="25" xfId="5" applyNumberFormat="1" applyFont="1" applyFill="1" applyBorder="1" applyAlignment="1">
      <alignment horizontal="center"/>
    </xf>
    <xf numFmtId="39" fontId="17" fillId="3" borderId="23" xfId="5" applyNumberFormat="1" applyFont="1" applyFill="1" applyBorder="1" applyAlignment="1">
      <alignment horizontal="center"/>
    </xf>
    <xf numFmtId="39" fontId="17" fillId="3" borderId="24" xfId="5" applyNumberFormat="1" applyFont="1" applyFill="1" applyBorder="1" applyAlignment="1">
      <alignment horizontal="center"/>
    </xf>
    <xf numFmtId="39" fontId="17" fillId="3" borderId="25" xfId="5" applyNumberFormat="1" applyFont="1" applyFill="1" applyBorder="1" applyAlignment="1">
      <alignment horizontal="center"/>
    </xf>
    <xf numFmtId="0" fontId="17" fillId="6" borderId="40" xfId="0" applyFont="1" applyFill="1" applyBorder="1" applyAlignment="1">
      <alignment horizontal="center"/>
    </xf>
  </cellXfs>
  <cellStyles count="6">
    <cellStyle name="Comma" xfId="1" builtinId="3"/>
    <cellStyle name="Comma 2" xfId="4"/>
    <cellStyle name="Normal" xfId="0" builtinId="0"/>
    <cellStyle name="Normal 2" xfId="3"/>
    <cellStyle name="Normal 2 2" xfId="5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gnyte\Shared\Outsourcing\Clients\CambridgeTrust\Merrimack\06.30.2020\Annual\06.30.20_Merrimack_Common_FYE_06.30.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30.19"/>
      <sheetName val="07.31.19"/>
      <sheetName val="08.31.19"/>
      <sheetName val="09.30.19"/>
      <sheetName val="10.31.19"/>
      <sheetName val="11.30.19"/>
      <sheetName val="12.31.19"/>
      <sheetName val="01.31.20"/>
      <sheetName val="02.29.20"/>
      <sheetName val="03.31.20"/>
      <sheetName val="04.30.20"/>
      <sheetName val="05.31.20"/>
      <sheetName val="06.30.20"/>
      <sheetName val="Perpetual Care"/>
      <sheetName val="Multi"/>
      <sheetName val="Purpo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K55"/>
  <sheetViews>
    <sheetView topLeftCell="E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78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142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82</v>
      </c>
      <c r="C12" s="179" t="s">
        <v>62</v>
      </c>
      <c r="D12" s="20" t="s">
        <v>12</v>
      </c>
      <c r="E12" s="314">
        <v>20455</v>
      </c>
      <c r="F12" s="45">
        <v>65050.7</v>
      </c>
      <c r="G12" s="9">
        <v>0</v>
      </c>
      <c r="H12" s="129">
        <f t="shared" ref="H12:H28" si="0">F12+G12+P12</f>
        <v>65050.7</v>
      </c>
      <c r="I12" s="76">
        <f t="shared" ref="I12:I27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86.53</v>
      </c>
      <c r="M12" s="9">
        <f t="shared" ref="M12:M28" si="3">K12+L12</f>
        <v>86.53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65137.23</v>
      </c>
      <c r="S12" s="14">
        <f t="shared" ref="S12:S27" si="7">(R12/(R$31-1575)*(S$31-1575))</f>
        <v>82043.41</v>
      </c>
      <c r="T12" s="86">
        <v>26952.92</v>
      </c>
      <c r="U12" s="79">
        <f t="shared" ref="U12:U28" si="8">I12</f>
        <v>1.7592139999999999E-2</v>
      </c>
      <c r="V12" s="203"/>
      <c r="W12" s="264"/>
      <c r="X12" s="204">
        <f>$U12*X$31</f>
        <v>225.31</v>
      </c>
      <c r="Y12" s="268">
        <f>$U12*Y$31</f>
        <v>217.58</v>
      </c>
      <c r="Z12" s="124">
        <f t="shared" ref="Z12:Z28" si="9">X12+Y12</f>
        <v>442.89</v>
      </c>
      <c r="AA12" s="268">
        <f t="shared" ref="AA12:AE23" si="10">$U12*AA$31</f>
        <v>125.64</v>
      </c>
      <c r="AB12" s="204">
        <f t="shared" si="10"/>
        <v>0</v>
      </c>
      <c r="AC12" s="268">
        <f t="shared" si="10"/>
        <v>-4.0999999999999996</v>
      </c>
      <c r="AD12" s="204">
        <f t="shared" si="10"/>
        <v>-1.37</v>
      </c>
      <c r="AE12" s="268">
        <f t="shared" si="10"/>
        <v>-0.75</v>
      </c>
      <c r="AF12" s="7">
        <f t="shared" ref="AF12:AF28" si="11">SUM(Z12:AE12)</f>
        <v>562.30999999999995</v>
      </c>
      <c r="AG12" s="7">
        <f t="shared" ref="AG12:AG23" si="12">U12*AG$31</f>
        <v>-80.86</v>
      </c>
      <c r="AH12" s="7">
        <v>0</v>
      </c>
      <c r="AI12" s="124">
        <f t="shared" ref="AI12:AI28" si="13">AG12+AH12</f>
        <v>-80.86</v>
      </c>
      <c r="AJ12" s="14">
        <f t="shared" ref="AJ12:AJ28" si="14">T12+AF12+AI12</f>
        <v>27434.37</v>
      </c>
      <c r="AK12" s="233"/>
      <c r="AL12" s="236"/>
      <c r="AM12" s="33">
        <f t="shared" ref="AM12:AM28" si="15">R12+AJ12</f>
        <v>92571.6</v>
      </c>
      <c r="AN12" s="33">
        <f t="shared" ref="AN12:AN23" si="16">(S12+AJ12)+((AJ12/AJ$31)*AO$49)</f>
        <v>116195.99</v>
      </c>
      <c r="AO12" s="83"/>
      <c r="AP12" s="114">
        <v>62445.99</v>
      </c>
      <c r="AQ12" s="186">
        <v>74329.64</v>
      </c>
      <c r="AR12" s="192">
        <v>0</v>
      </c>
      <c r="AS12" s="192">
        <v>0</v>
      </c>
      <c r="AT12" s="192">
        <v>0</v>
      </c>
      <c r="AU12" s="192">
        <v>0</v>
      </c>
      <c r="AV12" s="192">
        <v>0</v>
      </c>
      <c r="AW12" s="192">
        <v>0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0</v>
      </c>
      <c r="BE12" s="192">
        <v>0</v>
      </c>
      <c r="BF12" s="192">
        <v>0</v>
      </c>
      <c r="BG12" s="192">
        <v>0</v>
      </c>
      <c r="BH12" s="192">
        <v>0</v>
      </c>
      <c r="BI12" s="192">
        <v>0</v>
      </c>
      <c r="BJ12" s="192">
        <v>0</v>
      </c>
      <c r="BK12" s="192">
        <v>0</v>
      </c>
    </row>
    <row r="13" spans="1:63" s="82" customFormat="1" ht="16.149999999999999" customHeight="1">
      <c r="A13" s="159" t="s">
        <v>80</v>
      </c>
      <c r="B13" s="67" t="s">
        <v>85</v>
      </c>
      <c r="C13" s="179" t="s">
        <v>63</v>
      </c>
      <c r="D13" s="20" t="s">
        <v>12</v>
      </c>
      <c r="E13" s="314">
        <v>25204</v>
      </c>
      <c r="F13" s="45">
        <v>5140.42</v>
      </c>
      <c r="G13" s="9">
        <v>0</v>
      </c>
      <c r="H13" s="129">
        <f t="shared" si="0"/>
        <v>5140.42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6.84</v>
      </c>
      <c r="M13" s="9">
        <f t="shared" si="3"/>
        <v>6.84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5147.26</v>
      </c>
      <c r="S13" s="14">
        <f t="shared" si="7"/>
        <v>6483.22</v>
      </c>
      <c r="T13" s="86">
        <v>3688.63</v>
      </c>
      <c r="U13" s="79">
        <f t="shared" si="8"/>
        <v>1.3901600000000001E-3</v>
      </c>
      <c r="V13" s="203"/>
      <c r="W13" s="264"/>
      <c r="X13" s="204">
        <f>$U13*X$31</f>
        <v>17.8</v>
      </c>
      <c r="Y13" s="268">
        <f>$U13*Y$31</f>
        <v>17.190000000000001</v>
      </c>
      <c r="Z13" s="124">
        <f t="shared" si="9"/>
        <v>34.99</v>
      </c>
      <c r="AA13" s="268">
        <f t="shared" si="10"/>
        <v>9.93</v>
      </c>
      <c r="AB13" s="204">
        <f t="shared" si="10"/>
        <v>0</v>
      </c>
      <c r="AC13" s="268">
        <f t="shared" si="10"/>
        <v>-0.32</v>
      </c>
      <c r="AD13" s="204">
        <f t="shared" si="10"/>
        <v>-0.11</v>
      </c>
      <c r="AE13" s="268">
        <f t="shared" si="10"/>
        <v>-0.06</v>
      </c>
      <c r="AF13" s="7">
        <f t="shared" si="11"/>
        <v>44.43</v>
      </c>
      <c r="AG13" s="7">
        <f t="shared" si="12"/>
        <v>-6.39</v>
      </c>
      <c r="AH13" s="7">
        <v>0</v>
      </c>
      <c r="AI13" s="124">
        <f t="shared" si="13"/>
        <v>-6.39</v>
      </c>
      <c r="AJ13" s="14">
        <f t="shared" si="14"/>
        <v>3726.67</v>
      </c>
      <c r="AK13" s="233"/>
      <c r="AL13" s="236"/>
      <c r="AM13" s="33">
        <f t="shared" si="15"/>
        <v>8873.93</v>
      </c>
      <c r="AN13" s="33">
        <f t="shared" si="16"/>
        <v>11122.49</v>
      </c>
      <c r="AO13" s="83"/>
      <c r="AP13" s="114">
        <v>4934.59</v>
      </c>
      <c r="AQ13" s="186">
        <v>5873.66</v>
      </c>
      <c r="AR13" s="192">
        <v>0</v>
      </c>
      <c r="AS13" s="192">
        <v>0</v>
      </c>
      <c r="AT13" s="192">
        <v>0</v>
      </c>
      <c r="AU13" s="192">
        <v>0</v>
      </c>
      <c r="AV13" s="192">
        <v>0</v>
      </c>
      <c r="AW13" s="192">
        <v>0</v>
      </c>
      <c r="AX13" s="192">
        <v>0</v>
      </c>
      <c r="AY13" s="192">
        <v>0</v>
      </c>
      <c r="AZ13" s="192">
        <v>0</v>
      </c>
      <c r="BA13" s="192">
        <v>0</v>
      </c>
      <c r="BB13" s="192">
        <v>0</v>
      </c>
      <c r="BC13" s="192">
        <v>0</v>
      </c>
      <c r="BD13" s="192">
        <v>0</v>
      </c>
      <c r="BE13" s="192">
        <v>0</v>
      </c>
      <c r="BF13" s="192">
        <v>0</v>
      </c>
      <c r="BG13" s="192">
        <v>0</v>
      </c>
      <c r="BH13" s="192">
        <v>0</v>
      </c>
      <c r="BI13" s="192">
        <v>0</v>
      </c>
      <c r="BJ13" s="192">
        <v>0</v>
      </c>
      <c r="BK13" s="192">
        <v>0</v>
      </c>
    </row>
    <row r="14" spans="1:63" s="82" customFormat="1" ht="16.149999999999999" customHeight="1">
      <c r="A14" s="159" t="s">
        <v>80</v>
      </c>
      <c r="B14" s="67" t="s">
        <v>90</v>
      </c>
      <c r="C14" s="179" t="s">
        <v>64</v>
      </c>
      <c r="D14" s="20" t="s">
        <v>12</v>
      </c>
      <c r="E14" s="158" t="s">
        <v>143</v>
      </c>
      <c r="F14" s="45">
        <v>378281.46</v>
      </c>
      <c r="G14" s="9">
        <v>0</v>
      </c>
      <c r="H14" s="129">
        <f t="shared" si="0"/>
        <v>378281.46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503.16</v>
      </c>
      <c r="M14" s="9">
        <f t="shared" si="3"/>
        <v>503.16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378784.62</v>
      </c>
      <c r="S14" s="14">
        <f t="shared" si="7"/>
        <v>477097.1</v>
      </c>
      <c r="T14" s="86">
        <v>318840.09999999998</v>
      </c>
      <c r="U14" s="79">
        <f t="shared" si="8"/>
        <v>0.10230141</v>
      </c>
      <c r="V14" s="304"/>
      <c r="W14" s="304"/>
      <c r="X14" s="204">
        <f>($U14*X$31)</f>
        <v>1310.21</v>
      </c>
      <c r="Y14" s="268">
        <f>($U14*Y$31)</f>
        <v>1265.25</v>
      </c>
      <c r="Z14" s="124">
        <f t="shared" si="9"/>
        <v>2575.46</v>
      </c>
      <c r="AA14" s="268">
        <f t="shared" si="10"/>
        <v>730.59</v>
      </c>
      <c r="AB14" s="204">
        <f t="shared" si="10"/>
        <v>0</v>
      </c>
      <c r="AC14" s="268">
        <f t="shared" si="10"/>
        <v>-23.85</v>
      </c>
      <c r="AD14" s="204">
        <f t="shared" si="10"/>
        <v>-7.94</v>
      </c>
      <c r="AE14" s="268">
        <f t="shared" si="10"/>
        <v>-4.34</v>
      </c>
      <c r="AF14" s="7">
        <f t="shared" si="11"/>
        <v>3269.92</v>
      </c>
      <c r="AG14" s="7">
        <f t="shared" si="12"/>
        <v>-470.2</v>
      </c>
      <c r="AH14" s="7">
        <v>0</v>
      </c>
      <c r="AI14" s="124">
        <f t="shared" si="13"/>
        <v>-470.2</v>
      </c>
      <c r="AJ14" s="14">
        <f t="shared" si="14"/>
        <v>321639.82</v>
      </c>
      <c r="AK14" s="233"/>
      <c r="AL14" s="236"/>
      <c r="AM14" s="33">
        <f t="shared" si="15"/>
        <v>700424.44</v>
      </c>
      <c r="AN14" s="33">
        <f t="shared" si="16"/>
        <v>877501.04</v>
      </c>
      <c r="AO14" s="83"/>
      <c r="AP14" s="114">
        <v>363134.62</v>
      </c>
      <c r="AQ14" s="186">
        <v>432240.15</v>
      </c>
      <c r="AR14" s="192">
        <v>0</v>
      </c>
      <c r="AS14" s="192">
        <v>0</v>
      </c>
      <c r="AT14" s="192">
        <v>0</v>
      </c>
      <c r="AU14" s="192">
        <v>0</v>
      </c>
      <c r="AV14" s="192">
        <v>0</v>
      </c>
      <c r="AW14" s="192">
        <v>0</v>
      </c>
      <c r="AX14" s="192">
        <v>0</v>
      </c>
      <c r="AY14" s="192">
        <v>0</v>
      </c>
      <c r="AZ14" s="192">
        <v>0</v>
      </c>
      <c r="BA14" s="192">
        <v>0</v>
      </c>
      <c r="BB14" s="192">
        <v>0</v>
      </c>
      <c r="BC14" s="192">
        <v>0</v>
      </c>
      <c r="BD14" s="192">
        <v>0</v>
      </c>
      <c r="BE14" s="192">
        <v>0</v>
      </c>
      <c r="BF14" s="192">
        <v>0</v>
      </c>
      <c r="BG14" s="192">
        <v>0</v>
      </c>
      <c r="BH14" s="192">
        <v>0</v>
      </c>
      <c r="BI14" s="192">
        <v>0</v>
      </c>
      <c r="BJ14" s="192">
        <v>0</v>
      </c>
      <c r="BK14" s="192">
        <v>0</v>
      </c>
    </row>
    <row r="15" spans="1:63" s="82" customFormat="1" ht="16.149999999999999" customHeight="1">
      <c r="A15" s="159" t="s">
        <v>80</v>
      </c>
      <c r="B15" s="67" t="s">
        <v>86</v>
      </c>
      <c r="C15" s="179" t="s">
        <v>66</v>
      </c>
      <c r="D15" s="20" t="s">
        <v>12</v>
      </c>
      <c r="E15" s="314">
        <v>18629</v>
      </c>
      <c r="F15" s="45">
        <v>163831.54999999999</v>
      </c>
      <c r="G15" s="9">
        <v>0</v>
      </c>
      <c r="H15" s="129">
        <f t="shared" si="0"/>
        <v>163831.54999999999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217.92</v>
      </c>
      <c r="M15" s="9">
        <f t="shared" si="3"/>
        <v>217.92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164049.47</v>
      </c>
      <c r="S15" s="14">
        <f t="shared" si="7"/>
        <v>206628.05</v>
      </c>
      <c r="T15" s="86">
        <v>171511.13</v>
      </c>
      <c r="U15" s="79">
        <f t="shared" si="8"/>
        <v>4.4306159999999997E-2</v>
      </c>
      <c r="V15" s="203"/>
      <c r="W15" s="264"/>
      <c r="X15" s="204">
        <f t="shared" ref="X15:Y23" si="17">$U15*X$31</f>
        <v>567.44000000000005</v>
      </c>
      <c r="Y15" s="268">
        <f t="shared" si="17"/>
        <v>547.97</v>
      </c>
      <c r="Z15" s="124">
        <f t="shared" si="9"/>
        <v>1115.4100000000001</v>
      </c>
      <c r="AA15" s="268">
        <f t="shared" si="10"/>
        <v>316.42</v>
      </c>
      <c r="AB15" s="204">
        <f t="shared" si="10"/>
        <v>0</v>
      </c>
      <c r="AC15" s="268">
        <f t="shared" si="10"/>
        <v>-10.33</v>
      </c>
      <c r="AD15" s="204">
        <f t="shared" si="10"/>
        <v>-3.44</v>
      </c>
      <c r="AE15" s="268">
        <f t="shared" si="10"/>
        <v>-1.88</v>
      </c>
      <c r="AF15" s="7">
        <f t="shared" si="11"/>
        <v>1416.18</v>
      </c>
      <c r="AG15" s="7">
        <f t="shared" si="12"/>
        <v>-203.64</v>
      </c>
      <c r="AH15" s="7">
        <v>0</v>
      </c>
      <c r="AI15" s="124">
        <f t="shared" si="13"/>
        <v>-203.64</v>
      </c>
      <c r="AJ15" s="14">
        <f t="shared" si="14"/>
        <v>172723.67</v>
      </c>
      <c r="AK15" s="233"/>
      <c r="AL15" s="236"/>
      <c r="AM15" s="33">
        <f t="shared" si="15"/>
        <v>336773.14</v>
      </c>
      <c r="AN15" s="33">
        <f t="shared" si="16"/>
        <v>421648.81</v>
      </c>
      <c r="AO15" s="83"/>
      <c r="AP15" s="114">
        <v>157271.56</v>
      </c>
      <c r="AQ15" s="186">
        <v>187200.78</v>
      </c>
      <c r="AR15" s="192">
        <v>0</v>
      </c>
      <c r="AS15" s="192">
        <v>0</v>
      </c>
      <c r="AT15" s="192">
        <v>0</v>
      </c>
      <c r="AU15" s="192">
        <v>0</v>
      </c>
      <c r="AV15" s="192">
        <v>0</v>
      </c>
      <c r="AW15" s="192">
        <v>0</v>
      </c>
      <c r="AX15" s="192">
        <v>0</v>
      </c>
      <c r="AY15" s="192">
        <v>0</v>
      </c>
      <c r="AZ15" s="192">
        <v>0</v>
      </c>
      <c r="BA15" s="192">
        <v>0</v>
      </c>
      <c r="BB15" s="192">
        <v>0</v>
      </c>
      <c r="BC15" s="192">
        <v>0</v>
      </c>
      <c r="BD15" s="192">
        <v>0</v>
      </c>
      <c r="BE15" s="192">
        <v>0</v>
      </c>
      <c r="BF15" s="192">
        <v>0</v>
      </c>
      <c r="BG15" s="192">
        <v>0</v>
      </c>
      <c r="BH15" s="192">
        <v>0</v>
      </c>
      <c r="BI15" s="192">
        <v>0</v>
      </c>
      <c r="BJ15" s="192">
        <v>0</v>
      </c>
      <c r="BK15" s="192">
        <v>0</v>
      </c>
    </row>
    <row r="16" spans="1:63" s="82" customFormat="1" ht="16.149999999999999" customHeight="1">
      <c r="A16" s="159" t="s">
        <v>80</v>
      </c>
      <c r="B16" s="67" t="s">
        <v>83</v>
      </c>
      <c r="C16" s="179" t="s">
        <v>62</v>
      </c>
      <c r="D16" s="20" t="s">
        <v>12</v>
      </c>
      <c r="E16" s="314">
        <v>25569</v>
      </c>
      <c r="F16" s="45">
        <v>10091.469999999999</v>
      </c>
      <c r="G16" s="9">
        <v>0</v>
      </c>
      <c r="H16" s="129">
        <f t="shared" si="0"/>
        <v>10091.469999999999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13.42</v>
      </c>
      <c r="M16" s="9">
        <f t="shared" si="3"/>
        <v>13.42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10104.89</v>
      </c>
      <c r="S16" s="14">
        <f t="shared" si="7"/>
        <v>12727.59</v>
      </c>
      <c r="T16" s="86">
        <v>7256.87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17"/>
        <v>34.950000000000003</v>
      </c>
      <c r="Y16" s="268">
        <f t="shared" si="17"/>
        <v>33.75</v>
      </c>
      <c r="Z16" s="124">
        <f t="shared" si="9"/>
        <v>68.7</v>
      </c>
      <c r="AA16" s="268">
        <f t="shared" si="10"/>
        <v>19.489999999999998</v>
      </c>
      <c r="AB16" s="204">
        <f t="shared" si="10"/>
        <v>0</v>
      </c>
      <c r="AC16" s="268">
        <f t="shared" si="10"/>
        <v>-0.64</v>
      </c>
      <c r="AD16" s="204">
        <f t="shared" si="10"/>
        <v>-0.21</v>
      </c>
      <c r="AE16" s="268">
        <f t="shared" si="10"/>
        <v>-0.12</v>
      </c>
      <c r="AF16" s="7">
        <f t="shared" si="11"/>
        <v>87.22</v>
      </c>
      <c r="AG16" s="7">
        <f t="shared" si="12"/>
        <v>-12.54</v>
      </c>
      <c r="AH16" s="7">
        <v>0</v>
      </c>
      <c r="AI16" s="124">
        <f t="shared" si="13"/>
        <v>-12.54</v>
      </c>
      <c r="AJ16" s="14">
        <f t="shared" si="14"/>
        <v>7331.55</v>
      </c>
      <c r="AK16" s="233" t="s">
        <v>118</v>
      </c>
      <c r="AL16" s="236" t="s">
        <v>114</v>
      </c>
      <c r="AM16" s="33">
        <f t="shared" si="15"/>
        <v>17436.439999999999</v>
      </c>
      <c r="AN16" s="33">
        <f t="shared" si="16"/>
        <v>21854.51</v>
      </c>
      <c r="AO16" s="83"/>
      <c r="AP16" s="114">
        <v>9687.4</v>
      </c>
      <c r="AQ16" s="186">
        <v>11530.94</v>
      </c>
      <c r="AR16" s="192">
        <v>0</v>
      </c>
      <c r="AS16" s="192">
        <v>0</v>
      </c>
      <c r="AT16" s="192">
        <v>0</v>
      </c>
      <c r="AU16" s="192">
        <v>0</v>
      </c>
      <c r="AV16" s="192">
        <v>0</v>
      </c>
      <c r="AW16" s="192">
        <v>0</v>
      </c>
      <c r="AX16" s="192">
        <v>0</v>
      </c>
      <c r="AY16" s="192">
        <v>0</v>
      </c>
      <c r="AZ16" s="192">
        <v>0</v>
      </c>
      <c r="BA16" s="192">
        <v>0</v>
      </c>
      <c r="BB16" s="192">
        <v>0</v>
      </c>
      <c r="BC16" s="192">
        <v>0</v>
      </c>
      <c r="BD16" s="192">
        <v>0</v>
      </c>
      <c r="BE16" s="192">
        <v>0</v>
      </c>
      <c r="BF16" s="192">
        <v>0</v>
      </c>
      <c r="BG16" s="192">
        <v>0</v>
      </c>
      <c r="BH16" s="192">
        <v>0</v>
      </c>
      <c r="BI16" s="192">
        <v>0</v>
      </c>
      <c r="BJ16" s="192">
        <v>0</v>
      </c>
      <c r="BK16" s="192">
        <v>0</v>
      </c>
    </row>
    <row r="17" spans="1:63" s="82" customFormat="1" ht="16.149999999999999" customHeight="1">
      <c r="A17" s="159" t="s">
        <v>80</v>
      </c>
      <c r="B17" s="67" t="s">
        <v>84</v>
      </c>
      <c r="C17" s="179" t="s">
        <v>62</v>
      </c>
      <c r="D17" s="20" t="s">
        <v>12</v>
      </c>
      <c r="E17" s="314">
        <v>25569</v>
      </c>
      <c r="F17" s="45">
        <v>879.42</v>
      </c>
      <c r="G17" s="9">
        <v>0</v>
      </c>
      <c r="H17" s="129">
        <f t="shared" si="0"/>
        <v>879.42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1.17</v>
      </c>
      <c r="M17" s="9">
        <f t="shared" si="3"/>
        <v>1.17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880.59</v>
      </c>
      <c r="S17" s="14">
        <f t="shared" si="7"/>
        <v>1109.1400000000001</v>
      </c>
      <c r="T17" s="86">
        <v>643.72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17"/>
        <v>3.05</v>
      </c>
      <c r="Y17" s="268">
        <f t="shared" si="17"/>
        <v>2.94</v>
      </c>
      <c r="Z17" s="124">
        <f t="shared" si="9"/>
        <v>5.99</v>
      </c>
      <c r="AA17" s="268">
        <f t="shared" si="10"/>
        <v>1.7</v>
      </c>
      <c r="AB17" s="204">
        <f t="shared" si="10"/>
        <v>0</v>
      </c>
      <c r="AC17" s="268">
        <f t="shared" si="10"/>
        <v>-0.06</v>
      </c>
      <c r="AD17" s="204">
        <f t="shared" si="10"/>
        <v>-0.02</v>
      </c>
      <c r="AE17" s="268">
        <f t="shared" si="10"/>
        <v>-0.01</v>
      </c>
      <c r="AF17" s="7">
        <f t="shared" si="11"/>
        <v>7.6</v>
      </c>
      <c r="AG17" s="7">
        <f t="shared" si="12"/>
        <v>-1.0900000000000001</v>
      </c>
      <c r="AH17" s="7">
        <v>0</v>
      </c>
      <c r="AI17" s="124">
        <f t="shared" si="13"/>
        <v>-1.0900000000000001</v>
      </c>
      <c r="AJ17" s="14">
        <f t="shared" si="14"/>
        <v>650.23</v>
      </c>
      <c r="AK17" s="233" t="s">
        <v>129</v>
      </c>
      <c r="AL17" s="282" t="s">
        <v>128</v>
      </c>
      <c r="AM17" s="33">
        <f t="shared" si="15"/>
        <v>1530.82</v>
      </c>
      <c r="AN17" s="33">
        <f t="shared" si="16"/>
        <v>1918.6</v>
      </c>
      <c r="AO17" s="83"/>
      <c r="AP17" s="114">
        <v>844.21</v>
      </c>
      <c r="AQ17" s="186">
        <v>1004.87</v>
      </c>
      <c r="AR17" s="192">
        <v>0</v>
      </c>
      <c r="AS17" s="192">
        <v>0</v>
      </c>
      <c r="AT17" s="192">
        <v>0</v>
      </c>
      <c r="AU17" s="192">
        <v>0</v>
      </c>
      <c r="AV17" s="192">
        <v>0</v>
      </c>
      <c r="AW17" s="192">
        <v>0</v>
      </c>
      <c r="AX17" s="192">
        <v>0</v>
      </c>
      <c r="AY17" s="192">
        <v>0</v>
      </c>
      <c r="AZ17" s="192">
        <v>0</v>
      </c>
      <c r="BA17" s="192">
        <v>0</v>
      </c>
      <c r="BB17" s="192">
        <v>0</v>
      </c>
      <c r="BC17" s="192">
        <v>0</v>
      </c>
      <c r="BD17" s="192">
        <v>0</v>
      </c>
      <c r="BE17" s="192">
        <v>0</v>
      </c>
      <c r="BF17" s="192">
        <v>0</v>
      </c>
      <c r="BG17" s="192">
        <v>0</v>
      </c>
      <c r="BH17" s="192">
        <v>0</v>
      </c>
      <c r="BI17" s="192">
        <v>0</v>
      </c>
      <c r="BJ17" s="192">
        <v>0</v>
      </c>
      <c r="BK17" s="192">
        <v>0</v>
      </c>
    </row>
    <row r="18" spans="1:63" s="82" customFormat="1" ht="16.149999999999999" customHeight="1">
      <c r="A18" s="159" t="s">
        <v>80</v>
      </c>
      <c r="B18" s="67" t="s">
        <v>89</v>
      </c>
      <c r="C18" s="179" t="s">
        <v>58</v>
      </c>
      <c r="D18" s="20" t="s">
        <v>12</v>
      </c>
      <c r="E18" s="314">
        <v>23377</v>
      </c>
      <c r="F18" s="45">
        <v>27720.560000000001</v>
      </c>
      <c r="G18" s="9">
        <v>0</v>
      </c>
      <c r="H18" s="129">
        <f t="shared" si="0"/>
        <v>27720.560000000001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36.869999999999997</v>
      </c>
      <c r="M18" s="9">
        <f t="shared" si="3"/>
        <v>36.869999999999997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27757.43</v>
      </c>
      <c r="S18" s="14">
        <f t="shared" si="7"/>
        <v>34961.79</v>
      </c>
      <c r="T18" s="86">
        <v>7039.66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17"/>
        <v>96.01</v>
      </c>
      <c r="Y18" s="268">
        <f t="shared" si="17"/>
        <v>92.72</v>
      </c>
      <c r="Z18" s="124">
        <f t="shared" si="9"/>
        <v>188.73</v>
      </c>
      <c r="AA18" s="268">
        <f t="shared" si="10"/>
        <v>53.54</v>
      </c>
      <c r="AB18" s="204">
        <f t="shared" si="10"/>
        <v>0</v>
      </c>
      <c r="AC18" s="268">
        <f t="shared" si="10"/>
        <v>-1.75</v>
      </c>
      <c r="AD18" s="204">
        <f t="shared" si="10"/>
        <v>-0.57999999999999996</v>
      </c>
      <c r="AE18" s="268">
        <f t="shared" si="10"/>
        <v>-0.32</v>
      </c>
      <c r="AF18" s="7">
        <f t="shared" si="11"/>
        <v>239.62</v>
      </c>
      <c r="AG18" s="7">
        <f t="shared" si="12"/>
        <v>-34.46</v>
      </c>
      <c r="AH18" s="7">
        <v>0</v>
      </c>
      <c r="AI18" s="124">
        <f t="shared" si="13"/>
        <v>-34.46</v>
      </c>
      <c r="AJ18" s="14">
        <f t="shared" si="14"/>
        <v>7244.82</v>
      </c>
      <c r="AK18" s="281"/>
      <c r="AL18" s="281"/>
      <c r="AM18" s="33">
        <f t="shared" si="15"/>
        <v>35002.25</v>
      </c>
      <c r="AN18" s="33">
        <f t="shared" si="16"/>
        <v>43980.74</v>
      </c>
      <c r="AO18" s="83"/>
      <c r="AP18" s="114">
        <v>26610.59</v>
      </c>
      <c r="AQ18" s="186">
        <v>31674.66</v>
      </c>
      <c r="AR18" s="192">
        <v>0</v>
      </c>
      <c r="AS18" s="192">
        <v>0</v>
      </c>
      <c r="AT18" s="192">
        <v>0</v>
      </c>
      <c r="AU18" s="192">
        <v>0</v>
      </c>
      <c r="AV18" s="192">
        <v>0</v>
      </c>
      <c r="AW18" s="192">
        <v>0</v>
      </c>
      <c r="AX18" s="192">
        <v>0</v>
      </c>
      <c r="AY18" s="192">
        <v>0</v>
      </c>
      <c r="AZ18" s="192">
        <v>0</v>
      </c>
      <c r="BA18" s="192">
        <v>0</v>
      </c>
      <c r="BB18" s="192">
        <v>0</v>
      </c>
      <c r="BC18" s="192">
        <v>0</v>
      </c>
      <c r="BD18" s="192">
        <v>0</v>
      </c>
      <c r="BE18" s="192">
        <v>0</v>
      </c>
      <c r="BF18" s="192">
        <v>0</v>
      </c>
      <c r="BG18" s="192">
        <v>0</v>
      </c>
      <c r="BH18" s="192">
        <v>0</v>
      </c>
      <c r="BI18" s="192">
        <v>0</v>
      </c>
      <c r="BJ18" s="192">
        <v>0</v>
      </c>
      <c r="BK18" s="192">
        <v>0</v>
      </c>
    </row>
    <row r="19" spans="1:63" s="82" customFormat="1" ht="16.149999999999999" customHeight="1">
      <c r="A19" s="159" t="s">
        <v>80</v>
      </c>
      <c r="B19" s="67" t="s">
        <v>92</v>
      </c>
      <c r="C19" s="179" t="s">
        <v>64</v>
      </c>
      <c r="D19" s="20" t="s">
        <v>12</v>
      </c>
      <c r="E19" s="314">
        <v>18264</v>
      </c>
      <c r="F19" s="45">
        <v>93633.09</v>
      </c>
      <c r="G19" s="9">
        <v>0</v>
      </c>
      <c r="H19" s="129">
        <f t="shared" si="0"/>
        <v>93633.09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124.54</v>
      </c>
      <c r="M19" s="9">
        <f t="shared" si="3"/>
        <v>124.54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93757.63</v>
      </c>
      <c r="S19" s="14">
        <f t="shared" si="7"/>
        <v>118092.16</v>
      </c>
      <c r="T19" s="86">
        <v>67250.259999999995</v>
      </c>
      <c r="U19" s="79">
        <f t="shared" si="8"/>
        <v>2.5321880000000001E-2</v>
      </c>
      <c r="V19" s="203"/>
      <c r="W19" s="264"/>
      <c r="X19" s="204">
        <f t="shared" si="17"/>
        <v>324.31</v>
      </c>
      <c r="Y19" s="268">
        <f t="shared" si="17"/>
        <v>313.18</v>
      </c>
      <c r="Z19" s="124">
        <f t="shared" si="9"/>
        <v>637.49</v>
      </c>
      <c r="AA19" s="268">
        <f t="shared" si="10"/>
        <v>180.84</v>
      </c>
      <c r="AB19" s="204">
        <f t="shared" si="10"/>
        <v>0</v>
      </c>
      <c r="AC19" s="268">
        <f t="shared" si="10"/>
        <v>-5.9</v>
      </c>
      <c r="AD19" s="204">
        <f t="shared" si="10"/>
        <v>-1.97</v>
      </c>
      <c r="AE19" s="268">
        <f t="shared" si="10"/>
        <v>-1.08</v>
      </c>
      <c r="AF19" s="7">
        <f t="shared" si="11"/>
        <v>809.38</v>
      </c>
      <c r="AG19" s="7">
        <f t="shared" si="12"/>
        <v>-116.38</v>
      </c>
      <c r="AH19" s="7">
        <v>0</v>
      </c>
      <c r="AI19" s="124">
        <f t="shared" si="13"/>
        <v>-116.38</v>
      </c>
      <c r="AJ19" s="14">
        <f t="shared" si="14"/>
        <v>67943.259999999995</v>
      </c>
      <c r="AK19" s="233"/>
      <c r="AL19" s="237"/>
      <c r="AM19" s="33">
        <f t="shared" si="15"/>
        <v>161700.89000000001</v>
      </c>
      <c r="AN19" s="33">
        <f t="shared" si="16"/>
        <v>202673.57</v>
      </c>
      <c r="AO19" s="83"/>
      <c r="AP19" s="114">
        <v>89883.9</v>
      </c>
      <c r="AQ19" s="186">
        <v>106989.06</v>
      </c>
      <c r="AR19" s="192">
        <v>0</v>
      </c>
      <c r="AS19" s="192">
        <v>0</v>
      </c>
      <c r="AT19" s="192">
        <v>0</v>
      </c>
      <c r="AU19" s="192">
        <v>0</v>
      </c>
      <c r="AV19" s="192">
        <v>0</v>
      </c>
      <c r="AW19" s="192">
        <v>0</v>
      </c>
      <c r="AX19" s="192">
        <v>0</v>
      </c>
      <c r="AY19" s="192">
        <v>0</v>
      </c>
      <c r="AZ19" s="192">
        <v>0</v>
      </c>
      <c r="BA19" s="192">
        <v>0</v>
      </c>
      <c r="BB19" s="192">
        <v>0</v>
      </c>
      <c r="BC19" s="192">
        <v>0</v>
      </c>
      <c r="BD19" s="192">
        <v>0</v>
      </c>
      <c r="BE19" s="192">
        <v>0</v>
      </c>
      <c r="BF19" s="192">
        <v>0</v>
      </c>
      <c r="BG19" s="192">
        <v>0</v>
      </c>
      <c r="BH19" s="192">
        <v>0</v>
      </c>
      <c r="BI19" s="192">
        <v>0</v>
      </c>
      <c r="BJ19" s="192">
        <v>0</v>
      </c>
      <c r="BK19" s="192">
        <v>0</v>
      </c>
    </row>
    <row r="20" spans="1:63" s="82" customFormat="1" ht="16.149999999999999" customHeight="1">
      <c r="A20" s="159" t="s">
        <v>80</v>
      </c>
      <c r="B20" s="67" t="s">
        <v>88</v>
      </c>
      <c r="C20" s="179" t="s">
        <v>58</v>
      </c>
      <c r="D20" s="20" t="s">
        <v>12</v>
      </c>
      <c r="E20" s="314">
        <v>6211</v>
      </c>
      <c r="F20" s="45">
        <v>34652.589999999997</v>
      </c>
      <c r="G20" s="9">
        <v>0</v>
      </c>
      <c r="H20" s="129">
        <f t="shared" si="0"/>
        <v>34652.589999999997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46.09</v>
      </c>
      <c r="M20" s="9">
        <f t="shared" si="3"/>
        <v>46.09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34698.68</v>
      </c>
      <c r="S20" s="14">
        <f t="shared" si="7"/>
        <v>43704.62</v>
      </c>
      <c r="T20" s="86">
        <v>18160.650000000001</v>
      </c>
      <c r="U20" s="79">
        <f t="shared" si="8"/>
        <v>9.3713500000000005E-3</v>
      </c>
      <c r="V20" s="315"/>
      <c r="W20" s="315"/>
      <c r="X20" s="204">
        <f t="shared" si="17"/>
        <v>120.02</v>
      </c>
      <c r="Y20" s="268">
        <f t="shared" si="17"/>
        <v>115.9</v>
      </c>
      <c r="Z20" s="124">
        <f t="shared" si="9"/>
        <v>235.92</v>
      </c>
      <c r="AA20" s="268">
        <f t="shared" si="10"/>
        <v>66.930000000000007</v>
      </c>
      <c r="AB20" s="204">
        <f t="shared" si="10"/>
        <v>0</v>
      </c>
      <c r="AC20" s="268">
        <f t="shared" si="10"/>
        <v>-2.1800000000000002</v>
      </c>
      <c r="AD20" s="204">
        <f t="shared" si="10"/>
        <v>-0.73</v>
      </c>
      <c r="AE20" s="268">
        <f t="shared" si="10"/>
        <v>-0.4</v>
      </c>
      <c r="AF20" s="7">
        <f t="shared" si="11"/>
        <v>299.54000000000002</v>
      </c>
      <c r="AG20" s="7">
        <f t="shared" si="12"/>
        <v>-43.07</v>
      </c>
      <c r="AH20" s="7">
        <v>0</v>
      </c>
      <c r="AI20" s="124">
        <f t="shared" si="13"/>
        <v>-43.07</v>
      </c>
      <c r="AJ20" s="14">
        <f t="shared" si="14"/>
        <v>18417.12</v>
      </c>
      <c r="AK20" s="283"/>
      <c r="AL20" s="284"/>
      <c r="AM20" s="33">
        <f t="shared" si="15"/>
        <v>53115.8</v>
      </c>
      <c r="AN20" s="33">
        <f t="shared" si="16"/>
        <v>66631.78</v>
      </c>
      <c r="AO20" s="83"/>
      <c r="AP20" s="114">
        <v>33265.06</v>
      </c>
      <c r="AQ20" s="186">
        <v>39595.49</v>
      </c>
      <c r="AR20" s="192">
        <v>0</v>
      </c>
      <c r="AS20" s="192">
        <v>0</v>
      </c>
      <c r="AT20" s="192">
        <v>0</v>
      </c>
      <c r="AU20" s="192">
        <v>0</v>
      </c>
      <c r="AV20" s="192">
        <v>0</v>
      </c>
      <c r="AW20" s="192">
        <v>0</v>
      </c>
      <c r="AX20" s="192">
        <v>0</v>
      </c>
      <c r="AY20" s="192">
        <v>0</v>
      </c>
      <c r="AZ20" s="192">
        <v>0</v>
      </c>
      <c r="BA20" s="192">
        <v>0</v>
      </c>
      <c r="BB20" s="192">
        <v>0</v>
      </c>
      <c r="BC20" s="192">
        <v>0</v>
      </c>
      <c r="BD20" s="192">
        <v>0</v>
      </c>
      <c r="BE20" s="192">
        <v>0</v>
      </c>
      <c r="BF20" s="192">
        <v>0</v>
      </c>
      <c r="BG20" s="192">
        <v>0</v>
      </c>
      <c r="BH20" s="192">
        <v>0</v>
      </c>
      <c r="BI20" s="192">
        <v>0</v>
      </c>
      <c r="BJ20" s="192">
        <v>0</v>
      </c>
      <c r="BK20" s="192">
        <v>0</v>
      </c>
    </row>
    <row r="21" spans="1:63" s="366" customFormat="1" ht="16.149999999999999" customHeight="1">
      <c r="A21" s="334" t="s">
        <v>80</v>
      </c>
      <c r="B21" s="335" t="s">
        <v>81</v>
      </c>
      <c r="C21" s="336" t="s">
        <v>62</v>
      </c>
      <c r="D21" s="337" t="s">
        <v>12</v>
      </c>
      <c r="E21" s="338">
        <v>1</v>
      </c>
      <c r="F21" s="339">
        <v>534270.6</v>
      </c>
      <c r="G21" s="340">
        <v>0</v>
      </c>
      <c r="H21" s="341">
        <f t="shared" si="0"/>
        <v>534270.6</v>
      </c>
      <c r="I21" s="342">
        <f t="shared" si="1"/>
        <v>0.1444867</v>
      </c>
      <c r="J21" s="343"/>
      <c r="K21" s="343">
        <f t="shared" si="2"/>
        <v>0</v>
      </c>
      <c r="L21" s="343">
        <f t="shared" si="2"/>
        <v>710.64</v>
      </c>
      <c r="M21" s="340">
        <f t="shared" si="3"/>
        <v>710.64</v>
      </c>
      <c r="N21" s="340">
        <f t="shared" si="4"/>
        <v>0</v>
      </c>
      <c r="O21" s="340">
        <f t="shared" si="4"/>
        <v>0</v>
      </c>
      <c r="P21" s="340">
        <v>0</v>
      </c>
      <c r="Q21" s="343">
        <f t="shared" si="5"/>
        <v>0</v>
      </c>
      <c r="R21" s="340">
        <f t="shared" si="6"/>
        <v>534981.24</v>
      </c>
      <c r="S21" s="344">
        <f t="shared" si="7"/>
        <v>673834.12</v>
      </c>
      <c r="T21" s="345">
        <v>489156.45</v>
      </c>
      <c r="U21" s="346">
        <f t="shared" si="8"/>
        <v>0.1444867</v>
      </c>
      <c r="V21" s="347"/>
      <c r="W21" s="348"/>
      <c r="X21" s="349">
        <f t="shared" si="17"/>
        <v>1850.49</v>
      </c>
      <c r="Y21" s="350">
        <f t="shared" si="17"/>
        <v>1787</v>
      </c>
      <c r="Z21" s="351">
        <f t="shared" si="9"/>
        <v>3637.49</v>
      </c>
      <c r="AA21" s="350">
        <f t="shared" si="10"/>
        <v>1031.8599999999999</v>
      </c>
      <c r="AB21" s="349">
        <f t="shared" si="10"/>
        <v>0</v>
      </c>
      <c r="AC21" s="350">
        <f t="shared" si="10"/>
        <v>-33.68</v>
      </c>
      <c r="AD21" s="349">
        <f t="shared" si="10"/>
        <v>-11.22</v>
      </c>
      <c r="AE21" s="350">
        <f t="shared" si="10"/>
        <v>-6.14</v>
      </c>
      <c r="AF21" s="352">
        <f t="shared" si="11"/>
        <v>4618.3100000000004</v>
      </c>
      <c r="AG21" s="352">
        <f t="shared" si="12"/>
        <v>-664.09</v>
      </c>
      <c r="AH21" s="352">
        <f>-39.5-39.5-39.5</f>
        <v>-118.5</v>
      </c>
      <c r="AI21" s="351">
        <f t="shared" si="13"/>
        <v>-782.59</v>
      </c>
      <c r="AJ21" s="344">
        <f t="shared" si="14"/>
        <v>492992.17</v>
      </c>
      <c r="AK21" s="353"/>
      <c r="AL21" s="354"/>
      <c r="AM21" s="355">
        <f t="shared" si="15"/>
        <v>1027973.41</v>
      </c>
      <c r="AN21" s="355">
        <f t="shared" si="16"/>
        <v>1287551.68</v>
      </c>
      <c r="AO21" s="356"/>
      <c r="AP21" s="357">
        <v>512877.8</v>
      </c>
      <c r="AQ21" s="358">
        <v>610479.87</v>
      </c>
      <c r="AR21" s="359">
        <v>0</v>
      </c>
      <c r="AS21" s="359">
        <v>0</v>
      </c>
      <c r="AT21" s="359">
        <v>0</v>
      </c>
      <c r="AU21" s="359">
        <v>0</v>
      </c>
      <c r="AV21" s="359">
        <v>0</v>
      </c>
      <c r="AW21" s="359">
        <v>0</v>
      </c>
      <c r="AX21" s="359">
        <v>0</v>
      </c>
      <c r="AY21" s="359">
        <v>0</v>
      </c>
      <c r="AZ21" s="359">
        <v>0</v>
      </c>
      <c r="BA21" s="359">
        <v>0</v>
      </c>
      <c r="BB21" s="359">
        <v>0</v>
      </c>
      <c r="BC21" s="359">
        <v>0</v>
      </c>
      <c r="BD21" s="359">
        <v>0</v>
      </c>
      <c r="BE21" s="359">
        <v>0</v>
      </c>
      <c r="BF21" s="359">
        <v>0</v>
      </c>
      <c r="BG21" s="359">
        <v>0</v>
      </c>
      <c r="BH21" s="359">
        <v>0</v>
      </c>
      <c r="BI21" s="359">
        <v>0</v>
      </c>
      <c r="BJ21" s="359">
        <v>0</v>
      </c>
      <c r="BK21" s="359">
        <v>0</v>
      </c>
    </row>
    <row r="22" spans="1:63" s="82" customFormat="1" ht="16.149999999999999" customHeight="1">
      <c r="A22" s="159" t="s">
        <v>80</v>
      </c>
      <c r="B22" s="67" t="s">
        <v>87</v>
      </c>
      <c r="C22" s="179" t="s">
        <v>66</v>
      </c>
      <c r="D22" s="20" t="s">
        <v>12</v>
      </c>
      <c r="E22" s="314">
        <v>9133</v>
      </c>
      <c r="F22" s="45">
        <v>546821.06999999995</v>
      </c>
      <c r="G22" s="9">
        <v>0</v>
      </c>
      <c r="H22" s="129">
        <f t="shared" si="0"/>
        <v>546821.06999999995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727.34</v>
      </c>
      <c r="M22" s="9">
        <f t="shared" si="3"/>
        <v>727.34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547548.41</v>
      </c>
      <c r="S22" s="14">
        <f t="shared" si="7"/>
        <v>689663.06</v>
      </c>
      <c r="T22" s="86">
        <v>417241.69</v>
      </c>
      <c r="U22" s="79">
        <f t="shared" si="8"/>
        <v>0.14788081</v>
      </c>
      <c r="V22" s="316"/>
      <c r="W22" s="317"/>
      <c r="X22" s="204">
        <f t="shared" si="17"/>
        <v>1893.96</v>
      </c>
      <c r="Y22" s="268">
        <f t="shared" si="17"/>
        <v>1828.98</v>
      </c>
      <c r="Z22" s="124">
        <f t="shared" si="9"/>
        <v>3722.94</v>
      </c>
      <c r="AA22" s="268">
        <f t="shared" si="10"/>
        <v>1056.0999999999999</v>
      </c>
      <c r="AB22" s="204">
        <f t="shared" si="10"/>
        <v>0</v>
      </c>
      <c r="AC22" s="268">
        <f t="shared" si="10"/>
        <v>-34.47</v>
      </c>
      <c r="AD22" s="204">
        <f t="shared" si="10"/>
        <v>-11.48</v>
      </c>
      <c r="AE22" s="268">
        <f t="shared" si="10"/>
        <v>-6.28</v>
      </c>
      <c r="AF22" s="7">
        <f t="shared" si="11"/>
        <v>4726.8100000000004</v>
      </c>
      <c r="AG22" s="7">
        <f t="shared" si="12"/>
        <v>-679.69</v>
      </c>
      <c r="AH22" s="7">
        <v>0</v>
      </c>
      <c r="AI22" s="124">
        <f t="shared" si="13"/>
        <v>-679.69</v>
      </c>
      <c r="AJ22" s="14">
        <f t="shared" si="14"/>
        <v>421288.81</v>
      </c>
      <c r="AK22" s="283"/>
      <c r="AL22" s="284"/>
      <c r="AM22" s="33">
        <f t="shared" si="15"/>
        <v>968837.22</v>
      </c>
      <c r="AN22" s="33">
        <f t="shared" si="16"/>
        <v>1214118.33</v>
      </c>
      <c r="AO22" s="83"/>
      <c r="AP22" s="114">
        <v>524925.73</v>
      </c>
      <c r="AQ22" s="186">
        <v>624820.56000000006</v>
      </c>
      <c r="AR22" s="192">
        <v>0</v>
      </c>
      <c r="AS22" s="192">
        <v>0</v>
      </c>
      <c r="AT22" s="192">
        <v>0</v>
      </c>
      <c r="AU22" s="192">
        <v>0</v>
      </c>
      <c r="AV22" s="192">
        <v>0</v>
      </c>
      <c r="AW22" s="192">
        <v>0</v>
      </c>
      <c r="AX22" s="192">
        <v>0</v>
      </c>
      <c r="AY22" s="192">
        <v>0</v>
      </c>
      <c r="AZ22" s="192">
        <v>0</v>
      </c>
      <c r="BA22" s="192">
        <v>0</v>
      </c>
      <c r="BB22" s="192">
        <v>0</v>
      </c>
      <c r="BC22" s="192">
        <v>0</v>
      </c>
      <c r="BD22" s="192">
        <v>0</v>
      </c>
      <c r="BE22" s="192">
        <v>0</v>
      </c>
      <c r="BF22" s="192">
        <v>0</v>
      </c>
      <c r="BG22" s="192">
        <v>0</v>
      </c>
      <c r="BH22" s="192">
        <v>0</v>
      </c>
      <c r="BI22" s="192">
        <v>0</v>
      </c>
      <c r="BJ22" s="192">
        <v>0</v>
      </c>
      <c r="BK22" s="192">
        <v>0</v>
      </c>
    </row>
    <row r="23" spans="1:63" s="82" customFormat="1" ht="16.149999999999999" customHeight="1">
      <c r="A23" s="159" t="s">
        <v>80</v>
      </c>
      <c r="B23" s="67" t="s">
        <v>91</v>
      </c>
      <c r="C23" s="179" t="s">
        <v>64</v>
      </c>
      <c r="D23" s="20" t="s">
        <v>12</v>
      </c>
      <c r="E23" s="314">
        <v>21916</v>
      </c>
      <c r="F23" s="45">
        <v>2828.23</v>
      </c>
      <c r="G23" s="9">
        <v>0</v>
      </c>
      <c r="H23" s="129">
        <f t="shared" si="0"/>
        <v>2828.23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3.76</v>
      </c>
      <c r="M23" s="9">
        <f t="shared" si="3"/>
        <v>3.76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2831.99</v>
      </c>
      <c r="S23" s="14">
        <f t="shared" si="7"/>
        <v>3567.03</v>
      </c>
      <c r="T23" s="86">
        <v>1990.25</v>
      </c>
      <c r="U23" s="79">
        <f t="shared" si="8"/>
        <v>7.6486000000000002E-4</v>
      </c>
      <c r="V23" s="203"/>
      <c r="W23" s="264"/>
      <c r="X23" s="204">
        <f t="shared" si="17"/>
        <v>9.8000000000000007</v>
      </c>
      <c r="Y23" s="268">
        <f t="shared" si="17"/>
        <v>9.4600000000000009</v>
      </c>
      <c r="Z23" s="124">
        <f t="shared" si="9"/>
        <v>19.260000000000002</v>
      </c>
      <c r="AA23" s="268">
        <f t="shared" si="10"/>
        <v>5.46</v>
      </c>
      <c r="AB23" s="204">
        <f t="shared" si="10"/>
        <v>0</v>
      </c>
      <c r="AC23" s="268">
        <f t="shared" si="10"/>
        <v>-0.18</v>
      </c>
      <c r="AD23" s="204">
        <f t="shared" si="10"/>
        <v>-0.06</v>
      </c>
      <c r="AE23" s="268">
        <f t="shared" si="10"/>
        <v>-0.03</v>
      </c>
      <c r="AF23" s="7">
        <f t="shared" si="11"/>
        <v>24.45</v>
      </c>
      <c r="AG23" s="7">
        <f t="shared" si="12"/>
        <v>-3.52</v>
      </c>
      <c r="AH23" s="7">
        <v>0</v>
      </c>
      <c r="AI23" s="124">
        <f t="shared" si="13"/>
        <v>-3.52</v>
      </c>
      <c r="AJ23" s="14">
        <f t="shared" si="14"/>
        <v>2011.18</v>
      </c>
      <c r="AK23" s="285"/>
      <c r="AL23" s="236"/>
      <c r="AM23" s="33">
        <f t="shared" si="15"/>
        <v>4843.17</v>
      </c>
      <c r="AN23" s="33">
        <f t="shared" si="16"/>
        <v>6070.71</v>
      </c>
      <c r="AO23" s="83"/>
      <c r="AP23" s="114">
        <v>2714.97</v>
      </c>
      <c r="AQ23" s="186">
        <v>3231.64</v>
      </c>
      <c r="AR23" s="192">
        <v>0</v>
      </c>
      <c r="AS23" s="192">
        <v>0</v>
      </c>
      <c r="AT23" s="192">
        <v>0</v>
      </c>
      <c r="AU23" s="192">
        <v>0</v>
      </c>
      <c r="AV23" s="192">
        <v>0</v>
      </c>
      <c r="AW23" s="192">
        <v>0</v>
      </c>
      <c r="AX23" s="192">
        <v>0</v>
      </c>
      <c r="AY23" s="192">
        <v>0</v>
      </c>
      <c r="AZ23" s="192">
        <v>0</v>
      </c>
      <c r="BA23" s="192">
        <v>0</v>
      </c>
      <c r="BB23" s="192">
        <v>0</v>
      </c>
      <c r="BC23" s="192">
        <v>0</v>
      </c>
      <c r="BD23" s="192">
        <v>0</v>
      </c>
      <c r="BE23" s="192">
        <v>0</v>
      </c>
      <c r="BF23" s="192">
        <v>0</v>
      </c>
      <c r="BG23" s="192">
        <v>0</v>
      </c>
      <c r="BH23" s="192">
        <v>0</v>
      </c>
      <c r="BI23" s="192">
        <v>0</v>
      </c>
      <c r="BJ23" s="192">
        <v>0</v>
      </c>
      <c r="BK23" s="192">
        <v>0</v>
      </c>
    </row>
    <row r="24" spans="1:63" s="82" customFormat="1" ht="16.149999999999999" customHeight="1">
      <c r="A24" s="159" t="s">
        <v>80</v>
      </c>
      <c r="B24" s="67" t="s">
        <v>141</v>
      </c>
      <c r="C24" s="179" t="s">
        <v>64</v>
      </c>
      <c r="D24" s="20" t="s">
        <v>12</v>
      </c>
      <c r="E24" s="314">
        <v>23743</v>
      </c>
      <c r="F24" s="45">
        <v>1484330.8</v>
      </c>
      <c r="G24" s="9">
        <v>0</v>
      </c>
      <c r="H24" s="129">
        <f t="shared" si="0"/>
        <v>1484330.8</v>
      </c>
      <c r="I24" s="76">
        <f t="shared" si="1"/>
        <v>0.40141841</v>
      </c>
      <c r="J24" s="128"/>
      <c r="K24" s="128">
        <f>$I24*K$31</f>
        <v>0</v>
      </c>
      <c r="L24" s="128">
        <f>($I24*L$31)</f>
        <v>1974.34</v>
      </c>
      <c r="M24" s="9">
        <f t="shared" si="3"/>
        <v>1974.34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1486305.14</v>
      </c>
      <c r="S24" s="14">
        <f t="shared" si="7"/>
        <v>1872071.46</v>
      </c>
      <c r="T24" s="86">
        <v>687304.93</v>
      </c>
      <c r="U24" s="79">
        <f t="shared" si="8"/>
        <v>0.40141841</v>
      </c>
      <c r="V24" s="203"/>
      <c r="W24" s="264"/>
      <c r="X24" s="311">
        <f>($U24*X$31)</f>
        <v>5141.09</v>
      </c>
      <c r="Y24" s="312">
        <f>($U24*Y$31)+0.01</f>
        <v>4964.72</v>
      </c>
      <c r="Z24" s="313">
        <f t="shared" si="9"/>
        <v>10105.81</v>
      </c>
      <c r="AA24" s="312">
        <f>($U24*AA$31)-0.01</f>
        <v>2866.76</v>
      </c>
      <c r="AB24" s="311">
        <f>($U24*AB$31)</f>
        <v>0</v>
      </c>
      <c r="AC24" s="312">
        <f>($U24*AC$31)+0.01</f>
        <v>-93.56</v>
      </c>
      <c r="AD24" s="311">
        <f>($U24*AD$31)+0.02</f>
        <v>-31.14</v>
      </c>
      <c r="AE24" s="312">
        <f>($U24*AE$31)+0.01</f>
        <v>-17.04</v>
      </c>
      <c r="AF24" s="7">
        <f t="shared" si="11"/>
        <v>12830.83</v>
      </c>
      <c r="AG24" s="7">
        <f>(U24*AG$31)</f>
        <v>-1845</v>
      </c>
      <c r="AH24" s="7">
        <v>0</v>
      </c>
      <c r="AI24" s="124">
        <f t="shared" si="13"/>
        <v>-1845</v>
      </c>
      <c r="AJ24" s="14">
        <f t="shared" si="14"/>
        <v>698290.76</v>
      </c>
      <c r="AK24" s="285"/>
      <c r="AL24" s="236"/>
      <c r="AM24" s="33">
        <f t="shared" si="15"/>
        <v>2184595.9</v>
      </c>
      <c r="AN24" s="33">
        <f>((S24+AJ24)+((AJ24/AJ$31)*AO$49))+0.01</f>
        <v>2741361.75</v>
      </c>
      <c r="AO24" s="83"/>
      <c r="AP24" s="114">
        <v>1424896.51</v>
      </c>
      <c r="AQ24" s="186">
        <v>1696058.26</v>
      </c>
      <c r="AR24" s="192">
        <v>0</v>
      </c>
      <c r="AS24" s="192">
        <v>0</v>
      </c>
      <c r="AT24" s="192">
        <v>0</v>
      </c>
      <c r="AU24" s="192">
        <v>0</v>
      </c>
      <c r="AV24" s="192">
        <v>0</v>
      </c>
      <c r="AW24" s="192">
        <v>0</v>
      </c>
      <c r="AX24" s="192">
        <v>0</v>
      </c>
      <c r="AY24" s="192">
        <v>0</v>
      </c>
      <c r="AZ24" s="192">
        <v>0</v>
      </c>
      <c r="BA24" s="192">
        <v>0</v>
      </c>
      <c r="BB24" s="192">
        <v>0</v>
      </c>
      <c r="BC24" s="192">
        <v>0</v>
      </c>
      <c r="BD24" s="192">
        <v>0</v>
      </c>
      <c r="BE24" s="192">
        <v>0</v>
      </c>
      <c r="BF24" s="192">
        <v>0</v>
      </c>
      <c r="BG24" s="192">
        <v>0</v>
      </c>
      <c r="BH24" s="192">
        <v>0</v>
      </c>
      <c r="BI24" s="192">
        <v>0</v>
      </c>
      <c r="BJ24" s="192">
        <v>0</v>
      </c>
      <c r="BK24" s="192">
        <v>0</v>
      </c>
    </row>
    <row r="25" spans="1:63" s="82" customFormat="1" ht="16.149999999999999" customHeight="1">
      <c r="A25" s="159" t="s">
        <v>80</v>
      </c>
      <c r="B25" s="67" t="s">
        <v>93</v>
      </c>
      <c r="C25" s="179" t="s">
        <v>64</v>
      </c>
      <c r="D25" s="20" t="s">
        <v>12</v>
      </c>
      <c r="E25" s="314">
        <v>23743</v>
      </c>
      <c r="F25" s="45">
        <v>323275.38</v>
      </c>
      <c r="G25" s="9">
        <v>0</v>
      </c>
      <c r="H25" s="129">
        <f t="shared" si="0"/>
        <v>323275.38</v>
      </c>
      <c r="I25" s="76">
        <f t="shared" si="1"/>
        <v>8.7425719999999998E-2</v>
      </c>
      <c r="J25" s="128"/>
      <c r="K25" s="128">
        <f>$I25*K$31</f>
        <v>0</v>
      </c>
      <c r="L25" s="128">
        <f>$I25*L$31</f>
        <v>430</v>
      </c>
      <c r="M25" s="9">
        <f t="shared" si="3"/>
        <v>430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323705.38</v>
      </c>
      <c r="S25" s="14">
        <f t="shared" si="7"/>
        <v>407722.2</v>
      </c>
      <c r="T25" s="86">
        <v>181330.11</v>
      </c>
      <c r="U25" s="79">
        <f t="shared" si="8"/>
        <v>8.7425719999999998E-2</v>
      </c>
      <c r="V25" s="203"/>
      <c r="W25" s="264"/>
      <c r="X25" s="204">
        <f t="shared" ref="X25:Y28" si="18">$U25*X$31</f>
        <v>1119.69</v>
      </c>
      <c r="Y25" s="268">
        <f t="shared" si="18"/>
        <v>1081.27</v>
      </c>
      <c r="Z25" s="124">
        <f t="shared" si="9"/>
        <v>2200.96</v>
      </c>
      <c r="AA25" s="268">
        <f t="shared" ref="AA25:AE28" si="19">$U25*AA$31</f>
        <v>624.36</v>
      </c>
      <c r="AB25" s="204">
        <f t="shared" si="19"/>
        <v>0</v>
      </c>
      <c r="AC25" s="268">
        <f t="shared" si="19"/>
        <v>-20.38</v>
      </c>
      <c r="AD25" s="204">
        <f t="shared" si="19"/>
        <v>-6.79</v>
      </c>
      <c r="AE25" s="268">
        <f t="shared" si="19"/>
        <v>-3.71</v>
      </c>
      <c r="AF25" s="7">
        <f t="shared" si="11"/>
        <v>2794.44</v>
      </c>
      <c r="AG25" s="7">
        <f>U25*AG$31</f>
        <v>-401.83</v>
      </c>
      <c r="AH25" s="7">
        <v>0</v>
      </c>
      <c r="AI25" s="124">
        <f t="shared" si="13"/>
        <v>-401.83</v>
      </c>
      <c r="AJ25" s="14">
        <f t="shared" si="14"/>
        <v>183722.72</v>
      </c>
      <c r="AK25" s="285"/>
      <c r="AL25" s="236"/>
      <c r="AM25" s="33">
        <f t="shared" si="15"/>
        <v>507428.1</v>
      </c>
      <c r="AN25" s="33">
        <f>(S25+AJ25)+((AJ25/AJ$31)*AO$49)</f>
        <v>636435.49</v>
      </c>
      <c r="AO25" s="83"/>
      <c r="AP25" s="114">
        <v>310331.06</v>
      </c>
      <c r="AQ25" s="186">
        <v>369387.93</v>
      </c>
      <c r="AR25" s="192">
        <v>0</v>
      </c>
      <c r="AS25" s="192">
        <v>0</v>
      </c>
      <c r="AT25" s="192">
        <v>0</v>
      </c>
      <c r="AU25" s="192">
        <v>0</v>
      </c>
      <c r="AV25" s="192">
        <v>0</v>
      </c>
      <c r="AW25" s="192">
        <v>0</v>
      </c>
      <c r="AX25" s="192">
        <v>0</v>
      </c>
      <c r="AY25" s="192">
        <v>0</v>
      </c>
      <c r="AZ25" s="192">
        <v>0</v>
      </c>
      <c r="BA25" s="192">
        <v>0</v>
      </c>
      <c r="BB25" s="192">
        <v>0</v>
      </c>
      <c r="BC25" s="192">
        <v>0</v>
      </c>
      <c r="BD25" s="192">
        <v>0</v>
      </c>
      <c r="BE25" s="192">
        <v>0</v>
      </c>
      <c r="BF25" s="192">
        <v>0</v>
      </c>
      <c r="BG25" s="192">
        <v>0</v>
      </c>
      <c r="BH25" s="192">
        <v>0</v>
      </c>
      <c r="BI25" s="192">
        <v>0</v>
      </c>
      <c r="BJ25" s="192">
        <v>0</v>
      </c>
      <c r="BK25" s="192">
        <v>0</v>
      </c>
    </row>
    <row r="26" spans="1:63" s="82" customFormat="1" ht="16.149999999999999" customHeight="1">
      <c r="A26" s="159" t="s">
        <v>80</v>
      </c>
      <c r="B26" s="67" t="s">
        <v>140</v>
      </c>
      <c r="C26" s="179" t="s">
        <v>64</v>
      </c>
      <c r="D26" s="20" t="s">
        <v>12</v>
      </c>
      <c r="E26" s="314">
        <v>16438</v>
      </c>
      <c r="F26" s="45">
        <v>13544.62</v>
      </c>
      <c r="G26" s="9">
        <v>0</v>
      </c>
      <c r="H26" s="129">
        <f t="shared" si="0"/>
        <v>13544.62</v>
      </c>
      <c r="I26" s="76">
        <f t="shared" si="1"/>
        <v>3.6629700000000002E-3</v>
      </c>
      <c r="J26" s="128"/>
      <c r="K26" s="128">
        <f>$I26*K$31</f>
        <v>0</v>
      </c>
      <c r="L26" s="128">
        <f>$I26*L$31</f>
        <v>18.02</v>
      </c>
      <c r="M26" s="9">
        <f t="shared" si="3"/>
        <v>18.02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13562.64</v>
      </c>
      <c r="S26" s="14">
        <f t="shared" si="7"/>
        <v>17082.79</v>
      </c>
      <c r="T26" s="86">
        <v>9715.27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18"/>
        <v>46.91</v>
      </c>
      <c r="Y26" s="268">
        <f t="shared" si="18"/>
        <v>45.3</v>
      </c>
      <c r="Z26" s="124">
        <f t="shared" si="9"/>
        <v>92.21</v>
      </c>
      <c r="AA26" s="268">
        <f t="shared" si="19"/>
        <v>26.16</v>
      </c>
      <c r="AB26" s="204">
        <f t="shared" si="19"/>
        <v>0</v>
      </c>
      <c r="AC26" s="268">
        <f t="shared" si="19"/>
        <v>-0.85</v>
      </c>
      <c r="AD26" s="204">
        <f t="shared" si="19"/>
        <v>-0.28000000000000003</v>
      </c>
      <c r="AE26" s="268">
        <f t="shared" si="19"/>
        <v>-0.16</v>
      </c>
      <c r="AF26" s="7">
        <f t="shared" si="11"/>
        <v>117.08</v>
      </c>
      <c r="AG26" s="7">
        <f>U26*AG$31</f>
        <v>-16.84</v>
      </c>
      <c r="AH26" s="7">
        <v>0</v>
      </c>
      <c r="AI26" s="124">
        <f t="shared" si="13"/>
        <v>-16.84</v>
      </c>
      <c r="AJ26" s="14">
        <f t="shared" si="14"/>
        <v>9815.51</v>
      </c>
      <c r="AK26" s="233"/>
      <c r="AL26" s="284"/>
      <c r="AM26" s="33">
        <f t="shared" si="15"/>
        <v>23378.15</v>
      </c>
      <c r="AN26" s="33">
        <f>(S26+AJ26)+((AJ26/AJ$31)*AO$49)</f>
        <v>29301.95</v>
      </c>
      <c r="AO26" s="83"/>
      <c r="AP26" s="114">
        <v>13002.29</v>
      </c>
      <c r="AQ26" s="186">
        <v>15476.66</v>
      </c>
      <c r="AR26" s="192">
        <v>0</v>
      </c>
      <c r="AS26" s="192">
        <v>0</v>
      </c>
      <c r="AT26" s="192">
        <v>0</v>
      </c>
      <c r="AU26" s="192">
        <v>0</v>
      </c>
      <c r="AV26" s="192">
        <v>0</v>
      </c>
      <c r="AW26" s="192">
        <v>0</v>
      </c>
      <c r="AX26" s="192">
        <v>0</v>
      </c>
      <c r="AY26" s="192">
        <v>0</v>
      </c>
      <c r="AZ26" s="192">
        <v>0</v>
      </c>
      <c r="BA26" s="192">
        <v>0</v>
      </c>
      <c r="BB26" s="192">
        <v>0</v>
      </c>
      <c r="BC26" s="192">
        <v>0</v>
      </c>
      <c r="BD26" s="192">
        <v>0</v>
      </c>
      <c r="BE26" s="192">
        <v>0</v>
      </c>
      <c r="BF26" s="192">
        <v>0</v>
      </c>
      <c r="BG26" s="192">
        <v>0</v>
      </c>
      <c r="BH26" s="192">
        <v>0</v>
      </c>
      <c r="BI26" s="192">
        <v>0</v>
      </c>
      <c r="BJ26" s="192">
        <v>0</v>
      </c>
      <c r="BK26" s="192">
        <v>0</v>
      </c>
    </row>
    <row r="27" spans="1:63" s="82" customFormat="1" ht="16.149999999999999" customHeight="1">
      <c r="A27" s="159" t="s">
        <v>80</v>
      </c>
      <c r="B27" s="67" t="s">
        <v>139</v>
      </c>
      <c r="C27" s="179" t="s">
        <v>64</v>
      </c>
      <c r="D27" s="20" t="s">
        <v>12</v>
      </c>
      <c r="E27" s="314">
        <v>16438</v>
      </c>
      <c r="F27" s="45">
        <v>13362.88</v>
      </c>
      <c r="G27" s="9">
        <v>0</v>
      </c>
      <c r="H27" s="129">
        <f t="shared" si="0"/>
        <v>13362.88</v>
      </c>
      <c r="I27" s="76">
        <f t="shared" si="1"/>
        <v>3.6138199999999998E-3</v>
      </c>
      <c r="J27" s="128"/>
      <c r="K27" s="128">
        <f>$I27*K$31</f>
        <v>0</v>
      </c>
      <c r="L27" s="128">
        <f>$I27*L$31</f>
        <v>17.77</v>
      </c>
      <c r="M27" s="9">
        <f t="shared" si="3"/>
        <v>17.77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13380.65</v>
      </c>
      <c r="S27" s="14">
        <f t="shared" si="7"/>
        <v>16853.560000000001</v>
      </c>
      <c r="T27" s="86">
        <v>7040.64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18"/>
        <v>46.28</v>
      </c>
      <c r="Y27" s="268">
        <f t="shared" si="18"/>
        <v>44.7</v>
      </c>
      <c r="Z27" s="124">
        <f t="shared" si="9"/>
        <v>90.98</v>
      </c>
      <c r="AA27" s="268">
        <f t="shared" si="19"/>
        <v>25.81</v>
      </c>
      <c r="AB27" s="204">
        <f t="shared" si="19"/>
        <v>0</v>
      </c>
      <c r="AC27" s="268">
        <f t="shared" si="19"/>
        <v>-0.84</v>
      </c>
      <c r="AD27" s="204">
        <f t="shared" si="19"/>
        <v>-0.28000000000000003</v>
      </c>
      <c r="AE27" s="268">
        <f t="shared" si="19"/>
        <v>-0.15</v>
      </c>
      <c r="AF27" s="7">
        <f t="shared" si="11"/>
        <v>115.52</v>
      </c>
      <c r="AG27" s="7">
        <f>U27*AG$31</f>
        <v>-16.61</v>
      </c>
      <c r="AH27" s="7">
        <v>0</v>
      </c>
      <c r="AI27" s="124">
        <f t="shared" si="13"/>
        <v>-16.61</v>
      </c>
      <c r="AJ27" s="14">
        <f t="shared" si="14"/>
        <v>7139.55</v>
      </c>
      <c r="AK27" s="233" t="s">
        <v>120</v>
      </c>
      <c r="AL27" s="236" t="s">
        <v>115</v>
      </c>
      <c r="AM27" s="33">
        <f t="shared" si="15"/>
        <v>20520.2</v>
      </c>
      <c r="AN27" s="33">
        <f>(S27+AJ27)+((AJ27/AJ$31)*AO$49)</f>
        <v>25741.46</v>
      </c>
      <c r="AO27" s="83"/>
      <c r="AP27" s="114">
        <v>12827.82</v>
      </c>
      <c r="AQ27" s="186">
        <v>15268.99</v>
      </c>
      <c r="AR27" s="192">
        <v>0</v>
      </c>
      <c r="AS27" s="192">
        <v>0</v>
      </c>
      <c r="AT27" s="192">
        <v>0</v>
      </c>
      <c r="AU27" s="192">
        <v>0</v>
      </c>
      <c r="AV27" s="192">
        <v>0</v>
      </c>
      <c r="AW27" s="192">
        <v>0</v>
      </c>
      <c r="AX27" s="192">
        <v>0</v>
      </c>
      <c r="AY27" s="192">
        <v>0</v>
      </c>
      <c r="AZ27" s="192">
        <v>0</v>
      </c>
      <c r="BA27" s="192">
        <v>0</v>
      </c>
      <c r="BB27" s="192">
        <v>0</v>
      </c>
      <c r="BC27" s="192">
        <v>0</v>
      </c>
      <c r="BD27" s="192">
        <v>0</v>
      </c>
      <c r="BE27" s="192">
        <v>0</v>
      </c>
      <c r="BF27" s="192">
        <v>0</v>
      </c>
      <c r="BG27" s="192">
        <v>0</v>
      </c>
      <c r="BH27" s="192">
        <v>0</v>
      </c>
      <c r="BI27" s="192">
        <v>0</v>
      </c>
      <c r="BJ27" s="192">
        <v>0</v>
      </c>
      <c r="BK27" s="192">
        <v>0</v>
      </c>
    </row>
    <row r="28" spans="1:63" s="82" customFormat="1" ht="16.149999999999999" customHeight="1">
      <c r="A28" s="159" t="s">
        <v>80</v>
      </c>
      <c r="B28" s="67" t="s">
        <v>94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18"/>
        <v>0</v>
      </c>
      <c r="Y28" s="268">
        <f t="shared" si="18"/>
        <v>0</v>
      </c>
      <c r="Z28" s="124">
        <f t="shared" si="9"/>
        <v>0</v>
      </c>
      <c r="AA28" s="268">
        <f t="shared" si="19"/>
        <v>0</v>
      </c>
      <c r="AB28" s="204">
        <f t="shared" si="19"/>
        <v>0</v>
      </c>
      <c r="AC28" s="268">
        <f t="shared" si="19"/>
        <v>0</v>
      </c>
      <c r="AD28" s="204">
        <f t="shared" si="19"/>
        <v>0</v>
      </c>
      <c r="AE28" s="268">
        <f t="shared" si="1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v>0</v>
      </c>
      <c r="AS28" s="192">
        <v>0</v>
      </c>
      <c r="AT28" s="192">
        <v>0</v>
      </c>
      <c r="AU28" s="192">
        <v>0</v>
      </c>
      <c r="AV28" s="192">
        <v>0</v>
      </c>
      <c r="AW28" s="192">
        <v>0</v>
      </c>
      <c r="AX28" s="192">
        <v>0</v>
      </c>
      <c r="AY28" s="192">
        <v>0</v>
      </c>
      <c r="AZ28" s="192">
        <v>0</v>
      </c>
      <c r="BA28" s="192">
        <v>0</v>
      </c>
      <c r="BB28" s="192">
        <v>0</v>
      </c>
      <c r="BC28" s="192">
        <v>0</v>
      </c>
      <c r="BD28" s="192">
        <v>0</v>
      </c>
      <c r="BE28" s="192">
        <v>0</v>
      </c>
      <c r="BF28" s="192">
        <v>0</v>
      </c>
      <c r="BG28" s="192">
        <v>0</v>
      </c>
      <c r="BH28" s="192">
        <v>0</v>
      </c>
      <c r="BI28" s="192">
        <v>0</v>
      </c>
      <c r="BJ28" s="192">
        <v>0</v>
      </c>
      <c r="BK28" s="192"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3699289.84</v>
      </c>
      <c r="G31" s="48">
        <f>SUM(G12:G29)</f>
        <v>0</v>
      </c>
      <c r="H31" s="130">
        <f>SUM(H12:H29)</f>
        <v>3699289.84</v>
      </c>
      <c r="I31" s="78">
        <f>SUM(I12:I30)</f>
        <v>1</v>
      </c>
      <c r="J31" s="115"/>
      <c r="K31" s="115">
        <v>0</v>
      </c>
      <c r="L31" s="115">
        <v>4918.41</v>
      </c>
      <c r="M31" s="48">
        <f>SUM(M12:M29)</f>
        <v>4918.41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3704208.25</v>
      </c>
      <c r="S31" s="49">
        <f>R31+AO45</f>
        <v>4665216.3</v>
      </c>
      <c r="T31" s="50">
        <f>SUM(T12:T29)</f>
        <v>2415123.2799999998</v>
      </c>
      <c r="U31" s="51">
        <f>SUM(U12:U30)</f>
        <v>1</v>
      </c>
      <c r="V31" s="206">
        <v>0</v>
      </c>
      <c r="W31" s="306">
        <v>2415123.2799999998</v>
      </c>
      <c r="X31" s="206">
        <f>140.14+12667.18</f>
        <v>12807.32</v>
      </c>
      <c r="Y31" s="266">
        <f>3881.25+8486.66</f>
        <v>12367.91</v>
      </c>
      <c r="Z31" s="115">
        <f>SUM(Z12:Z29)</f>
        <v>25175.23</v>
      </c>
      <c r="AA31" s="272">
        <v>7141.59</v>
      </c>
      <c r="AB31" s="210">
        <v>0</v>
      </c>
      <c r="AC31" s="272">
        <v>-233.09</v>
      </c>
      <c r="AD31" s="210">
        <f>-77.62</f>
        <v>-77.62</v>
      </c>
      <c r="AE31" s="272">
        <v>-42.47</v>
      </c>
      <c r="AF31" s="48">
        <f>SUM(AF12:AF29)</f>
        <v>31963.64</v>
      </c>
      <c r="AG31" s="80">
        <f>-2783.92-1812.29</f>
        <v>-4596.21</v>
      </c>
      <c r="AH31" s="48">
        <f>SUM(AH12:AH30)</f>
        <v>-118.5</v>
      </c>
      <c r="AI31" s="115">
        <f>SUM(AI12:AI30)</f>
        <v>-4714.71</v>
      </c>
      <c r="AJ31" s="52">
        <f>SUM(AJ12:AJ30)</f>
        <v>2442372.21</v>
      </c>
      <c r="AK31" s="210">
        <f>V31+X31+AB31+AD31-12729.7</f>
        <v>0</v>
      </c>
      <c r="AL31" s="305">
        <f>W31+Y31+AA31+AC31+AE31++AG31+AH31+12729.7</f>
        <v>2442372.21</v>
      </c>
      <c r="AM31" s="35">
        <f>SUM(AM12:AM29)</f>
        <v>6146580.46</v>
      </c>
      <c r="AN31" s="35">
        <f>3040467.6+4663641.3+1575</f>
        <v>7705683.9000000004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20">SUM(AS12:AS29)</f>
        <v>0</v>
      </c>
      <c r="AT31" s="115">
        <v>0</v>
      </c>
      <c r="AU31" s="115">
        <f t="shared" si="20"/>
        <v>0</v>
      </c>
      <c r="AV31" s="48">
        <f t="shared" si="20"/>
        <v>0</v>
      </c>
      <c r="AW31" s="48">
        <f t="shared" si="20"/>
        <v>0</v>
      </c>
      <c r="AX31" s="48">
        <f t="shared" si="20"/>
        <v>0</v>
      </c>
      <c r="AY31" s="48">
        <f t="shared" si="20"/>
        <v>0</v>
      </c>
      <c r="AZ31" s="48">
        <f t="shared" si="20"/>
        <v>0</v>
      </c>
      <c r="BA31" s="200">
        <f t="shared" si="20"/>
        <v>0</v>
      </c>
      <c r="BB31" s="115">
        <f t="shared" si="20"/>
        <v>0</v>
      </c>
      <c r="BC31" s="115">
        <f t="shared" si="20"/>
        <v>0</v>
      </c>
      <c r="BD31" s="210">
        <f t="shared" si="20"/>
        <v>0</v>
      </c>
      <c r="BE31" s="272">
        <f t="shared" si="20"/>
        <v>0</v>
      </c>
      <c r="BF31" s="210">
        <f t="shared" si="20"/>
        <v>0</v>
      </c>
      <c r="BG31" s="272">
        <f t="shared" si="20"/>
        <v>0</v>
      </c>
      <c r="BH31" s="48">
        <f t="shared" si="20"/>
        <v>0</v>
      </c>
      <c r="BI31" s="48">
        <f t="shared" si="20"/>
        <v>0</v>
      </c>
      <c r="BJ31" s="48">
        <f t="shared" si="20"/>
        <v>0</v>
      </c>
      <c r="BK31" s="73">
        <f t="shared" si="20"/>
        <v>0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3697714.84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3702633.25</v>
      </c>
      <c r="S34" s="259">
        <f>S31+S33</f>
        <v>4663641.3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6145005.46</v>
      </c>
      <c r="AN34" s="259">
        <f>AN31+AN33</f>
        <v>7704108.9000000004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 t="e">
        <f>#REF!</f>
        <v>#REF!</v>
      </c>
      <c r="G38" s="121">
        <f>SUM(G12:G29)</f>
        <v>0</v>
      </c>
      <c r="H38" s="121">
        <f>F31+G31+P31</f>
        <v>3699289.84</v>
      </c>
      <c r="I38" s="144">
        <v>1</v>
      </c>
      <c r="J38" s="121"/>
      <c r="K38" s="121">
        <f>SUM(K12:K29)</f>
        <v>0</v>
      </c>
      <c r="L38" s="121">
        <f>SUM(L12:L29)</f>
        <v>4918.41</v>
      </c>
      <c r="M38" s="121">
        <f>K31+L31</f>
        <v>4918.41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3704208.25</v>
      </c>
      <c r="S38" s="121">
        <f>SUM(S12:S29)</f>
        <v>4665216.3</v>
      </c>
      <c r="T38" s="121" t="e">
        <f>#REF!</f>
        <v>#REF!</v>
      </c>
      <c r="U38" s="144">
        <v>1</v>
      </c>
      <c r="V38" s="229"/>
      <c r="W38" s="198"/>
      <c r="X38" s="121">
        <f t="shared" ref="X38:AE38" si="21">SUM(X12:X29)</f>
        <v>12807.32</v>
      </c>
      <c r="Y38" s="121">
        <f t="shared" si="21"/>
        <v>12367.91</v>
      </c>
      <c r="Z38" s="121">
        <f t="shared" si="21"/>
        <v>25175.23</v>
      </c>
      <c r="AA38" s="121">
        <f t="shared" si="21"/>
        <v>7141.59</v>
      </c>
      <c r="AB38" s="121">
        <f t="shared" si="21"/>
        <v>0</v>
      </c>
      <c r="AC38" s="121">
        <f t="shared" si="21"/>
        <v>-233.09</v>
      </c>
      <c r="AD38" s="121">
        <f t="shared" si="21"/>
        <v>-77.62</v>
      </c>
      <c r="AE38" s="121">
        <f t="shared" si="21"/>
        <v>-42.47</v>
      </c>
      <c r="AF38" s="121">
        <f>SUM(Z31:AE31)</f>
        <v>31963.64</v>
      </c>
      <c r="AG38" s="121">
        <f>SUM(AG12:AG29)</f>
        <v>-4596.21</v>
      </c>
      <c r="AH38" s="121">
        <f>SUM(AH12:AH29)</f>
        <v>-118.5</v>
      </c>
      <c r="AI38" s="121">
        <f>AG38+AH38</f>
        <v>-4714.71</v>
      </c>
      <c r="AJ38" s="121">
        <f>T31+AF31+AI31</f>
        <v>2442372.21</v>
      </c>
      <c r="AK38" s="149"/>
      <c r="AL38" s="121"/>
      <c r="AM38" s="121">
        <f>R31+AJ31</f>
        <v>6146580.46</v>
      </c>
      <c r="AN38" s="121">
        <f>SUM(AN12:AN29)</f>
        <v>7705683.9000000004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4918.41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31963.64</v>
      </c>
      <c r="BI38" s="146">
        <f>AG31</f>
        <v>-4596.21</v>
      </c>
      <c r="BJ38" s="146">
        <f>AH31</f>
        <v>-118.5</v>
      </c>
      <c r="BK38" s="146">
        <f>AI31</f>
        <v>-4714.71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22">AV31-AV38</f>
        <v>-4918.41</v>
      </c>
      <c r="AW40" s="149">
        <f t="shared" si="22"/>
        <v>0</v>
      </c>
      <c r="AX40" s="149">
        <f t="shared" si="22"/>
        <v>0</v>
      </c>
      <c r="AY40" s="149">
        <f t="shared" si="22"/>
        <v>0</v>
      </c>
      <c r="AZ40" s="149">
        <f t="shared" si="22"/>
        <v>0</v>
      </c>
      <c r="BH40" s="149">
        <f t="shared" ref="BH40:BK40" si="23">BH31-BH38</f>
        <v>-31963.64</v>
      </c>
      <c r="BI40" s="149">
        <f t="shared" si="23"/>
        <v>4596.21</v>
      </c>
      <c r="BJ40" s="149">
        <f t="shared" si="23"/>
        <v>118.5</v>
      </c>
      <c r="BK40" s="149">
        <f t="shared" si="23"/>
        <v>4714.71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 t="e">
        <f>#REF!</f>
        <v>#REF!</v>
      </c>
      <c r="AS41" s="141"/>
      <c r="AT41" s="141"/>
      <c r="AU41" s="141"/>
      <c r="AV41" s="141" t="e">
        <f>#REF!</f>
        <v>#REF!</v>
      </c>
      <c r="AW41" s="141" t="e">
        <f>#REF!</f>
        <v>#REF!</v>
      </c>
      <c r="AX41" s="141" t="e">
        <f>#REF!</f>
        <v>#REF!</v>
      </c>
      <c r="AY41" s="141" t="e">
        <f>#REF!</f>
        <v>#REF!</v>
      </c>
      <c r="AZ41" s="141" t="e">
        <f>#REF!</f>
        <v>#REF!</v>
      </c>
      <c r="BA41" s="181"/>
      <c r="BB41" s="181"/>
      <c r="BC41" s="181"/>
      <c r="BD41" s="181"/>
      <c r="BE41" s="181"/>
      <c r="BF41" s="181"/>
      <c r="BG41" s="181"/>
      <c r="BH41" s="141" t="e">
        <f>#REF!</f>
        <v>#REF!</v>
      </c>
      <c r="BI41" s="141" t="e">
        <f>#REF!</f>
        <v>#REF!</v>
      </c>
      <c r="BJ41" s="141" t="e">
        <f>#REF!</f>
        <v>#REF!</v>
      </c>
      <c r="BK41" s="141" t="e">
        <f>#REF!</f>
        <v>#REF!</v>
      </c>
    </row>
    <row r="42" spans="1:63" s="298" customFormat="1" hidden="1">
      <c r="C42" s="299"/>
      <c r="D42" s="299"/>
      <c r="E42" s="300" t="s">
        <v>54</v>
      </c>
      <c r="F42" s="298" t="e">
        <f>F31-F38</f>
        <v>#REF!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24">K31-K38</f>
        <v>0</v>
      </c>
      <c r="L42" s="298">
        <f t="shared" si="24"/>
        <v>0</v>
      </c>
      <c r="M42" s="298">
        <f t="shared" si="24"/>
        <v>0</v>
      </c>
      <c r="N42" s="298">
        <f t="shared" si="24"/>
        <v>0</v>
      </c>
      <c r="O42" s="298">
        <f t="shared" si="24"/>
        <v>0</v>
      </c>
      <c r="P42" s="298">
        <f t="shared" si="24"/>
        <v>0</v>
      </c>
      <c r="Q42" s="298">
        <f t="shared" si="24"/>
        <v>0</v>
      </c>
      <c r="R42" s="298">
        <f t="shared" si="24"/>
        <v>0</v>
      </c>
      <c r="S42" s="298">
        <f t="shared" si="24"/>
        <v>0</v>
      </c>
      <c r="T42" s="298" t="e">
        <f>T31-T38</f>
        <v>#REF!</v>
      </c>
      <c r="U42" s="298">
        <f>U31-U38</f>
        <v>0</v>
      </c>
      <c r="V42" s="303"/>
      <c r="W42" s="302"/>
      <c r="X42" s="298">
        <f t="shared" ref="X42:AN42" si="25">X31-X38</f>
        <v>0</v>
      </c>
      <c r="Y42" s="298">
        <f t="shared" si="25"/>
        <v>0</v>
      </c>
      <c r="Z42" s="298">
        <f t="shared" si="25"/>
        <v>0</v>
      </c>
      <c r="AA42" s="298">
        <f t="shared" si="25"/>
        <v>0</v>
      </c>
      <c r="AB42" s="298">
        <f t="shared" si="25"/>
        <v>0</v>
      </c>
      <c r="AC42" s="298">
        <f t="shared" si="25"/>
        <v>0</v>
      </c>
      <c r="AD42" s="298">
        <f t="shared" si="25"/>
        <v>0</v>
      </c>
      <c r="AE42" s="298">
        <f t="shared" si="25"/>
        <v>0</v>
      </c>
      <c r="AF42" s="298">
        <f t="shared" si="25"/>
        <v>0</v>
      </c>
      <c r="AG42" s="298">
        <f t="shared" si="25"/>
        <v>0</v>
      </c>
      <c r="AH42" s="298">
        <f t="shared" si="25"/>
        <v>0</v>
      </c>
      <c r="AI42" s="298">
        <f t="shared" si="25"/>
        <v>0</v>
      </c>
      <c r="AJ42" s="298">
        <f t="shared" si="25"/>
        <v>0</v>
      </c>
      <c r="AK42" s="303"/>
      <c r="AL42" s="302"/>
      <c r="AM42" s="298">
        <f t="shared" si="25"/>
        <v>0</v>
      </c>
      <c r="AN42" s="298">
        <f t="shared" si="25"/>
        <v>0</v>
      </c>
      <c r="AO42" s="300" t="s">
        <v>6</v>
      </c>
      <c r="AR42" s="298" t="e">
        <f>AR40-AR41</f>
        <v>#REF!</v>
      </c>
      <c r="AV42" s="298" t="e">
        <f t="shared" ref="AV42:AZ42" si="26">AV40-AV41</f>
        <v>#REF!</v>
      </c>
      <c r="AW42" s="298" t="e">
        <f t="shared" si="26"/>
        <v>#REF!</v>
      </c>
      <c r="AX42" s="298" t="e">
        <f t="shared" si="26"/>
        <v>#REF!</v>
      </c>
      <c r="AY42" s="298" t="e">
        <f t="shared" si="26"/>
        <v>#REF!</v>
      </c>
      <c r="AZ42" s="298" t="e">
        <f t="shared" si="26"/>
        <v>#REF!</v>
      </c>
      <c r="BA42" s="302"/>
      <c r="BB42" s="302"/>
      <c r="BC42" s="302"/>
      <c r="BD42" s="302"/>
      <c r="BE42" s="302"/>
      <c r="BF42" s="302"/>
      <c r="BG42" s="302"/>
      <c r="BH42" s="298" t="e">
        <f t="shared" ref="BH42:BK42" si="27">BH40-BH41</f>
        <v>#REF!</v>
      </c>
      <c r="BI42" s="298" t="e">
        <f t="shared" si="27"/>
        <v>#REF!</v>
      </c>
      <c r="BJ42" s="298" t="e">
        <f t="shared" si="27"/>
        <v>#REF!</v>
      </c>
      <c r="BK42" s="298" t="e">
        <f t="shared" si="27"/>
        <v>#REF!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3702633.25</v>
      </c>
      <c r="AM45" s="289"/>
      <c r="AN45" s="289">
        <v>4663641.3</v>
      </c>
      <c r="AO45" s="307">
        <f>AN45-AL45</f>
        <v>961008.05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3702633.25</v>
      </c>
      <c r="AN46" s="289">
        <v>0</v>
      </c>
      <c r="AO46" s="307">
        <f>AN46-AL46</f>
        <v>0</v>
      </c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2349599.4700000002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92772.74</v>
      </c>
      <c r="AM49" s="290">
        <f>AL48+AL49</f>
        <v>2442372.21</v>
      </c>
      <c r="AN49" s="290">
        <v>3040467.6</v>
      </c>
      <c r="AO49" s="307">
        <f>AN49-AM49</f>
        <v>598095.39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6145005.46</v>
      </c>
      <c r="AN51" s="296">
        <f>AN45+AN46+AN49</f>
        <v>7704108.9000000004</v>
      </c>
      <c r="AO51" s="308">
        <f>AO45+AO46+AO49</f>
        <v>1559103.44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sortState ref="A12:WWX28">
    <sortCondition ref="B12:B28"/>
  </sortState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171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67488.789999999994</v>
      </c>
      <c r="G12" s="9">
        <v>0</v>
      </c>
      <c r="H12" s="129">
        <f t="shared" ref="H12:H28" si="0">F12+G12+P12</f>
        <v>67488.789999999994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-942.26</v>
      </c>
      <c r="M12" s="9">
        <f t="shared" ref="M12:M28" si="3">K12+L12</f>
        <v>-942.26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66546.53</v>
      </c>
      <c r="S12" s="14">
        <f t="shared" ref="S12:S23" si="7">(R12/(R$31-1575)*(S$31-1575))</f>
        <v>73838.460000000006</v>
      </c>
      <c r="T12" s="86">
        <v>25170</v>
      </c>
      <c r="U12" s="79">
        <f t="shared" ref="U12:U28" si="8">I12</f>
        <v>1.7592139999999999E-2</v>
      </c>
      <c r="V12" s="203"/>
      <c r="W12" s="264"/>
      <c r="X12" s="204">
        <f>$U12*X$31</f>
        <v>316.27</v>
      </c>
      <c r="Y12" s="268">
        <f>$U12*Y$31</f>
        <v>125.64</v>
      </c>
      <c r="Z12" s="124">
        <f t="shared" ref="Z12:Z28" si="9">X12+Y12</f>
        <v>441.91</v>
      </c>
      <c r="AA12" s="268">
        <f t="shared" ref="AA12:AE23" si="10">$U12*AA$31</f>
        <v>-1038.55</v>
      </c>
      <c r="AB12" s="204">
        <f t="shared" si="10"/>
        <v>-2.44</v>
      </c>
      <c r="AC12" s="268">
        <f t="shared" si="10"/>
        <v>0</v>
      </c>
      <c r="AD12" s="204">
        <f t="shared" si="10"/>
        <v>-13.54</v>
      </c>
      <c r="AE12" s="268">
        <f t="shared" si="10"/>
        <v>-0.66</v>
      </c>
      <c r="AF12" s="7">
        <f t="shared" ref="AF12:AF28" si="11">SUM(Z12:AE12)</f>
        <v>-613.28</v>
      </c>
      <c r="AG12" s="7">
        <f t="shared" ref="AG12:AG23" si="12">U12*AG$31</f>
        <v>-64.94</v>
      </c>
      <c r="AH12" s="7">
        <v>0</v>
      </c>
      <c r="AI12" s="124">
        <f t="shared" ref="AI12:AI28" si="13">AG12+AH12</f>
        <v>-64.94</v>
      </c>
      <c r="AJ12" s="14">
        <f t="shared" ref="AJ12:AJ28" si="14">T12+AF12+AI12</f>
        <v>24491.78</v>
      </c>
      <c r="AK12" s="233"/>
      <c r="AL12" s="236"/>
      <c r="AM12" s="33">
        <f t="shared" ref="AM12:AM28" si="15">R12+AJ12</f>
        <v>91038.31</v>
      </c>
      <c r="AN12" s="33">
        <f t="shared" ref="AN12:AN23" si="16">(S12+AJ12)+((AJ12/AJ$31)*AO$49)</f>
        <v>100818.44</v>
      </c>
      <c r="AO12" s="83"/>
      <c r="AP12" s="114">
        <v>62445.99</v>
      </c>
      <c r="AQ12" s="186">
        <v>74329.64</v>
      </c>
      <c r="AR12" s="192">
        <f>G12+'02.29.20'!AR12</f>
        <v>0</v>
      </c>
      <c r="AS12" s="114">
        <f t="shared" ref="AS12:AS17" si="17">AN12-AM12</f>
        <v>9780.1299999999992</v>
      </c>
      <c r="AT12" s="137">
        <f>K12+'02.29.20'!AT12</f>
        <v>0</v>
      </c>
      <c r="AU12" s="137">
        <f>L12+'02.29.20'!AU12</f>
        <v>1409.3</v>
      </c>
      <c r="AV12" s="84">
        <f t="shared" ref="AV12:AV17" si="18">AT12+AU12</f>
        <v>1409.3</v>
      </c>
      <c r="AW12" s="84">
        <f>N12+'02.29.20'!AW12</f>
        <v>0</v>
      </c>
      <c r="AX12" s="84">
        <f>O12+'02.29.20'!AX12</f>
        <v>0</v>
      </c>
      <c r="AY12" s="84">
        <f>P12+'02.29.20'!AY12</f>
        <v>0</v>
      </c>
      <c r="AZ12" s="84">
        <f t="shared" ref="AZ12:AZ17" si="19">AX12+AY12</f>
        <v>0</v>
      </c>
      <c r="BA12" s="224">
        <v>27434.37</v>
      </c>
      <c r="BB12" s="137">
        <f>Z12+'02.29.20'!BB12</f>
        <v>2581.36</v>
      </c>
      <c r="BC12" s="137">
        <f>AA12+'02.29.20'!BC12</f>
        <v>1912.54</v>
      </c>
      <c r="BD12" s="276">
        <f>AB12+'02.29.20'!BD12</f>
        <v>-18.260000000000002</v>
      </c>
      <c r="BE12" s="280">
        <f>AC12+'02.29.20'!BE12</f>
        <v>-71.77</v>
      </c>
      <c r="BF12" s="276">
        <f>AD12+'02.29.20'!BF12</f>
        <v>-16.22</v>
      </c>
      <c r="BG12" s="280">
        <f>AE12+'02.29.20'!BG12</f>
        <v>-7.8</v>
      </c>
      <c r="BH12" s="84">
        <f t="shared" ref="BH12:BH17" si="20">SUM(BB12:BG12)</f>
        <v>4379.8500000000004</v>
      </c>
      <c r="BI12" s="84">
        <f>AG12+'02.29.20'!BI12</f>
        <v>-722.6</v>
      </c>
      <c r="BJ12" s="84">
        <f>AH12+'02.29.20'!BJ12</f>
        <v>-6599.84</v>
      </c>
      <c r="BK12" s="116">
        <f t="shared" ref="BK12:BK17" si="21">BI12+BJ12</f>
        <v>-7322.44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5333.08</v>
      </c>
      <c r="G13" s="9">
        <v>0</v>
      </c>
      <c r="H13" s="129">
        <f t="shared" si="0"/>
        <v>5333.08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-74.459999999999994</v>
      </c>
      <c r="M13" s="9">
        <f t="shared" si="3"/>
        <v>-74.459999999999994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5258.62</v>
      </c>
      <c r="S13" s="14">
        <f t="shared" si="7"/>
        <v>5834.84</v>
      </c>
      <c r="T13" s="86">
        <v>4069.28</v>
      </c>
      <c r="U13" s="79">
        <f t="shared" si="8"/>
        <v>1.3901600000000001E-3</v>
      </c>
      <c r="V13" s="203"/>
      <c r="W13" s="264"/>
      <c r="X13" s="204">
        <f>$U13*X$31</f>
        <v>24.99</v>
      </c>
      <c r="Y13" s="268">
        <f>$U13*Y$31</f>
        <v>9.93</v>
      </c>
      <c r="Z13" s="124">
        <f t="shared" si="9"/>
        <v>34.92</v>
      </c>
      <c r="AA13" s="268">
        <f t="shared" si="10"/>
        <v>-82.07</v>
      </c>
      <c r="AB13" s="204">
        <f t="shared" si="10"/>
        <v>-0.19</v>
      </c>
      <c r="AC13" s="268">
        <f t="shared" si="10"/>
        <v>0</v>
      </c>
      <c r="AD13" s="204">
        <f t="shared" si="10"/>
        <v>-1.07</v>
      </c>
      <c r="AE13" s="268">
        <f t="shared" si="10"/>
        <v>-0.05</v>
      </c>
      <c r="AF13" s="7">
        <f t="shared" si="11"/>
        <v>-48.46</v>
      </c>
      <c r="AG13" s="7">
        <f t="shared" si="12"/>
        <v>-5.13</v>
      </c>
      <c r="AH13" s="7">
        <v>0</v>
      </c>
      <c r="AI13" s="124">
        <f t="shared" si="13"/>
        <v>-5.13</v>
      </c>
      <c r="AJ13" s="14">
        <f t="shared" si="14"/>
        <v>4015.69</v>
      </c>
      <c r="AK13" s="233"/>
      <c r="AL13" s="236"/>
      <c r="AM13" s="33">
        <f t="shared" si="15"/>
        <v>9274.31</v>
      </c>
      <c r="AN13" s="33">
        <f t="shared" si="16"/>
        <v>10258.5</v>
      </c>
      <c r="AO13" s="83"/>
      <c r="AP13" s="114">
        <v>4934.59</v>
      </c>
      <c r="AQ13" s="186">
        <v>5873.66</v>
      </c>
      <c r="AR13" s="192">
        <f>G13+'02.29.20'!AR13</f>
        <v>0</v>
      </c>
      <c r="AS13" s="114">
        <f t="shared" si="17"/>
        <v>984.19</v>
      </c>
      <c r="AT13" s="137">
        <f>K13+'02.29.20'!AT13</f>
        <v>0</v>
      </c>
      <c r="AU13" s="137">
        <f>L13+'02.29.20'!AU13</f>
        <v>111.36</v>
      </c>
      <c r="AV13" s="84">
        <f t="shared" si="18"/>
        <v>111.36</v>
      </c>
      <c r="AW13" s="84">
        <f>N13+'02.29.20'!AW13</f>
        <v>0</v>
      </c>
      <c r="AX13" s="84">
        <f>O13+'02.29.20'!AX13</f>
        <v>0</v>
      </c>
      <c r="AY13" s="84">
        <f>P13+'02.29.20'!AY13</f>
        <v>0</v>
      </c>
      <c r="AZ13" s="84">
        <f t="shared" si="19"/>
        <v>0</v>
      </c>
      <c r="BA13" s="224">
        <v>3726.67</v>
      </c>
      <c r="BB13" s="137">
        <f>Z13+'02.29.20'!BB13</f>
        <v>203.98</v>
      </c>
      <c r="BC13" s="137">
        <f>AA13+'02.29.20'!BC13</f>
        <v>151.13999999999999</v>
      </c>
      <c r="BD13" s="276">
        <f>AB13+'02.29.20'!BD13</f>
        <v>-1.44</v>
      </c>
      <c r="BE13" s="280">
        <f>AC13+'02.29.20'!BE13</f>
        <v>-5.67</v>
      </c>
      <c r="BF13" s="276">
        <f>AD13+'02.29.20'!BF13</f>
        <v>-1.28</v>
      </c>
      <c r="BG13" s="280">
        <f>AE13+'02.29.20'!BG13</f>
        <v>-0.61</v>
      </c>
      <c r="BH13" s="84">
        <f t="shared" si="20"/>
        <v>346.12</v>
      </c>
      <c r="BI13" s="84">
        <f>AG13+'02.29.20'!BI13</f>
        <v>-57.1</v>
      </c>
      <c r="BJ13" s="84">
        <f>AH13+'02.29.20'!BJ13</f>
        <v>0</v>
      </c>
      <c r="BK13" s="116">
        <f t="shared" si="21"/>
        <v>-57.1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392459.36</v>
      </c>
      <c r="G14" s="9">
        <v>0</v>
      </c>
      <c r="H14" s="129">
        <f t="shared" si="0"/>
        <v>392459.36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-5479.41</v>
      </c>
      <c r="M14" s="9">
        <f t="shared" si="3"/>
        <v>-5479.41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386979.95</v>
      </c>
      <c r="S14" s="14">
        <f t="shared" si="7"/>
        <v>429383.84</v>
      </c>
      <c r="T14" s="86">
        <v>346851.46</v>
      </c>
      <c r="U14" s="79">
        <f t="shared" si="8"/>
        <v>0.10230141</v>
      </c>
      <c r="V14" s="304"/>
      <c r="W14" s="304"/>
      <c r="X14" s="204">
        <f>($U14*X$31)</f>
        <v>1839.16</v>
      </c>
      <c r="Y14" s="268">
        <f>($U14*Y$31)</f>
        <v>730.59</v>
      </c>
      <c r="Z14" s="124">
        <f t="shared" si="9"/>
        <v>2569.75</v>
      </c>
      <c r="AA14" s="268">
        <f t="shared" si="10"/>
        <v>-6039.37</v>
      </c>
      <c r="AB14" s="204">
        <f t="shared" si="10"/>
        <v>-14.2</v>
      </c>
      <c r="AC14" s="268">
        <f t="shared" si="10"/>
        <v>0</v>
      </c>
      <c r="AD14" s="204">
        <f t="shared" si="10"/>
        <v>-78.75</v>
      </c>
      <c r="AE14" s="268">
        <f t="shared" si="10"/>
        <v>-3.85</v>
      </c>
      <c r="AF14" s="7">
        <f t="shared" si="11"/>
        <v>-3566.42</v>
      </c>
      <c r="AG14" s="7">
        <f t="shared" si="12"/>
        <v>-377.62</v>
      </c>
      <c r="AH14" s="7">
        <v>0</v>
      </c>
      <c r="AI14" s="124">
        <f t="shared" si="13"/>
        <v>-377.62</v>
      </c>
      <c r="AJ14" s="14">
        <f t="shared" si="14"/>
        <v>342907.42</v>
      </c>
      <c r="AK14" s="233"/>
      <c r="AL14" s="236"/>
      <c r="AM14" s="33">
        <f t="shared" si="15"/>
        <v>729887.37</v>
      </c>
      <c r="AN14" s="33">
        <f t="shared" si="16"/>
        <v>807128.34</v>
      </c>
      <c r="AO14" s="83"/>
      <c r="AP14" s="114">
        <v>363134.62</v>
      </c>
      <c r="AQ14" s="186">
        <v>432240.15</v>
      </c>
      <c r="AR14" s="192">
        <f>G14+'02.29.20'!AR14</f>
        <v>0</v>
      </c>
      <c r="AS14" s="114">
        <f t="shared" si="17"/>
        <v>77240.97</v>
      </c>
      <c r="AT14" s="137">
        <f>K14+'02.29.20'!AT14</f>
        <v>0</v>
      </c>
      <c r="AU14" s="137">
        <f>L14+'02.29.20'!AU14</f>
        <v>8195.33</v>
      </c>
      <c r="AV14" s="84">
        <f t="shared" si="18"/>
        <v>8195.33</v>
      </c>
      <c r="AW14" s="84">
        <f>N14+'02.29.20'!AW14</f>
        <v>0</v>
      </c>
      <c r="AX14" s="84">
        <f>O14+'02.29.20'!AX14</f>
        <v>0</v>
      </c>
      <c r="AY14" s="84">
        <f>P14+'02.29.20'!AY14</f>
        <v>0</v>
      </c>
      <c r="AZ14" s="84">
        <f t="shared" si="19"/>
        <v>0</v>
      </c>
      <c r="BA14" s="224">
        <v>321639.82</v>
      </c>
      <c r="BB14" s="137">
        <f>Z14+'02.29.20'!BB14</f>
        <v>15011.05</v>
      </c>
      <c r="BC14" s="137">
        <f>AA14+'02.29.20'!BC14</f>
        <v>11121.73</v>
      </c>
      <c r="BD14" s="276">
        <f>AB14+'02.29.20'!BD14</f>
        <v>-106.18</v>
      </c>
      <c r="BE14" s="280">
        <f>AC14+'02.29.20'!BE14</f>
        <v>-417.35</v>
      </c>
      <c r="BF14" s="276">
        <f>AD14+'02.29.20'!BF14</f>
        <v>-94.32</v>
      </c>
      <c r="BG14" s="280">
        <f>AE14+'02.29.20'!BG14</f>
        <v>-45.33</v>
      </c>
      <c r="BH14" s="84">
        <f t="shared" si="20"/>
        <v>25469.599999999999</v>
      </c>
      <c r="BI14" s="84">
        <f>AG14+'02.29.20'!BI14</f>
        <v>-4202</v>
      </c>
      <c r="BJ14" s="84">
        <f>AH14+'02.29.20'!BJ14</f>
        <v>0</v>
      </c>
      <c r="BK14" s="116">
        <f t="shared" si="21"/>
        <v>-4202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169971.92</v>
      </c>
      <c r="G15" s="9">
        <v>0</v>
      </c>
      <c r="H15" s="129">
        <f t="shared" si="0"/>
        <v>169971.92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-2373.1</v>
      </c>
      <c r="M15" s="9">
        <f t="shared" si="3"/>
        <v>-2373.1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167598.82</v>
      </c>
      <c r="S15" s="14">
        <f t="shared" si="7"/>
        <v>185963.7</v>
      </c>
      <c r="T15" s="86">
        <v>183642.66</v>
      </c>
      <c r="U15" s="79">
        <f t="shared" si="8"/>
        <v>4.4306159999999997E-2</v>
      </c>
      <c r="V15" s="203"/>
      <c r="W15" s="264"/>
      <c r="X15" s="204">
        <f t="shared" ref="X15:Y23" si="22">$U15*X$31</f>
        <v>796.53</v>
      </c>
      <c r="Y15" s="268">
        <f t="shared" si="22"/>
        <v>316.41000000000003</v>
      </c>
      <c r="Z15" s="124">
        <f t="shared" si="9"/>
        <v>1112.94</v>
      </c>
      <c r="AA15" s="268">
        <f t="shared" si="10"/>
        <v>-2615.62</v>
      </c>
      <c r="AB15" s="204">
        <f t="shared" si="10"/>
        <v>-6.15</v>
      </c>
      <c r="AC15" s="268">
        <f t="shared" si="10"/>
        <v>0</v>
      </c>
      <c r="AD15" s="204">
        <f t="shared" si="10"/>
        <v>-34.11</v>
      </c>
      <c r="AE15" s="268">
        <f t="shared" si="10"/>
        <v>-1.67</v>
      </c>
      <c r="AF15" s="7">
        <f t="shared" si="11"/>
        <v>-1544.61</v>
      </c>
      <c r="AG15" s="7">
        <f t="shared" si="12"/>
        <v>-163.55000000000001</v>
      </c>
      <c r="AH15" s="7">
        <v>0</v>
      </c>
      <c r="AI15" s="124">
        <f t="shared" si="13"/>
        <v>-163.55000000000001</v>
      </c>
      <c r="AJ15" s="14">
        <f t="shared" si="14"/>
        <v>181934.5</v>
      </c>
      <c r="AK15" s="233"/>
      <c r="AL15" s="236"/>
      <c r="AM15" s="33">
        <f t="shared" si="15"/>
        <v>349533.32</v>
      </c>
      <c r="AN15" s="33">
        <f t="shared" si="16"/>
        <v>386381.52</v>
      </c>
      <c r="AO15" s="83"/>
      <c r="AP15" s="114">
        <v>157271.56</v>
      </c>
      <c r="AQ15" s="186">
        <v>187200.78</v>
      </c>
      <c r="AR15" s="192">
        <f>G15+'02.29.20'!AR15</f>
        <v>0</v>
      </c>
      <c r="AS15" s="114">
        <f t="shared" si="17"/>
        <v>36848.199999999997</v>
      </c>
      <c r="AT15" s="137">
        <f>K15+'02.29.20'!AT15</f>
        <v>0</v>
      </c>
      <c r="AU15" s="137">
        <f>L15+'02.29.20'!AU15</f>
        <v>3549.35</v>
      </c>
      <c r="AV15" s="84">
        <f t="shared" si="18"/>
        <v>3549.35</v>
      </c>
      <c r="AW15" s="84">
        <f>N15+'02.29.20'!AW15</f>
        <v>0</v>
      </c>
      <c r="AX15" s="84">
        <f>O15+'02.29.20'!AX15</f>
        <v>0</v>
      </c>
      <c r="AY15" s="84">
        <f>P15+'02.29.20'!AY15</f>
        <v>0</v>
      </c>
      <c r="AZ15" s="84">
        <f t="shared" si="19"/>
        <v>0</v>
      </c>
      <c r="BA15" s="224">
        <v>172723.67</v>
      </c>
      <c r="BB15" s="137">
        <f>Z15+'02.29.20'!BB15</f>
        <v>6501.17</v>
      </c>
      <c r="BC15" s="137">
        <f>AA15+'02.29.20'!BC15</f>
        <v>4816.76</v>
      </c>
      <c r="BD15" s="276">
        <f>AB15+'02.29.20'!BD15</f>
        <v>-45.99</v>
      </c>
      <c r="BE15" s="280">
        <f>AC15+'02.29.20'!BE15</f>
        <v>-180.76</v>
      </c>
      <c r="BF15" s="276">
        <f>AD15+'02.29.20'!BF15</f>
        <v>-40.86</v>
      </c>
      <c r="BG15" s="280">
        <f>AE15+'02.29.20'!BG15</f>
        <v>-19.63</v>
      </c>
      <c r="BH15" s="84">
        <f t="shared" si="20"/>
        <v>11030.69</v>
      </c>
      <c r="BI15" s="84">
        <f>AG15+'02.29.20'!BI15</f>
        <v>-1819.86</v>
      </c>
      <c r="BJ15" s="84">
        <f>AH15+'02.29.20'!BJ15</f>
        <v>0</v>
      </c>
      <c r="BK15" s="116">
        <f t="shared" si="21"/>
        <v>-1819.86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10469.68</v>
      </c>
      <c r="G16" s="9">
        <v>0</v>
      </c>
      <c r="H16" s="129">
        <f t="shared" si="0"/>
        <v>10469.68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-146.18</v>
      </c>
      <c r="M16" s="9">
        <f t="shared" si="3"/>
        <v>-146.18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10323.5</v>
      </c>
      <c r="S16" s="14">
        <f t="shared" si="7"/>
        <v>11454.71</v>
      </c>
      <c r="T16" s="86">
        <v>8004.11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49.06</v>
      </c>
      <c r="Y16" s="268">
        <f t="shared" si="22"/>
        <v>19.489999999999998</v>
      </c>
      <c r="Z16" s="124">
        <f t="shared" si="9"/>
        <v>68.55</v>
      </c>
      <c r="AA16" s="268">
        <f t="shared" si="10"/>
        <v>-161.11000000000001</v>
      </c>
      <c r="AB16" s="204">
        <f t="shared" si="10"/>
        <v>-0.38</v>
      </c>
      <c r="AC16" s="268">
        <f t="shared" si="10"/>
        <v>0</v>
      </c>
      <c r="AD16" s="204">
        <f t="shared" si="10"/>
        <v>-2.1</v>
      </c>
      <c r="AE16" s="268">
        <f t="shared" si="10"/>
        <v>-0.1</v>
      </c>
      <c r="AF16" s="7">
        <f t="shared" si="11"/>
        <v>-95.14</v>
      </c>
      <c r="AG16" s="7">
        <f t="shared" si="12"/>
        <v>-10.07</v>
      </c>
      <c r="AH16" s="7">
        <v>0</v>
      </c>
      <c r="AI16" s="124">
        <f t="shared" si="13"/>
        <v>-10.07</v>
      </c>
      <c r="AJ16" s="14">
        <f t="shared" si="14"/>
        <v>7898.9</v>
      </c>
      <c r="AK16" s="233" t="s">
        <v>118</v>
      </c>
      <c r="AL16" s="236" t="s">
        <v>114</v>
      </c>
      <c r="AM16" s="33">
        <f t="shared" si="15"/>
        <v>18222.400000000001</v>
      </c>
      <c r="AN16" s="33">
        <f t="shared" si="16"/>
        <v>20156.080000000002</v>
      </c>
      <c r="AO16" s="83"/>
      <c r="AP16" s="114">
        <v>9687.4</v>
      </c>
      <c r="AQ16" s="186">
        <v>11530.94</v>
      </c>
      <c r="AR16" s="192">
        <f>G16+'02.29.20'!AR16</f>
        <v>0</v>
      </c>
      <c r="AS16" s="114">
        <f t="shared" si="17"/>
        <v>1933.68</v>
      </c>
      <c r="AT16" s="137">
        <f>K16+'02.29.20'!AT16</f>
        <v>0</v>
      </c>
      <c r="AU16" s="137">
        <f>L16+'02.29.20'!AU16</f>
        <v>218.61</v>
      </c>
      <c r="AV16" s="84">
        <f t="shared" si="18"/>
        <v>218.61</v>
      </c>
      <c r="AW16" s="84">
        <f>N16+'02.29.20'!AW16</f>
        <v>0</v>
      </c>
      <c r="AX16" s="84">
        <f>O16+'02.29.20'!AX16</f>
        <v>0</v>
      </c>
      <c r="AY16" s="84">
        <f>P16+'02.29.20'!AY16</f>
        <v>0</v>
      </c>
      <c r="AZ16" s="84">
        <f t="shared" si="19"/>
        <v>0</v>
      </c>
      <c r="BA16" s="224">
        <v>7331.55</v>
      </c>
      <c r="BB16" s="137">
        <f>Z16+'02.29.20'!BB16</f>
        <v>400.45</v>
      </c>
      <c r="BC16" s="137">
        <f>AA16+'02.29.20'!BC16</f>
        <v>296.7</v>
      </c>
      <c r="BD16" s="276">
        <f>AB16+'02.29.20'!BD16</f>
        <v>-2.84</v>
      </c>
      <c r="BE16" s="280">
        <f>AC16+'02.29.20'!BE16</f>
        <v>-11.13</v>
      </c>
      <c r="BF16" s="276">
        <f>AD16+'02.29.20'!BF16</f>
        <v>-2.52</v>
      </c>
      <c r="BG16" s="280">
        <f>AE16+'02.29.20'!BG16</f>
        <v>-1.21</v>
      </c>
      <c r="BH16" s="84">
        <f t="shared" si="20"/>
        <v>679.45</v>
      </c>
      <c r="BI16" s="84">
        <f>AG16+'02.29.20'!BI16</f>
        <v>-112.1</v>
      </c>
      <c r="BJ16" s="84">
        <f>AH16+'02.29.20'!BJ16</f>
        <v>0</v>
      </c>
      <c r="BK16" s="116">
        <f t="shared" si="21"/>
        <v>-112.1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912.39</v>
      </c>
      <c r="G17" s="9">
        <v>0</v>
      </c>
      <c r="H17" s="129">
        <f t="shared" si="0"/>
        <v>912.39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-12.74</v>
      </c>
      <c r="M17" s="9">
        <f t="shared" si="3"/>
        <v>-12.74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899.65</v>
      </c>
      <c r="S17" s="14">
        <f t="shared" si="7"/>
        <v>998.23</v>
      </c>
      <c r="T17" s="86">
        <v>708.85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4.28</v>
      </c>
      <c r="Y17" s="268">
        <f t="shared" si="22"/>
        <v>1.7</v>
      </c>
      <c r="Z17" s="124">
        <f t="shared" si="9"/>
        <v>5.98</v>
      </c>
      <c r="AA17" s="268">
        <f t="shared" si="10"/>
        <v>-14.04</v>
      </c>
      <c r="AB17" s="204">
        <f t="shared" si="10"/>
        <v>-0.03</v>
      </c>
      <c r="AC17" s="268">
        <f t="shared" si="10"/>
        <v>0</v>
      </c>
      <c r="AD17" s="204">
        <f t="shared" si="10"/>
        <v>-0.18</v>
      </c>
      <c r="AE17" s="268">
        <f t="shared" si="10"/>
        <v>-0.01</v>
      </c>
      <c r="AF17" s="7">
        <f t="shared" si="11"/>
        <v>-8.2799999999999994</v>
      </c>
      <c r="AG17" s="7">
        <f t="shared" si="12"/>
        <v>-0.88</v>
      </c>
      <c r="AH17" s="7">
        <v>0</v>
      </c>
      <c r="AI17" s="124">
        <f t="shared" si="13"/>
        <v>-0.88</v>
      </c>
      <c r="AJ17" s="14">
        <f t="shared" si="14"/>
        <v>699.69</v>
      </c>
      <c r="AK17" s="233" t="s">
        <v>129</v>
      </c>
      <c r="AL17" s="282" t="s">
        <v>128</v>
      </c>
      <c r="AM17" s="33">
        <f t="shared" si="15"/>
        <v>1599.34</v>
      </c>
      <c r="AN17" s="33">
        <f t="shared" si="16"/>
        <v>1769</v>
      </c>
      <c r="AO17" s="83"/>
      <c r="AP17" s="114">
        <v>844.21</v>
      </c>
      <c r="AQ17" s="186">
        <v>1004.87</v>
      </c>
      <c r="AR17" s="192">
        <f>G17+'02.29.20'!AR17</f>
        <v>0</v>
      </c>
      <c r="AS17" s="114">
        <f t="shared" si="17"/>
        <v>169.66</v>
      </c>
      <c r="AT17" s="137">
        <f>K17+'02.29.20'!AT17</f>
        <v>0</v>
      </c>
      <c r="AU17" s="137">
        <f>L17+'02.29.20'!AU17</f>
        <v>19.059999999999999</v>
      </c>
      <c r="AV17" s="84">
        <f t="shared" si="18"/>
        <v>19.059999999999999</v>
      </c>
      <c r="AW17" s="84">
        <f>N17+'02.29.20'!AW17</f>
        <v>0</v>
      </c>
      <c r="AX17" s="84">
        <f>O17+'02.29.20'!AX17</f>
        <v>0</v>
      </c>
      <c r="AY17" s="84">
        <f>P17+'02.29.20'!AY17</f>
        <v>0</v>
      </c>
      <c r="AZ17" s="84">
        <f t="shared" si="19"/>
        <v>0</v>
      </c>
      <c r="BA17" s="224">
        <v>650.23</v>
      </c>
      <c r="BB17" s="137">
        <f>Z17+'02.29.20'!BB17</f>
        <v>34.909999999999997</v>
      </c>
      <c r="BC17" s="137">
        <f>AA17+'02.29.20'!BC17</f>
        <v>25.86</v>
      </c>
      <c r="BD17" s="276">
        <f>AB17+'02.29.20'!BD17</f>
        <v>-0.24</v>
      </c>
      <c r="BE17" s="280">
        <f>AC17+'02.29.20'!BE17</f>
        <v>-0.97</v>
      </c>
      <c r="BF17" s="276">
        <f>AD17+'02.29.20'!BF17</f>
        <v>-0.22</v>
      </c>
      <c r="BG17" s="280">
        <f>AE17+'02.29.20'!BG17</f>
        <v>-0.1</v>
      </c>
      <c r="BH17" s="84">
        <f t="shared" si="20"/>
        <v>59.24</v>
      </c>
      <c r="BI17" s="84">
        <f>AG17+'02.29.20'!BI17</f>
        <v>-9.7799999999999994</v>
      </c>
      <c r="BJ17" s="84">
        <f>AH17+'02.29.20'!BJ17</f>
        <v>0</v>
      </c>
      <c r="BK17" s="116">
        <f t="shared" si="21"/>
        <v>-9.7799999999999994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28759.51</v>
      </c>
      <c r="G18" s="9">
        <v>0</v>
      </c>
      <c r="H18" s="129">
        <f t="shared" si="0"/>
        <v>28759.51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-401.53</v>
      </c>
      <c r="M18" s="9">
        <f t="shared" si="3"/>
        <v>-401.53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28357.98</v>
      </c>
      <c r="S18" s="14">
        <f t="shared" si="7"/>
        <v>31465.35</v>
      </c>
      <c r="T18" s="86">
        <v>9092.32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134.77000000000001</v>
      </c>
      <c r="Y18" s="268">
        <f t="shared" si="22"/>
        <v>53.54</v>
      </c>
      <c r="Z18" s="124">
        <f t="shared" si="9"/>
        <v>188.31</v>
      </c>
      <c r="AA18" s="268">
        <f t="shared" si="10"/>
        <v>-442.57</v>
      </c>
      <c r="AB18" s="204">
        <f t="shared" si="10"/>
        <v>-1.04</v>
      </c>
      <c r="AC18" s="268">
        <f t="shared" si="10"/>
        <v>0</v>
      </c>
      <c r="AD18" s="204">
        <f t="shared" si="10"/>
        <v>-5.77</v>
      </c>
      <c r="AE18" s="268">
        <f t="shared" si="10"/>
        <v>-0.28000000000000003</v>
      </c>
      <c r="AF18" s="7">
        <f t="shared" si="11"/>
        <v>-261.35000000000002</v>
      </c>
      <c r="AG18" s="7">
        <f t="shared" si="12"/>
        <v>-27.67</v>
      </c>
      <c r="AH18" s="7">
        <v>0</v>
      </c>
      <c r="AI18" s="124">
        <f t="shared" si="13"/>
        <v>-27.67</v>
      </c>
      <c r="AJ18" s="14">
        <f t="shared" si="14"/>
        <v>8803.2999999999993</v>
      </c>
      <c r="AK18" s="281"/>
      <c r="AL18" s="281"/>
      <c r="AM18" s="33">
        <f t="shared" si="15"/>
        <v>37161.279999999999</v>
      </c>
      <c r="AN18" s="33">
        <f t="shared" si="16"/>
        <v>41163.01</v>
      </c>
      <c r="AO18" s="83"/>
      <c r="AP18" s="114">
        <v>26610.59</v>
      </c>
      <c r="AQ18" s="186">
        <v>31674.66</v>
      </c>
      <c r="AR18" s="192">
        <f>G18+'02.29.20'!AR18</f>
        <v>0</v>
      </c>
      <c r="AS18" s="114">
        <f t="shared" ref="AS18:AS28" si="23">AN18-AM18</f>
        <v>4001.73</v>
      </c>
      <c r="AT18" s="137">
        <f>K18+'02.29.20'!AT18</f>
        <v>0</v>
      </c>
      <c r="AU18" s="137">
        <f>L18+'02.29.20'!AU18</f>
        <v>600.54999999999995</v>
      </c>
      <c r="AV18" s="84">
        <f t="shared" ref="AV18:AV28" si="24">AT18+AU18</f>
        <v>600.54999999999995</v>
      </c>
      <c r="AW18" s="84">
        <f>N18+'02.29.20'!AW18</f>
        <v>0</v>
      </c>
      <c r="AX18" s="84">
        <f>O18+'02.29.20'!AX18</f>
        <v>0</v>
      </c>
      <c r="AY18" s="84">
        <f>P18+'02.29.20'!AY18</f>
        <v>0</v>
      </c>
      <c r="AZ18" s="84">
        <f t="shared" ref="AZ18:AZ28" si="25">AX18+AY18</f>
        <v>0</v>
      </c>
      <c r="BA18" s="224">
        <v>7244.82</v>
      </c>
      <c r="BB18" s="137">
        <f>Z18+'02.29.20'!BB18</f>
        <v>1100.01</v>
      </c>
      <c r="BC18" s="137">
        <f>AA18+'02.29.20'!BC18</f>
        <v>815.01</v>
      </c>
      <c r="BD18" s="276">
        <f>AB18+'02.29.20'!BD18</f>
        <v>-7.79</v>
      </c>
      <c r="BE18" s="280">
        <f>AC18+'02.29.20'!BE18</f>
        <v>-30.59</v>
      </c>
      <c r="BF18" s="276">
        <f>AD18+'02.29.20'!BF18</f>
        <v>-6.91</v>
      </c>
      <c r="BG18" s="280">
        <f>AE18+'02.29.20'!BG18</f>
        <v>-3.33</v>
      </c>
      <c r="BH18" s="84">
        <f t="shared" ref="BH18:BH28" si="26">SUM(BB18:BG18)</f>
        <v>1866.4</v>
      </c>
      <c r="BI18" s="84">
        <f>AG18+'02.29.20'!BI18</f>
        <v>-307.92</v>
      </c>
      <c r="BJ18" s="84">
        <f>AH18+'02.29.20'!BJ18</f>
        <v>0</v>
      </c>
      <c r="BK18" s="116">
        <f t="shared" ref="BK18:BK28" si="27">BI18+BJ18</f>
        <v>-307.92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97142.44</v>
      </c>
      <c r="G19" s="9">
        <v>0</v>
      </c>
      <c r="H19" s="129">
        <f t="shared" si="0"/>
        <v>97142.44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-1356.28</v>
      </c>
      <c r="M19" s="9">
        <f t="shared" si="3"/>
        <v>-1356.28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95786.16</v>
      </c>
      <c r="S19" s="14">
        <f t="shared" si="7"/>
        <v>106282.07</v>
      </c>
      <c r="T19" s="86">
        <v>74183.69</v>
      </c>
      <c r="U19" s="79">
        <f t="shared" si="8"/>
        <v>2.5321880000000001E-2</v>
      </c>
      <c r="V19" s="203"/>
      <c r="W19" s="264"/>
      <c r="X19" s="204">
        <f t="shared" si="22"/>
        <v>455.23</v>
      </c>
      <c r="Y19" s="268">
        <f t="shared" si="22"/>
        <v>180.84</v>
      </c>
      <c r="Z19" s="124">
        <f t="shared" si="9"/>
        <v>636.07000000000005</v>
      </c>
      <c r="AA19" s="268">
        <f t="shared" si="10"/>
        <v>-1494.88</v>
      </c>
      <c r="AB19" s="204">
        <f t="shared" si="10"/>
        <v>-3.51</v>
      </c>
      <c r="AC19" s="268">
        <f t="shared" si="10"/>
        <v>0</v>
      </c>
      <c r="AD19" s="204">
        <f t="shared" si="10"/>
        <v>-19.489999999999998</v>
      </c>
      <c r="AE19" s="268">
        <f t="shared" si="10"/>
        <v>-0.95</v>
      </c>
      <c r="AF19" s="7">
        <f t="shared" si="11"/>
        <v>-882.76</v>
      </c>
      <c r="AG19" s="7">
        <f t="shared" si="12"/>
        <v>-93.47</v>
      </c>
      <c r="AH19" s="7">
        <v>0</v>
      </c>
      <c r="AI19" s="124">
        <f t="shared" si="13"/>
        <v>-93.47</v>
      </c>
      <c r="AJ19" s="14">
        <f t="shared" si="14"/>
        <v>73207.460000000006</v>
      </c>
      <c r="AK19" s="233"/>
      <c r="AL19" s="237"/>
      <c r="AM19" s="33">
        <f t="shared" si="15"/>
        <v>168993.62</v>
      </c>
      <c r="AN19" s="33">
        <f t="shared" si="16"/>
        <v>186926.91</v>
      </c>
      <c r="AO19" s="83"/>
      <c r="AP19" s="114">
        <v>89883.9</v>
      </c>
      <c r="AQ19" s="186">
        <v>106989.06</v>
      </c>
      <c r="AR19" s="192">
        <f>G19+'02.29.20'!AR19</f>
        <v>0</v>
      </c>
      <c r="AS19" s="114">
        <f t="shared" si="23"/>
        <v>17933.29</v>
      </c>
      <c r="AT19" s="137">
        <f>K19+'02.29.20'!AT19</f>
        <v>0</v>
      </c>
      <c r="AU19" s="137">
        <f>L19+'02.29.20'!AU19</f>
        <v>2028.53</v>
      </c>
      <c r="AV19" s="84">
        <f t="shared" si="24"/>
        <v>2028.53</v>
      </c>
      <c r="AW19" s="84">
        <f>N19+'02.29.20'!AW19</f>
        <v>0</v>
      </c>
      <c r="AX19" s="84">
        <f>O19+'02.29.20'!AX19</f>
        <v>0</v>
      </c>
      <c r="AY19" s="84">
        <f>P19+'02.29.20'!AY19</f>
        <v>0</v>
      </c>
      <c r="AZ19" s="84">
        <f t="shared" si="25"/>
        <v>0</v>
      </c>
      <c r="BA19" s="224">
        <v>67943.259999999995</v>
      </c>
      <c r="BB19" s="137">
        <f>Z19+'02.29.20'!BB19</f>
        <v>3715.57</v>
      </c>
      <c r="BC19" s="137">
        <f>AA19+'02.29.20'!BC19</f>
        <v>2752.88</v>
      </c>
      <c r="BD19" s="276">
        <f>AB19+'02.29.20'!BD19</f>
        <v>-26.28</v>
      </c>
      <c r="BE19" s="280">
        <f>AC19+'02.29.20'!BE19</f>
        <v>-103.31</v>
      </c>
      <c r="BF19" s="276">
        <f>AD19+'02.29.20'!BF19</f>
        <v>-23.34</v>
      </c>
      <c r="BG19" s="280">
        <f>AE19+'02.29.20'!BG19</f>
        <v>-11.23</v>
      </c>
      <c r="BH19" s="84">
        <f t="shared" si="26"/>
        <v>6304.29</v>
      </c>
      <c r="BI19" s="84">
        <f>AG19+'02.29.20'!BI19</f>
        <v>-1040.0899999999999</v>
      </c>
      <c r="BJ19" s="84">
        <f>AH19+'02.29.20'!BJ19</f>
        <v>0</v>
      </c>
      <c r="BK19" s="116">
        <f t="shared" si="27"/>
        <v>-1040.0899999999999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35951.370000000003</v>
      </c>
      <c r="G20" s="9">
        <v>0</v>
      </c>
      <c r="H20" s="129">
        <f t="shared" si="0"/>
        <v>35951.370000000003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-501.94</v>
      </c>
      <c r="M20" s="9">
        <f t="shared" si="3"/>
        <v>-501.94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35449.43</v>
      </c>
      <c r="S20" s="14">
        <f t="shared" si="7"/>
        <v>39333.85</v>
      </c>
      <c r="T20" s="86">
        <v>20726.650000000001</v>
      </c>
      <c r="U20" s="79">
        <f t="shared" si="8"/>
        <v>9.3713500000000005E-3</v>
      </c>
      <c r="V20" s="315"/>
      <c r="W20" s="315"/>
      <c r="X20" s="204">
        <f t="shared" si="22"/>
        <v>168.48</v>
      </c>
      <c r="Y20" s="268">
        <f t="shared" si="22"/>
        <v>66.930000000000007</v>
      </c>
      <c r="Z20" s="124">
        <f t="shared" si="9"/>
        <v>235.41</v>
      </c>
      <c r="AA20" s="268">
        <f t="shared" si="10"/>
        <v>-553.24</v>
      </c>
      <c r="AB20" s="204">
        <f t="shared" si="10"/>
        <v>-1.3</v>
      </c>
      <c r="AC20" s="268">
        <f t="shared" si="10"/>
        <v>0</v>
      </c>
      <c r="AD20" s="204">
        <f t="shared" si="10"/>
        <v>-7.21</v>
      </c>
      <c r="AE20" s="268">
        <f t="shared" si="10"/>
        <v>-0.35</v>
      </c>
      <c r="AF20" s="7">
        <f t="shared" si="11"/>
        <v>-326.69</v>
      </c>
      <c r="AG20" s="7">
        <f t="shared" si="12"/>
        <v>-34.590000000000003</v>
      </c>
      <c r="AH20" s="7">
        <v>0</v>
      </c>
      <c r="AI20" s="124">
        <f t="shared" si="13"/>
        <v>-34.590000000000003</v>
      </c>
      <c r="AJ20" s="14">
        <f t="shared" si="14"/>
        <v>20365.37</v>
      </c>
      <c r="AK20" s="283"/>
      <c r="AL20" s="284"/>
      <c r="AM20" s="33">
        <f t="shared" si="15"/>
        <v>55814.8</v>
      </c>
      <c r="AN20" s="33">
        <f t="shared" si="16"/>
        <v>61768.2</v>
      </c>
      <c r="AO20" s="83"/>
      <c r="AP20" s="114">
        <v>33265.06</v>
      </c>
      <c r="AQ20" s="186">
        <v>39595.49</v>
      </c>
      <c r="AR20" s="192">
        <f>G20+'02.29.20'!AR20</f>
        <v>0</v>
      </c>
      <c r="AS20" s="114">
        <f t="shared" si="23"/>
        <v>5953.4</v>
      </c>
      <c r="AT20" s="137">
        <f>K20+'02.29.20'!AT20</f>
        <v>0</v>
      </c>
      <c r="AU20" s="137">
        <f>L20+'02.29.20'!AU20</f>
        <v>750.75</v>
      </c>
      <c r="AV20" s="84">
        <f t="shared" si="24"/>
        <v>750.75</v>
      </c>
      <c r="AW20" s="84">
        <f>N20+'02.29.20'!AW20</f>
        <v>0</v>
      </c>
      <c r="AX20" s="84">
        <f>O20+'02.29.20'!AX20</f>
        <v>0</v>
      </c>
      <c r="AY20" s="84">
        <f>P20+'02.29.20'!AY20</f>
        <v>0</v>
      </c>
      <c r="AZ20" s="84">
        <f t="shared" si="25"/>
        <v>0</v>
      </c>
      <c r="BA20" s="224">
        <v>18417.12</v>
      </c>
      <c r="BB20" s="137">
        <f>Z20+'02.29.20'!BB20</f>
        <v>1375.09</v>
      </c>
      <c r="BC20" s="137">
        <f>AA20+'02.29.20'!BC20</f>
        <v>1018.82</v>
      </c>
      <c r="BD20" s="276">
        <f>AB20+'02.29.20'!BD20</f>
        <v>-9.7200000000000006</v>
      </c>
      <c r="BE20" s="280">
        <f>AC20+'02.29.20'!BE20</f>
        <v>-38.229999999999997</v>
      </c>
      <c r="BF20" s="276">
        <f>AD20+'02.29.20'!BF20</f>
        <v>-8.64</v>
      </c>
      <c r="BG20" s="280">
        <f>AE20+'02.29.20'!BG20</f>
        <v>-4.1500000000000004</v>
      </c>
      <c r="BH20" s="84">
        <f t="shared" si="26"/>
        <v>2333.17</v>
      </c>
      <c r="BI20" s="84">
        <f>AG20+'02.29.20'!BI20</f>
        <v>-384.92</v>
      </c>
      <c r="BJ20" s="84">
        <f>AH20+'02.29.20'!BJ20</f>
        <v>0</v>
      </c>
      <c r="BK20" s="116">
        <f t="shared" si="27"/>
        <v>-384.92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554294.94999999995</v>
      </c>
      <c r="G21" s="9">
        <v>0</v>
      </c>
      <c r="H21" s="129">
        <f t="shared" si="0"/>
        <v>554294.94999999995</v>
      </c>
      <c r="I21" s="76">
        <f t="shared" si="1"/>
        <v>0.1444867</v>
      </c>
      <c r="J21" s="128"/>
      <c r="K21" s="128">
        <f t="shared" si="2"/>
        <v>0</v>
      </c>
      <c r="L21" s="128">
        <f t="shared" si="2"/>
        <v>-7738.92</v>
      </c>
      <c r="M21" s="9">
        <f t="shared" si="3"/>
        <v>-7738.92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546556.03</v>
      </c>
      <c r="S21" s="14">
        <f t="shared" si="7"/>
        <v>606445.69999999995</v>
      </c>
      <c r="T21" s="86">
        <v>523316.28</v>
      </c>
      <c r="U21" s="79">
        <f t="shared" si="8"/>
        <v>0.1444867</v>
      </c>
      <c r="V21" s="203"/>
      <c r="W21" s="264"/>
      <c r="X21" s="204">
        <f t="shared" si="22"/>
        <v>2597.5700000000002</v>
      </c>
      <c r="Y21" s="268">
        <f t="shared" si="22"/>
        <v>1031.8599999999999</v>
      </c>
      <c r="Z21" s="124">
        <f t="shared" si="9"/>
        <v>3629.43</v>
      </c>
      <c r="AA21" s="268">
        <f t="shared" si="10"/>
        <v>-8529.7800000000007</v>
      </c>
      <c r="AB21" s="204">
        <f t="shared" si="10"/>
        <v>-20.05</v>
      </c>
      <c r="AC21" s="268">
        <f t="shared" si="10"/>
        <v>0</v>
      </c>
      <c r="AD21" s="204">
        <f t="shared" si="10"/>
        <v>-111.23</v>
      </c>
      <c r="AE21" s="268">
        <f t="shared" si="10"/>
        <v>-5.43</v>
      </c>
      <c r="AF21" s="7">
        <f t="shared" si="11"/>
        <v>-5037.0600000000004</v>
      </c>
      <c r="AG21" s="7">
        <f t="shared" si="12"/>
        <v>-533.34</v>
      </c>
      <c r="AH21" s="7">
        <v>0</v>
      </c>
      <c r="AI21" s="124">
        <f t="shared" si="13"/>
        <v>-533.34</v>
      </c>
      <c r="AJ21" s="14">
        <f t="shared" si="14"/>
        <v>517745.88</v>
      </c>
      <c r="AK21" s="285"/>
      <c r="AL21" s="236"/>
      <c r="AM21" s="33">
        <f t="shared" si="15"/>
        <v>1064301.9099999999</v>
      </c>
      <c r="AN21" s="33">
        <f t="shared" si="16"/>
        <v>1176791.07</v>
      </c>
      <c r="AO21" s="83"/>
      <c r="AP21" s="114">
        <v>512877.8</v>
      </c>
      <c r="AQ21" s="186">
        <v>610479.87</v>
      </c>
      <c r="AR21" s="192">
        <f>G21+'02.29.20'!AR21</f>
        <v>0</v>
      </c>
      <c r="AS21" s="114">
        <f t="shared" si="23"/>
        <v>112489.16</v>
      </c>
      <c r="AT21" s="137">
        <f>K21+'02.29.20'!AT21</f>
        <v>0</v>
      </c>
      <c r="AU21" s="137">
        <f>L21+'02.29.20'!AU21</f>
        <v>11574.79</v>
      </c>
      <c r="AV21" s="84">
        <f t="shared" si="24"/>
        <v>11574.79</v>
      </c>
      <c r="AW21" s="84">
        <f>N21+'02.29.20'!AW21</f>
        <v>0</v>
      </c>
      <c r="AX21" s="84">
        <f>O21+'02.29.20'!AX21</f>
        <v>0</v>
      </c>
      <c r="AY21" s="84">
        <f>P21+'02.29.20'!AY21</f>
        <v>0</v>
      </c>
      <c r="AZ21" s="84">
        <f t="shared" si="25"/>
        <v>0</v>
      </c>
      <c r="BA21" s="224">
        <v>492992.17</v>
      </c>
      <c r="BB21" s="137">
        <f>Z21+'02.29.20'!BB21</f>
        <v>21201.06</v>
      </c>
      <c r="BC21" s="137">
        <f>AA21+'02.29.20'!BC21</f>
        <v>15707.91</v>
      </c>
      <c r="BD21" s="276">
        <f>AB21+'02.29.20'!BD21</f>
        <v>-149.97</v>
      </c>
      <c r="BE21" s="280">
        <f>AC21+'02.29.20'!BE21</f>
        <v>-589.45000000000005</v>
      </c>
      <c r="BF21" s="276">
        <f>AD21+'02.29.20'!BF21</f>
        <v>-133.22</v>
      </c>
      <c r="BG21" s="280">
        <f>AE21+'02.29.20'!BG21</f>
        <v>-64</v>
      </c>
      <c r="BH21" s="84">
        <f t="shared" si="26"/>
        <v>35972.33</v>
      </c>
      <c r="BI21" s="84">
        <f>AG21+'02.29.20'!BI21</f>
        <v>-5934.74</v>
      </c>
      <c r="BJ21" s="84">
        <f>AH21+'02.29.20'!BJ21</f>
        <v>-5283.88</v>
      </c>
      <c r="BK21" s="116">
        <f t="shared" si="27"/>
        <v>-11218.62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567315.81000000006</v>
      </c>
      <c r="G22" s="9">
        <v>0</v>
      </c>
      <c r="H22" s="129">
        <f t="shared" si="0"/>
        <v>567315.81000000006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-7920.71</v>
      </c>
      <c r="M22" s="9">
        <f t="shared" si="3"/>
        <v>-7920.71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559395.1</v>
      </c>
      <c r="S22" s="14">
        <f t="shared" si="7"/>
        <v>620691.63</v>
      </c>
      <c r="T22" s="86">
        <v>457733.27</v>
      </c>
      <c r="U22" s="79">
        <f t="shared" si="8"/>
        <v>0.14788081</v>
      </c>
      <c r="V22" s="316"/>
      <c r="W22" s="317"/>
      <c r="X22" s="204">
        <f t="shared" si="22"/>
        <v>2658.59</v>
      </c>
      <c r="Y22" s="268">
        <f t="shared" si="22"/>
        <v>1056.0999999999999</v>
      </c>
      <c r="Z22" s="124">
        <f t="shared" si="9"/>
        <v>3714.69</v>
      </c>
      <c r="AA22" s="268">
        <f t="shared" si="10"/>
        <v>-8730.15</v>
      </c>
      <c r="AB22" s="204">
        <f t="shared" si="10"/>
        <v>-20.52</v>
      </c>
      <c r="AC22" s="268">
        <f t="shared" si="10"/>
        <v>0</v>
      </c>
      <c r="AD22" s="204">
        <f t="shared" si="10"/>
        <v>-113.84</v>
      </c>
      <c r="AE22" s="268">
        <f t="shared" si="10"/>
        <v>-5.56</v>
      </c>
      <c r="AF22" s="7">
        <f t="shared" si="11"/>
        <v>-5155.38</v>
      </c>
      <c r="AG22" s="7">
        <f t="shared" si="12"/>
        <v>-545.87</v>
      </c>
      <c r="AH22" s="7">
        <v>0</v>
      </c>
      <c r="AI22" s="124">
        <f t="shared" si="13"/>
        <v>-545.87</v>
      </c>
      <c r="AJ22" s="14">
        <f t="shared" si="14"/>
        <v>452032.02</v>
      </c>
      <c r="AK22" s="283"/>
      <c r="AL22" s="284"/>
      <c r="AM22" s="33">
        <f t="shared" si="15"/>
        <v>1011427.12</v>
      </c>
      <c r="AN22" s="33">
        <f t="shared" si="16"/>
        <v>1118647.05</v>
      </c>
      <c r="AO22" s="83"/>
      <c r="AP22" s="114">
        <v>524925.73</v>
      </c>
      <c r="AQ22" s="186">
        <v>624820.56000000006</v>
      </c>
      <c r="AR22" s="192">
        <f>G22+'02.29.20'!AR22</f>
        <v>0</v>
      </c>
      <c r="AS22" s="114">
        <f t="shared" si="23"/>
        <v>107219.93</v>
      </c>
      <c r="AT22" s="137">
        <f>K22+'02.29.20'!AT22</f>
        <v>0</v>
      </c>
      <c r="AU22" s="137">
        <f>L22+'02.29.20'!AU22</f>
        <v>11846.69</v>
      </c>
      <c r="AV22" s="84">
        <f t="shared" si="24"/>
        <v>11846.69</v>
      </c>
      <c r="AW22" s="84">
        <f>N22+'02.29.20'!AW22</f>
        <v>0</v>
      </c>
      <c r="AX22" s="84">
        <f>O22+'02.29.20'!AX22</f>
        <v>0</v>
      </c>
      <c r="AY22" s="84">
        <f>P22+'02.29.20'!AY22</f>
        <v>0</v>
      </c>
      <c r="AZ22" s="84">
        <f t="shared" si="25"/>
        <v>0</v>
      </c>
      <c r="BA22" s="224">
        <v>421288.81</v>
      </c>
      <c r="BB22" s="137">
        <f>Z22+'02.29.20'!BB22</f>
        <v>21699.08</v>
      </c>
      <c r="BC22" s="137">
        <f>AA22+'02.29.20'!BC22</f>
        <v>16076.91</v>
      </c>
      <c r="BD22" s="276">
        <f>AB22+'02.29.20'!BD22</f>
        <v>-153.49</v>
      </c>
      <c r="BE22" s="280">
        <f>AC22+'02.29.20'!BE22</f>
        <v>-603.28</v>
      </c>
      <c r="BF22" s="276">
        <f>AD22+'02.29.20'!BF22</f>
        <v>-136.35</v>
      </c>
      <c r="BG22" s="280">
        <f>AE22+'02.29.20'!BG22</f>
        <v>-65.510000000000005</v>
      </c>
      <c r="BH22" s="84">
        <f t="shared" si="26"/>
        <v>36817.360000000001</v>
      </c>
      <c r="BI22" s="84">
        <f>AG22+'02.29.20'!BI22</f>
        <v>-6074.15</v>
      </c>
      <c r="BJ22" s="84">
        <f>AH22+'02.29.20'!BJ22</f>
        <v>0</v>
      </c>
      <c r="BK22" s="116">
        <f t="shared" si="27"/>
        <v>-6074.15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2934.23</v>
      </c>
      <c r="G23" s="9">
        <v>0</v>
      </c>
      <c r="H23" s="129">
        <f t="shared" si="0"/>
        <v>2934.23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-40.97</v>
      </c>
      <c r="M23" s="9">
        <f t="shared" si="3"/>
        <v>-40.97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2893.26</v>
      </c>
      <c r="S23" s="14">
        <f t="shared" si="7"/>
        <v>3210.29</v>
      </c>
      <c r="T23" s="86">
        <v>2199.66</v>
      </c>
      <c r="U23" s="79">
        <f t="shared" si="8"/>
        <v>7.6486000000000002E-4</v>
      </c>
      <c r="V23" s="203"/>
      <c r="W23" s="264"/>
      <c r="X23" s="204">
        <f t="shared" si="22"/>
        <v>13.75</v>
      </c>
      <c r="Y23" s="268">
        <f t="shared" si="22"/>
        <v>5.46</v>
      </c>
      <c r="Z23" s="124">
        <f t="shared" si="9"/>
        <v>19.21</v>
      </c>
      <c r="AA23" s="268">
        <f t="shared" si="10"/>
        <v>-45.15</v>
      </c>
      <c r="AB23" s="204">
        <f t="shared" si="10"/>
        <v>-0.11</v>
      </c>
      <c r="AC23" s="268">
        <f t="shared" si="10"/>
        <v>0</v>
      </c>
      <c r="AD23" s="204">
        <f t="shared" si="10"/>
        <v>-0.59</v>
      </c>
      <c r="AE23" s="268">
        <f t="shared" si="10"/>
        <v>-0.03</v>
      </c>
      <c r="AF23" s="7">
        <f t="shared" si="11"/>
        <v>-26.67</v>
      </c>
      <c r="AG23" s="7">
        <f t="shared" si="12"/>
        <v>-2.82</v>
      </c>
      <c r="AH23" s="7">
        <v>0</v>
      </c>
      <c r="AI23" s="124">
        <f t="shared" si="13"/>
        <v>-2.82</v>
      </c>
      <c r="AJ23" s="14">
        <f t="shared" si="14"/>
        <v>2170.17</v>
      </c>
      <c r="AK23" s="285"/>
      <c r="AL23" s="236"/>
      <c r="AM23" s="33">
        <f t="shared" si="15"/>
        <v>5063.43</v>
      </c>
      <c r="AN23" s="33">
        <f t="shared" si="16"/>
        <v>5600.93</v>
      </c>
      <c r="AO23" s="83"/>
      <c r="AP23" s="114">
        <v>2714.97</v>
      </c>
      <c r="AQ23" s="186">
        <v>3231.64</v>
      </c>
      <c r="AR23" s="192">
        <f>G23+'02.29.20'!AR23</f>
        <v>0</v>
      </c>
      <c r="AS23" s="114">
        <f t="shared" si="23"/>
        <v>537.5</v>
      </c>
      <c r="AT23" s="137">
        <f>K23+'02.29.20'!AT23</f>
        <v>0</v>
      </c>
      <c r="AU23" s="137">
        <f>L23+'02.29.20'!AU23</f>
        <v>61.27</v>
      </c>
      <c r="AV23" s="84">
        <f t="shared" si="24"/>
        <v>61.27</v>
      </c>
      <c r="AW23" s="84">
        <f>N23+'02.29.20'!AW23</f>
        <v>0</v>
      </c>
      <c r="AX23" s="84">
        <f>O23+'02.29.20'!AX23</f>
        <v>0</v>
      </c>
      <c r="AY23" s="84">
        <f>P23+'02.29.20'!AY23</f>
        <v>0</v>
      </c>
      <c r="AZ23" s="84">
        <f t="shared" si="25"/>
        <v>0</v>
      </c>
      <c r="BA23" s="224">
        <v>2011.18</v>
      </c>
      <c r="BB23" s="137">
        <f>Z23+'02.29.20'!BB23</f>
        <v>112.22</v>
      </c>
      <c r="BC23" s="137">
        <f>AA23+'02.29.20'!BC23</f>
        <v>83.16</v>
      </c>
      <c r="BD23" s="276">
        <f>AB23+'02.29.20'!BD23</f>
        <v>-0.8</v>
      </c>
      <c r="BE23" s="280">
        <f>AC23+'02.29.20'!BE23</f>
        <v>-3.12</v>
      </c>
      <c r="BF23" s="276">
        <f>AD23+'02.29.20'!BF23</f>
        <v>-0.71</v>
      </c>
      <c r="BG23" s="280">
        <f>AE23+'02.29.20'!BG23</f>
        <v>-0.34</v>
      </c>
      <c r="BH23" s="84">
        <f t="shared" si="26"/>
        <v>190.41</v>
      </c>
      <c r="BI23" s="84">
        <f>AG23+'02.29.20'!BI23</f>
        <v>-31.42</v>
      </c>
      <c r="BJ23" s="84">
        <f>AH23+'02.29.20'!BJ23</f>
        <v>0</v>
      </c>
      <c r="BK23" s="116">
        <f t="shared" si="27"/>
        <v>-31.42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1539963.24</v>
      </c>
      <c r="G24" s="9">
        <v>0</v>
      </c>
      <c r="H24" s="129">
        <f t="shared" si="0"/>
        <v>1539963.24</v>
      </c>
      <c r="I24" s="76">
        <f>H24/(H$31-1575)</f>
        <v>0.40141841</v>
      </c>
      <c r="J24" s="128"/>
      <c r="K24" s="128">
        <f>$I24*K$31</f>
        <v>0</v>
      </c>
      <c r="L24" s="318">
        <f>($I24*L$31)</f>
        <v>-21500.55</v>
      </c>
      <c r="M24" s="9">
        <f t="shared" si="3"/>
        <v>-21500.55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1518462.69</v>
      </c>
      <c r="S24" s="14">
        <f>(R24/(R$31-1575)*(S$31-1575))+0.01</f>
        <v>1684850.46</v>
      </c>
      <c r="T24" s="86">
        <v>796868.33</v>
      </c>
      <c r="U24" s="79">
        <f t="shared" si="8"/>
        <v>0.40141841</v>
      </c>
      <c r="V24" s="203"/>
      <c r="W24" s="264"/>
      <c r="X24" s="320">
        <f>($U24*X$31)+0.01</f>
        <v>7216.67</v>
      </c>
      <c r="Y24" s="321">
        <f>($U24*Y$31)-0.02</f>
        <v>2866.73</v>
      </c>
      <c r="Z24" s="319">
        <f t="shared" si="9"/>
        <v>10083.4</v>
      </c>
      <c r="AA24" s="321">
        <f>($U24*AA$31)+0.01</f>
        <v>-23697.74</v>
      </c>
      <c r="AB24" s="320">
        <f>($U24*AB$31)-0.01</f>
        <v>-55.72</v>
      </c>
      <c r="AC24" s="321">
        <f>($U24*AC$31)</f>
        <v>0</v>
      </c>
      <c r="AD24" s="320">
        <f>($U24*AD$31)-0.01</f>
        <v>-309.02999999999997</v>
      </c>
      <c r="AE24" s="321">
        <f>($U24*AE$31)</f>
        <v>-15.09</v>
      </c>
      <c r="AF24" s="7">
        <f t="shared" si="11"/>
        <v>-13994.18</v>
      </c>
      <c r="AG24" s="7">
        <f>(U24*AG$31)</f>
        <v>-1481.74</v>
      </c>
      <c r="AH24" s="7">
        <v>0</v>
      </c>
      <c r="AI24" s="319">
        <f t="shared" si="13"/>
        <v>-1481.74</v>
      </c>
      <c r="AJ24" s="14">
        <f t="shared" si="14"/>
        <v>781392.41</v>
      </c>
      <c r="AK24" s="285"/>
      <c r="AL24" s="236"/>
      <c r="AM24" s="33">
        <f t="shared" si="15"/>
        <v>2299855.1</v>
      </c>
      <c r="AN24" s="33">
        <f>((S24+AJ24)+((AJ24/AJ$31)*AO$49))+0.01</f>
        <v>2545627.0699999998</v>
      </c>
      <c r="AO24" s="83"/>
      <c r="AP24" s="114">
        <v>1424896.51</v>
      </c>
      <c r="AQ24" s="186">
        <v>1696058.26</v>
      </c>
      <c r="AR24" s="192">
        <f>G24+'02.29.20'!AR24</f>
        <v>0</v>
      </c>
      <c r="AS24" s="114">
        <f t="shared" si="23"/>
        <v>245771.97</v>
      </c>
      <c r="AT24" s="137">
        <f>K24+'02.29.20'!AT24</f>
        <v>0</v>
      </c>
      <c r="AU24" s="137">
        <f>L24+'02.29.20'!AU24</f>
        <v>32157.55</v>
      </c>
      <c r="AV24" s="84">
        <f t="shared" si="24"/>
        <v>32157.55</v>
      </c>
      <c r="AW24" s="84">
        <f>N24+'02.29.20'!AW24</f>
        <v>0</v>
      </c>
      <c r="AX24" s="84">
        <f>O24+'02.29.20'!AX24</f>
        <v>0</v>
      </c>
      <c r="AY24" s="84">
        <f>P24+'02.29.20'!AY24</f>
        <v>0</v>
      </c>
      <c r="AZ24" s="84">
        <f t="shared" si="25"/>
        <v>0</v>
      </c>
      <c r="BA24" s="224">
        <v>698290.76</v>
      </c>
      <c r="BB24" s="137">
        <f>Z24+'02.29.20'!BB24</f>
        <v>58901.58</v>
      </c>
      <c r="BC24" s="137">
        <f>AA24+'02.29.20'!BC24</f>
        <v>43640.29</v>
      </c>
      <c r="BD24" s="276">
        <f>AB24+'02.29.20'!BD24</f>
        <v>-416.67</v>
      </c>
      <c r="BE24" s="280">
        <f>AC24+'02.29.20'!BE24</f>
        <v>-1637.61</v>
      </c>
      <c r="BF24" s="276">
        <f>AD24+'02.29.20'!BF24</f>
        <v>-370.12</v>
      </c>
      <c r="BG24" s="280">
        <f>AE24+'02.29.20'!BG24</f>
        <v>-177.76</v>
      </c>
      <c r="BH24" s="84">
        <f t="shared" si="26"/>
        <v>99939.71</v>
      </c>
      <c r="BI24" s="84">
        <f>AG24+'02.29.20'!BI24</f>
        <v>-16488.060000000001</v>
      </c>
      <c r="BJ24" s="84">
        <f>AH24+'02.29.20'!BJ24</f>
        <v>-350</v>
      </c>
      <c r="BK24" s="116">
        <f t="shared" si="27"/>
        <v>-16838.060000000001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335391.68</v>
      </c>
      <c r="G25" s="9">
        <v>0</v>
      </c>
      <c r="H25" s="129">
        <f t="shared" si="0"/>
        <v>335391.68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-4682.6499999999996</v>
      </c>
      <c r="M25" s="9">
        <f t="shared" si="3"/>
        <v>-4682.6499999999996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330709.03000000003</v>
      </c>
      <c r="S25" s="14">
        <f>(R25/(R$31-1575)*(S$31-1575))</f>
        <v>366946.95</v>
      </c>
      <c r="T25" s="86">
        <v>205268.34</v>
      </c>
      <c r="U25" s="79">
        <f t="shared" si="8"/>
        <v>8.7425719999999998E-2</v>
      </c>
      <c r="V25" s="203"/>
      <c r="W25" s="264"/>
      <c r="X25" s="204">
        <f t="shared" ref="X25:Y28" si="28">$U25*X$31</f>
        <v>1571.73</v>
      </c>
      <c r="Y25" s="268">
        <f t="shared" si="28"/>
        <v>624.36</v>
      </c>
      <c r="Z25" s="124">
        <f t="shared" si="9"/>
        <v>2196.09</v>
      </c>
      <c r="AA25" s="268">
        <f t="shared" ref="AA25:AE28" si="29">$U25*AA$31</f>
        <v>-5161.18</v>
      </c>
      <c r="AB25" s="204">
        <f t="shared" si="29"/>
        <v>-12.13</v>
      </c>
      <c r="AC25" s="268">
        <f t="shared" si="29"/>
        <v>0</v>
      </c>
      <c r="AD25" s="204">
        <f t="shared" si="29"/>
        <v>-67.3</v>
      </c>
      <c r="AE25" s="268">
        <f t="shared" si="29"/>
        <v>-3.29</v>
      </c>
      <c r="AF25" s="7">
        <f t="shared" si="11"/>
        <v>-3047.81</v>
      </c>
      <c r="AG25" s="7">
        <f>U25*AG$31</f>
        <v>-322.70999999999998</v>
      </c>
      <c r="AH25" s="7">
        <v>0</v>
      </c>
      <c r="AI25" s="124">
        <f t="shared" si="13"/>
        <v>-322.70999999999998</v>
      </c>
      <c r="AJ25" s="14">
        <f t="shared" si="14"/>
        <v>201897.82</v>
      </c>
      <c r="AK25" s="285"/>
      <c r="AL25" s="236"/>
      <c r="AM25" s="33">
        <f t="shared" si="15"/>
        <v>532606.85</v>
      </c>
      <c r="AN25" s="33">
        <f>(S25+AJ25)+((AJ25/AJ$31)*AO$49)</f>
        <v>589356.23</v>
      </c>
      <c r="AO25" s="83"/>
      <c r="AP25" s="114">
        <v>310331.06</v>
      </c>
      <c r="AQ25" s="186">
        <v>369387.93</v>
      </c>
      <c r="AR25" s="192">
        <f>G25+'02.29.20'!AR25</f>
        <v>0</v>
      </c>
      <c r="AS25" s="114">
        <f t="shared" si="23"/>
        <v>56749.38</v>
      </c>
      <c r="AT25" s="137">
        <f>K25+'02.29.20'!AT25</f>
        <v>0</v>
      </c>
      <c r="AU25" s="137">
        <f>L25+'02.29.20'!AU25</f>
        <v>7003.65</v>
      </c>
      <c r="AV25" s="84">
        <f t="shared" si="24"/>
        <v>7003.65</v>
      </c>
      <c r="AW25" s="84">
        <f>N25+'02.29.20'!AW25</f>
        <v>0</v>
      </c>
      <c r="AX25" s="84">
        <f>O25+'02.29.20'!AX25</f>
        <v>0</v>
      </c>
      <c r="AY25" s="84">
        <f>P25+'02.29.20'!AY25</f>
        <v>0</v>
      </c>
      <c r="AZ25" s="84">
        <f t="shared" si="25"/>
        <v>0</v>
      </c>
      <c r="BA25" s="224">
        <v>183722.72</v>
      </c>
      <c r="BB25" s="137">
        <f>Z25+'02.29.20'!BB25</f>
        <v>12828.28</v>
      </c>
      <c r="BC25" s="137">
        <f>AA25+'02.29.20'!BC25</f>
        <v>9504.5300000000007</v>
      </c>
      <c r="BD25" s="276">
        <f>AB25+'02.29.20'!BD25</f>
        <v>-90.74</v>
      </c>
      <c r="BE25" s="280">
        <f>AC25+'02.29.20'!BE25</f>
        <v>-356.66</v>
      </c>
      <c r="BF25" s="276">
        <f>AD25+'02.29.20'!BF25</f>
        <v>-80.599999999999994</v>
      </c>
      <c r="BG25" s="280">
        <f>AE25+'02.29.20'!BG25</f>
        <v>-38.74</v>
      </c>
      <c r="BH25" s="84">
        <f t="shared" si="26"/>
        <v>21766.07</v>
      </c>
      <c r="BI25" s="84">
        <f>AG25+'02.29.20'!BI25</f>
        <v>-3590.97</v>
      </c>
      <c r="BJ25" s="84">
        <f>AH25+'02.29.20'!BJ25</f>
        <v>0</v>
      </c>
      <c r="BK25" s="116">
        <f t="shared" si="27"/>
        <v>-3590.97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14052.28</v>
      </c>
      <c r="G26" s="9">
        <v>0</v>
      </c>
      <c r="H26" s="129">
        <f t="shared" si="0"/>
        <v>14052.28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-196.19</v>
      </c>
      <c r="M26" s="9">
        <f t="shared" si="3"/>
        <v>-196.19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13856.09</v>
      </c>
      <c r="S26" s="14">
        <f>(R26/(R$31-1575)*(S$31-1575))</f>
        <v>15374.39</v>
      </c>
      <c r="T26" s="86">
        <v>10337.120000000001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65.849999999999994</v>
      </c>
      <c r="Y26" s="268">
        <f t="shared" si="28"/>
        <v>26.16</v>
      </c>
      <c r="Z26" s="124">
        <f t="shared" si="9"/>
        <v>92.01</v>
      </c>
      <c r="AA26" s="268">
        <f t="shared" si="29"/>
        <v>-216.24</v>
      </c>
      <c r="AB26" s="204">
        <f t="shared" si="29"/>
        <v>-0.51</v>
      </c>
      <c r="AC26" s="268">
        <f t="shared" si="29"/>
        <v>0</v>
      </c>
      <c r="AD26" s="204">
        <f t="shared" si="29"/>
        <v>-2.82</v>
      </c>
      <c r="AE26" s="268">
        <f t="shared" si="29"/>
        <v>-0.14000000000000001</v>
      </c>
      <c r="AF26" s="7">
        <f t="shared" si="11"/>
        <v>-127.7</v>
      </c>
      <c r="AG26" s="7">
        <f>U26*AG$31</f>
        <v>-13.52</v>
      </c>
      <c r="AH26" s="7">
        <v>0</v>
      </c>
      <c r="AI26" s="124">
        <f t="shared" si="13"/>
        <v>-13.52</v>
      </c>
      <c r="AJ26" s="14">
        <f t="shared" si="14"/>
        <v>10195.9</v>
      </c>
      <c r="AK26" s="233"/>
      <c r="AL26" s="284"/>
      <c r="AM26" s="33">
        <f t="shared" si="15"/>
        <v>24051.99</v>
      </c>
      <c r="AN26" s="33">
        <f>(S26+AJ26)+((AJ26/AJ$31)*AO$49)</f>
        <v>26606.12</v>
      </c>
      <c r="AO26" s="83"/>
      <c r="AP26" s="114">
        <v>13002.29</v>
      </c>
      <c r="AQ26" s="186">
        <v>15476.66</v>
      </c>
      <c r="AR26" s="192">
        <f>G26+'02.29.20'!AR26</f>
        <v>0</v>
      </c>
      <c r="AS26" s="114">
        <f t="shared" si="23"/>
        <v>2554.13</v>
      </c>
      <c r="AT26" s="137">
        <f>K26+'02.29.20'!AT26</f>
        <v>0</v>
      </c>
      <c r="AU26" s="137">
        <f>L26+'02.29.20'!AU26</f>
        <v>293.45</v>
      </c>
      <c r="AV26" s="84">
        <f t="shared" si="24"/>
        <v>293.45</v>
      </c>
      <c r="AW26" s="84">
        <f>N26+'02.29.20'!AW26</f>
        <v>0</v>
      </c>
      <c r="AX26" s="84">
        <f>O26+'02.29.20'!AX26</f>
        <v>0</v>
      </c>
      <c r="AY26" s="84">
        <f>P26+'02.29.20'!AY26</f>
        <v>0</v>
      </c>
      <c r="AZ26" s="84">
        <f t="shared" si="25"/>
        <v>0</v>
      </c>
      <c r="BA26" s="224">
        <v>9815.51</v>
      </c>
      <c r="BB26" s="137">
        <f>Z26+'02.29.20'!BB26</f>
        <v>537.46</v>
      </c>
      <c r="BC26" s="137">
        <f>AA26+'02.29.20'!BC26</f>
        <v>398.24</v>
      </c>
      <c r="BD26" s="276">
        <f>AB26+'02.29.20'!BD26</f>
        <v>-3.81</v>
      </c>
      <c r="BE26" s="280">
        <f>AC26+'02.29.20'!BE26</f>
        <v>-14.94</v>
      </c>
      <c r="BF26" s="276">
        <f>AD26+'02.29.20'!BF26</f>
        <v>-3.38</v>
      </c>
      <c r="BG26" s="280">
        <f>AE26+'02.29.20'!BG26</f>
        <v>-1.62</v>
      </c>
      <c r="BH26" s="84">
        <f t="shared" si="26"/>
        <v>911.95</v>
      </c>
      <c r="BI26" s="84">
        <f>AG26+'02.29.20'!BI26</f>
        <v>-150.44999999999999</v>
      </c>
      <c r="BJ26" s="84">
        <f>AH26+'02.29.20'!BJ26</f>
        <v>-381.11</v>
      </c>
      <c r="BK26" s="116">
        <f t="shared" si="27"/>
        <v>-531.55999999999995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13863.71</v>
      </c>
      <c r="G27" s="9">
        <v>0</v>
      </c>
      <c r="H27" s="129">
        <f t="shared" si="0"/>
        <v>13863.71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-193.56</v>
      </c>
      <c r="M27" s="9">
        <f t="shared" si="3"/>
        <v>-193.56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13670.15</v>
      </c>
      <c r="S27" s="14">
        <f>(R27/(R$31-1575)*(S$31-1575))</f>
        <v>15168.08</v>
      </c>
      <c r="T27" s="86">
        <v>8030.12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64.97</v>
      </c>
      <c r="Y27" s="268">
        <f t="shared" si="28"/>
        <v>25.81</v>
      </c>
      <c r="Z27" s="124">
        <f t="shared" si="9"/>
        <v>90.78</v>
      </c>
      <c r="AA27" s="268">
        <f t="shared" si="29"/>
        <v>-213.34</v>
      </c>
      <c r="AB27" s="204">
        <f t="shared" si="29"/>
        <v>-0.5</v>
      </c>
      <c r="AC27" s="268">
        <f t="shared" si="29"/>
        <v>0</v>
      </c>
      <c r="AD27" s="204">
        <f t="shared" si="29"/>
        <v>-2.78</v>
      </c>
      <c r="AE27" s="268">
        <f t="shared" si="29"/>
        <v>-0.14000000000000001</v>
      </c>
      <c r="AF27" s="7">
        <f t="shared" si="11"/>
        <v>-125.98</v>
      </c>
      <c r="AG27" s="7">
        <f>U27*AG$31</f>
        <v>-13.34</v>
      </c>
      <c r="AH27" s="7">
        <v>-359.13</v>
      </c>
      <c r="AI27" s="124">
        <f t="shared" si="13"/>
        <v>-372.47</v>
      </c>
      <c r="AJ27" s="14">
        <f t="shared" si="14"/>
        <v>7531.67</v>
      </c>
      <c r="AK27" s="233" t="s">
        <v>120</v>
      </c>
      <c r="AL27" s="236" t="s">
        <v>115</v>
      </c>
      <c r="AM27" s="33">
        <f t="shared" si="15"/>
        <v>21201.82</v>
      </c>
      <c r="AN27" s="33">
        <f>(S27+AJ27)+((AJ27/AJ$31)*AO$49)</f>
        <v>23464.92</v>
      </c>
      <c r="AO27" s="83"/>
      <c r="AP27" s="114">
        <v>12827.82</v>
      </c>
      <c r="AQ27" s="186">
        <v>15268.99</v>
      </c>
      <c r="AR27" s="192">
        <f>G27+'02.29.20'!AR27</f>
        <v>0</v>
      </c>
      <c r="AS27" s="114">
        <f t="shared" si="23"/>
        <v>2263.1</v>
      </c>
      <c r="AT27" s="137">
        <f>K27+'02.29.20'!AT27</f>
        <v>0</v>
      </c>
      <c r="AU27" s="137">
        <f>L27+'02.29.20'!AU27</f>
        <v>289.5</v>
      </c>
      <c r="AV27" s="84">
        <f t="shared" si="24"/>
        <v>289.5</v>
      </c>
      <c r="AW27" s="84">
        <f>N27+'02.29.20'!AW27</f>
        <v>0</v>
      </c>
      <c r="AX27" s="84">
        <f>O27+'02.29.20'!AX27</f>
        <v>0</v>
      </c>
      <c r="AY27" s="84">
        <f>P27+'02.29.20'!AY27</f>
        <v>0</v>
      </c>
      <c r="AZ27" s="84">
        <f t="shared" si="25"/>
        <v>0</v>
      </c>
      <c r="BA27" s="224">
        <v>7139.55</v>
      </c>
      <c r="BB27" s="137">
        <f>Z27+'02.29.20'!BB27</f>
        <v>530.27</v>
      </c>
      <c r="BC27" s="137">
        <f>AA27+'02.29.20'!BC27</f>
        <v>392.87</v>
      </c>
      <c r="BD27" s="276">
        <f>AB27+'02.29.20'!BD27</f>
        <v>-3.75</v>
      </c>
      <c r="BE27" s="280">
        <f>AC27+'02.29.20'!BE27</f>
        <v>-14.75</v>
      </c>
      <c r="BF27" s="276">
        <f>AD27+'02.29.20'!BF27</f>
        <v>-3.33</v>
      </c>
      <c r="BG27" s="280">
        <f>AE27+'02.29.20'!BG27</f>
        <v>-1.62</v>
      </c>
      <c r="BH27" s="84">
        <f t="shared" si="26"/>
        <v>899.69</v>
      </c>
      <c r="BI27" s="84">
        <f>AG27+'02.29.20'!BI27</f>
        <v>-148.44</v>
      </c>
      <c r="BJ27" s="84">
        <f>AH27+'02.29.20'!BJ27</f>
        <v>-359.13</v>
      </c>
      <c r="BK27" s="116">
        <f t="shared" si="27"/>
        <v>-507.57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G28+'02.29.20'!AR28</f>
        <v>0</v>
      </c>
      <c r="AS28" s="114">
        <f t="shared" si="23"/>
        <v>0</v>
      </c>
      <c r="AT28" s="137">
        <f>K28+'02.29.20'!AT28</f>
        <v>0</v>
      </c>
      <c r="AU28" s="137">
        <f>L28+'02.29.20'!AU28</f>
        <v>0</v>
      </c>
      <c r="AV28" s="84">
        <f t="shared" si="24"/>
        <v>0</v>
      </c>
      <c r="AW28" s="84">
        <f>N28+'02.29.20'!AW28</f>
        <v>0</v>
      </c>
      <c r="AX28" s="84">
        <f>O28+'02.29.20'!AX28</f>
        <v>0</v>
      </c>
      <c r="AY28" s="84">
        <f>P28+'02.29.20'!AY28</f>
        <v>0</v>
      </c>
      <c r="AZ28" s="84">
        <f t="shared" si="25"/>
        <v>0</v>
      </c>
      <c r="BA28" s="224">
        <v>0</v>
      </c>
      <c r="BB28" s="137">
        <f>Z28+'02.29.20'!BB28</f>
        <v>0</v>
      </c>
      <c r="BC28" s="137">
        <f>AA28+'02.29.20'!BC28</f>
        <v>0</v>
      </c>
      <c r="BD28" s="276">
        <f>AB28+'02.29.20'!BD28</f>
        <v>0</v>
      </c>
      <c r="BE28" s="280">
        <f>AC28+'02.29.20'!BE28</f>
        <v>0</v>
      </c>
      <c r="BF28" s="276">
        <f>AD28+'02.29.20'!BF28</f>
        <v>0</v>
      </c>
      <c r="BG28" s="280">
        <f>AE28+'02.29.20'!BG28</f>
        <v>0</v>
      </c>
      <c r="BH28" s="84">
        <f t="shared" si="26"/>
        <v>0</v>
      </c>
      <c r="BI28" s="84">
        <f>AG28+'02.29.20'!BI28</f>
        <v>0</v>
      </c>
      <c r="BJ28" s="84">
        <f>AH28+'02.29.20'!BJ28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3837879.44</v>
      </c>
      <c r="G31" s="48">
        <f>SUM(G12:G29)</f>
        <v>0</v>
      </c>
      <c r="H31" s="130">
        <f>SUM(H12:H29)</f>
        <v>3837879.44</v>
      </c>
      <c r="I31" s="78">
        <f>SUM(I12:I30)</f>
        <v>1</v>
      </c>
      <c r="J31" s="115"/>
      <c r="K31" s="115">
        <v>0</v>
      </c>
      <c r="L31" s="115">
        <v>-53561.45</v>
      </c>
      <c r="M31" s="48">
        <f>SUM(M12:M29)</f>
        <v>-53561.45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3784317.99</v>
      </c>
      <c r="S31" s="49">
        <f>R31+AO45</f>
        <v>4198817.55</v>
      </c>
      <c r="T31" s="50">
        <f>SUM(T12:T29)</f>
        <v>2676202.14</v>
      </c>
      <c r="U31" s="51">
        <f>SUM(U12:U30)</f>
        <v>1</v>
      </c>
      <c r="V31" s="206">
        <v>0</v>
      </c>
      <c r="W31" s="306">
        <v>2676202.14</v>
      </c>
      <c r="X31" s="206">
        <f>4912.7+13065.2</f>
        <v>17977.900000000001</v>
      </c>
      <c r="Y31" s="266">
        <f>400+6741.55</f>
        <v>7141.55</v>
      </c>
      <c r="Z31" s="115">
        <f>SUM(Z12:Z29)</f>
        <v>25119.45</v>
      </c>
      <c r="AA31" s="272">
        <v>-59035.03</v>
      </c>
      <c r="AB31" s="210">
        <v>-138.78</v>
      </c>
      <c r="AC31" s="272">
        <v>0</v>
      </c>
      <c r="AD31" s="210">
        <f>-696.97-72.84</f>
        <v>-769.81</v>
      </c>
      <c r="AE31" s="272">
        <v>-37.6</v>
      </c>
      <c r="AF31" s="48">
        <f>SUM(AF12:AF29)</f>
        <v>-34861.769999999997</v>
      </c>
      <c r="AG31" s="48">
        <v>-3691.26</v>
      </c>
      <c r="AH31" s="115">
        <f>SUM(AH12:AH30)</f>
        <v>-359.13</v>
      </c>
      <c r="AI31" s="115">
        <f>SUM(AI12:AI30)</f>
        <v>-4050.39</v>
      </c>
      <c r="AJ31" s="52">
        <f>SUM(AJ12:AJ30)</f>
        <v>2637289.98</v>
      </c>
      <c r="AK31" s="210">
        <f>V31+X31+AB31+AD31-17069.31</f>
        <v>0</v>
      </c>
      <c r="AL31" s="305">
        <f>W31+Y31+AA31+AC31+AE31++AG31+AH31+17069.31</f>
        <v>2637289.98</v>
      </c>
      <c r="AM31" s="35">
        <f>SUM(AM12:AM29)</f>
        <v>6421607.9699999997</v>
      </c>
      <c r="AN31" s="35">
        <f>AN45+AN49+1575</f>
        <v>7104038.3899999997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682430.42</v>
      </c>
      <c r="AT31" s="115">
        <v>0</v>
      </c>
      <c r="AU31" s="115">
        <f t="shared" si="30"/>
        <v>80109.740000000005</v>
      </c>
      <c r="AV31" s="48">
        <f t="shared" si="30"/>
        <v>80109.740000000005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146733.54</v>
      </c>
      <c r="BC31" s="115">
        <f t="shared" si="30"/>
        <v>108715.35</v>
      </c>
      <c r="BD31" s="210">
        <f t="shared" si="30"/>
        <v>-1037.97</v>
      </c>
      <c r="BE31" s="272">
        <f t="shared" si="30"/>
        <v>-4079.59</v>
      </c>
      <c r="BF31" s="210">
        <f t="shared" si="30"/>
        <v>-922.02</v>
      </c>
      <c r="BG31" s="272">
        <f t="shared" si="30"/>
        <v>-442.98</v>
      </c>
      <c r="BH31" s="48">
        <f t="shared" si="30"/>
        <v>248966.33</v>
      </c>
      <c r="BI31" s="48">
        <f t="shared" si="30"/>
        <v>-41074.6</v>
      </c>
      <c r="BJ31" s="48">
        <f t="shared" si="30"/>
        <v>-12973.96</v>
      </c>
      <c r="BK31" s="73">
        <f t="shared" si="30"/>
        <v>-54048.56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3836304.44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3782742.99</v>
      </c>
      <c r="S34" s="259">
        <f>S31+S33</f>
        <v>4197242.55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6420032.9699999997</v>
      </c>
      <c r="AN34" s="259">
        <f>AN31+AN33</f>
        <v>7102463.3899999997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'02.29.20'!R31</f>
        <v>3837879.44</v>
      </c>
      <c r="G38" s="121">
        <f>SUM(G12:G29)</f>
        <v>0</v>
      </c>
      <c r="H38" s="121">
        <f>F31+G31+P31</f>
        <v>3837879.44</v>
      </c>
      <c r="I38" s="144">
        <v>1</v>
      </c>
      <c r="J38" s="121"/>
      <c r="K38" s="121">
        <f>SUM(K12:K29)</f>
        <v>0</v>
      </c>
      <c r="L38" s="121">
        <f>SUM(L12:L29)</f>
        <v>-53561.45</v>
      </c>
      <c r="M38" s="121">
        <f>K31+L31</f>
        <v>-53561.45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3784317.99</v>
      </c>
      <c r="S38" s="121">
        <f>SUM(S12:S29)</f>
        <v>4198817.55</v>
      </c>
      <c r="T38" s="121">
        <f>'02.29.20'!AJ31</f>
        <v>2676202.14</v>
      </c>
      <c r="U38" s="144">
        <v>1</v>
      </c>
      <c r="V38" s="229"/>
      <c r="W38" s="198"/>
      <c r="X38" s="121">
        <f t="shared" ref="X38:AE38" si="31">SUM(X12:X29)</f>
        <v>17977.900000000001</v>
      </c>
      <c r="Y38" s="121">
        <f t="shared" si="31"/>
        <v>7141.55</v>
      </c>
      <c r="Z38" s="121">
        <f t="shared" si="31"/>
        <v>25119.45</v>
      </c>
      <c r="AA38" s="121">
        <f t="shared" si="31"/>
        <v>-59035.03</v>
      </c>
      <c r="AB38" s="121">
        <f t="shared" si="31"/>
        <v>-138.78</v>
      </c>
      <c r="AC38" s="121">
        <f t="shared" si="31"/>
        <v>0</v>
      </c>
      <c r="AD38" s="121">
        <f t="shared" si="31"/>
        <v>-769.81</v>
      </c>
      <c r="AE38" s="121">
        <f t="shared" si="31"/>
        <v>-37.6</v>
      </c>
      <c r="AF38" s="121">
        <f>SUM(Z31:AE31)</f>
        <v>-34861.769999999997</v>
      </c>
      <c r="AG38" s="121">
        <f>SUM(AG12:AG29)</f>
        <v>-3691.26</v>
      </c>
      <c r="AH38" s="121">
        <f>SUM(AH12:AH29)</f>
        <v>-359.13</v>
      </c>
      <c r="AI38" s="121">
        <f>AG38+AH38</f>
        <v>-4050.39</v>
      </c>
      <c r="AJ38" s="121">
        <f>T31+AF31+AI31</f>
        <v>2637289.98</v>
      </c>
      <c r="AK38" s="149"/>
      <c r="AL38" s="121"/>
      <c r="AM38" s="121">
        <f>R31+AJ31</f>
        <v>6421607.9699999997</v>
      </c>
      <c r="AN38" s="121">
        <f>SUM(AN12:AN29)</f>
        <v>7104038.3899999997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-53561.45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-34861.769999999997</v>
      </c>
      <c r="BI38" s="146">
        <f>AG31</f>
        <v>-3691.26</v>
      </c>
      <c r="BJ38" s="146">
        <f>AH31</f>
        <v>-359.13</v>
      </c>
      <c r="BK38" s="146">
        <f>AI31</f>
        <v>-4050.39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133671.19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283828.09999999998</v>
      </c>
      <c r="BI40" s="149">
        <f t="shared" si="33"/>
        <v>-37383.339999999997</v>
      </c>
      <c r="BJ40" s="149">
        <f t="shared" si="33"/>
        <v>-12614.83</v>
      </c>
      <c r="BK40" s="149">
        <f t="shared" si="33"/>
        <v>-49998.17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'02.29.20'!AR31</f>
        <v>0</v>
      </c>
      <c r="AS41" s="141"/>
      <c r="AT41" s="141"/>
      <c r="AU41" s="141"/>
      <c r="AV41" s="141">
        <f>'02.29.20'!AV31</f>
        <v>133671.19</v>
      </c>
      <c r="AW41" s="141">
        <f>'02.29.20'!AW31</f>
        <v>0</v>
      </c>
      <c r="AX41" s="141">
        <f>'02.29.20'!AX31</f>
        <v>0</v>
      </c>
      <c r="AY41" s="141">
        <f>'02.29.20'!AY31</f>
        <v>0</v>
      </c>
      <c r="AZ41" s="141">
        <f>'02.29.20'!AZ31</f>
        <v>0</v>
      </c>
      <c r="BA41" s="181"/>
      <c r="BB41" s="181"/>
      <c r="BC41" s="181"/>
      <c r="BD41" s="181"/>
      <c r="BE41" s="181"/>
      <c r="BF41" s="181"/>
      <c r="BG41" s="181"/>
      <c r="BH41" s="141">
        <f>'02.29.20'!BH31</f>
        <v>283828.09999999998</v>
      </c>
      <c r="BI41" s="141">
        <f>'02.29.20'!BI31</f>
        <v>-37383.339999999997</v>
      </c>
      <c r="BJ41" s="141">
        <f>'02.29.20'!BJ31</f>
        <v>-12614.83</v>
      </c>
      <c r="BK41" s="141">
        <f>'02.29.20'!BK31</f>
        <v>-49998.17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>AG31-AG38</f>
        <v>0</v>
      </c>
      <c r="AH42" s="298">
        <f>AH31-AH38</f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3782742.99</v>
      </c>
      <c r="AM45" s="289"/>
      <c r="AN45" s="289">
        <v>4197242.55</v>
      </c>
      <c r="AO45" s="307">
        <f>AN45-AL45</f>
        <v>414499.56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3782742.99</v>
      </c>
      <c r="AN46" s="289">
        <v>0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2635546.83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1743.15</v>
      </c>
      <c r="AM49" s="290">
        <f>AL48+AL49</f>
        <v>2637289.98</v>
      </c>
      <c r="AN49" s="290">
        <v>2905220.84</v>
      </c>
      <c r="AO49" s="307">
        <f>AN49-AM49</f>
        <v>267930.86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6420032.9699999997</v>
      </c>
      <c r="AN51" s="296">
        <f>AN45+AN46+AN49</f>
        <v>7102463.3899999997</v>
      </c>
      <c r="AO51" s="308">
        <f>AO45+AO46+AO49</f>
        <v>682430.42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172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66546.53</v>
      </c>
      <c r="G12" s="9">
        <v>0</v>
      </c>
      <c r="H12" s="129">
        <f t="shared" ref="H12:H28" si="0">F12+G12+P12</f>
        <v>66546.53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4.91</v>
      </c>
      <c r="M12" s="9">
        <f t="shared" ref="M12:M28" si="3">K12+L12</f>
        <v>4.91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66551.44</v>
      </c>
      <c r="S12" s="14">
        <f t="shared" ref="S12:S23" si="7">(R12/(R$31-1575)*(S$31-1575))</f>
        <v>77542.58</v>
      </c>
      <c r="T12" s="86">
        <v>24491.78</v>
      </c>
      <c r="U12" s="79">
        <f t="shared" ref="U12:U28" si="8">I12</f>
        <v>1.7592139999999999E-2</v>
      </c>
      <c r="V12" s="203"/>
      <c r="W12" s="264"/>
      <c r="X12" s="204">
        <f>$U12*X$31</f>
        <v>121.12</v>
      </c>
      <c r="Y12" s="268">
        <f>$U12*Y$31</f>
        <v>99.11</v>
      </c>
      <c r="Z12" s="124">
        <f t="shared" ref="Z12:Z28" si="9">X12+Y12</f>
        <v>220.23</v>
      </c>
      <c r="AA12" s="268">
        <f t="shared" ref="AA12:AE23" si="10">$U12*AA$31</f>
        <v>2.9</v>
      </c>
      <c r="AB12" s="204">
        <f t="shared" si="10"/>
        <v>0</v>
      </c>
      <c r="AC12" s="268">
        <f t="shared" si="10"/>
        <v>-13.33</v>
      </c>
      <c r="AD12" s="204">
        <f t="shared" si="10"/>
        <v>0</v>
      </c>
      <c r="AE12" s="268">
        <f t="shared" si="10"/>
        <v>-1.76</v>
      </c>
      <c r="AF12" s="7">
        <f t="shared" ref="AF12:AF28" si="11">SUM(Z12:AE12)</f>
        <v>208.04</v>
      </c>
      <c r="AG12" s="7">
        <f t="shared" ref="AG12:AG23" si="12">U12*AG$31</f>
        <v>-77.5</v>
      </c>
      <c r="AH12" s="7">
        <v>0</v>
      </c>
      <c r="AI12" s="124">
        <f t="shared" ref="AI12:AI28" si="13">AG12+AH12</f>
        <v>-77.5</v>
      </c>
      <c r="AJ12" s="14">
        <f t="shared" ref="AJ12:AJ28" si="14">T12+AF12+AI12</f>
        <v>24622.32</v>
      </c>
      <c r="AK12" s="233"/>
      <c r="AL12" s="236"/>
      <c r="AM12" s="33">
        <f t="shared" ref="AM12:AM28" si="15">R12+AJ12</f>
        <v>91173.759999999995</v>
      </c>
      <c r="AN12" s="33">
        <f t="shared" ref="AN12:AN23" si="16">(S12+AJ12)+((AJ12/AJ$31)*AO$49)</f>
        <v>105986.57</v>
      </c>
      <c r="AO12" s="83"/>
      <c r="AP12" s="114">
        <v>62445.99</v>
      </c>
      <c r="AQ12" s="186">
        <v>74329.64</v>
      </c>
      <c r="AR12" s="192">
        <f>G12+'03.31.20'!AR12</f>
        <v>0</v>
      </c>
      <c r="AS12" s="114">
        <f t="shared" ref="AS12:AS17" si="17">AN12-AM12</f>
        <v>14812.81</v>
      </c>
      <c r="AT12" s="137">
        <f>K12+'03.31.20'!AT12</f>
        <v>0</v>
      </c>
      <c r="AU12" s="137">
        <f>L12+'03.31.20'!AU12</f>
        <v>1414.21</v>
      </c>
      <c r="AV12" s="84">
        <f t="shared" ref="AV12:AV17" si="18">AT12+AU12</f>
        <v>1414.21</v>
      </c>
      <c r="AW12" s="84">
        <f>N12+'03.31.20'!AW12</f>
        <v>0</v>
      </c>
      <c r="AX12" s="84">
        <f>O12+'03.31.20'!AX12</f>
        <v>0</v>
      </c>
      <c r="AY12" s="84">
        <f>P12+'03.31.20'!AY12</f>
        <v>0</v>
      </c>
      <c r="AZ12" s="84">
        <f t="shared" ref="AZ12:AZ17" si="19">AX12+AY12</f>
        <v>0</v>
      </c>
      <c r="BA12" s="224">
        <v>27434.37</v>
      </c>
      <c r="BB12" s="137">
        <f>Z12+'03.31.20'!BB12</f>
        <v>2801.59</v>
      </c>
      <c r="BC12" s="137">
        <f>AA12+'03.31.20'!BC12</f>
        <v>1915.44</v>
      </c>
      <c r="BD12" s="276">
        <f>AB12+'03.31.20'!BD12</f>
        <v>-18.260000000000002</v>
      </c>
      <c r="BE12" s="280">
        <f>AC12+'03.31.20'!BE12</f>
        <v>-85.1</v>
      </c>
      <c r="BF12" s="276">
        <f>AD12+'03.31.20'!BF12</f>
        <v>-16.22</v>
      </c>
      <c r="BG12" s="280">
        <f>AE12+'03.31.20'!BG12</f>
        <v>-9.56</v>
      </c>
      <c r="BH12" s="84">
        <f t="shared" ref="BH12:BH17" si="20">SUM(BB12:BG12)</f>
        <v>4587.8900000000003</v>
      </c>
      <c r="BI12" s="84">
        <f>AG12+'03.31.20'!BI12</f>
        <v>-800.1</v>
      </c>
      <c r="BJ12" s="84">
        <f>AH12+'03.31.20'!BJ12</f>
        <v>-6599.84</v>
      </c>
      <c r="BK12" s="116">
        <f t="shared" ref="BK12:BK17" si="21">BI12+BJ12</f>
        <v>-7399.94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5258.62</v>
      </c>
      <c r="G13" s="9">
        <v>0</v>
      </c>
      <c r="H13" s="129">
        <f t="shared" si="0"/>
        <v>5258.62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0.39</v>
      </c>
      <c r="M13" s="9">
        <f t="shared" si="3"/>
        <v>0.39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5259.01</v>
      </c>
      <c r="S13" s="14">
        <f t="shared" si="7"/>
        <v>6127.55</v>
      </c>
      <c r="T13" s="86">
        <v>4015.69</v>
      </c>
      <c r="U13" s="79">
        <f t="shared" si="8"/>
        <v>1.3901600000000001E-3</v>
      </c>
      <c r="V13" s="203"/>
      <c r="W13" s="264"/>
      <c r="X13" s="204">
        <f>$U13*X$31</f>
        <v>9.57</v>
      </c>
      <c r="Y13" s="268">
        <f>$U13*Y$31</f>
        <v>7.83</v>
      </c>
      <c r="Z13" s="124">
        <f t="shared" si="9"/>
        <v>17.399999999999999</v>
      </c>
      <c r="AA13" s="268">
        <f t="shared" si="10"/>
        <v>0.23</v>
      </c>
      <c r="AB13" s="204">
        <f t="shared" si="10"/>
        <v>0</v>
      </c>
      <c r="AC13" s="268">
        <f t="shared" si="10"/>
        <v>-1.05</v>
      </c>
      <c r="AD13" s="204">
        <f t="shared" si="10"/>
        <v>0</v>
      </c>
      <c r="AE13" s="268">
        <f t="shared" si="10"/>
        <v>-0.14000000000000001</v>
      </c>
      <c r="AF13" s="7">
        <f t="shared" si="11"/>
        <v>16.440000000000001</v>
      </c>
      <c r="AG13" s="7">
        <f t="shared" si="12"/>
        <v>-6.12</v>
      </c>
      <c r="AH13" s="7">
        <v>0</v>
      </c>
      <c r="AI13" s="124">
        <f t="shared" si="13"/>
        <v>-6.12</v>
      </c>
      <c r="AJ13" s="14">
        <f t="shared" si="14"/>
        <v>4026.01</v>
      </c>
      <c r="AK13" s="233"/>
      <c r="AL13" s="236"/>
      <c r="AM13" s="33">
        <f t="shared" si="15"/>
        <v>9285.02</v>
      </c>
      <c r="AN13" s="33">
        <f t="shared" si="16"/>
        <v>10778.44</v>
      </c>
      <c r="AO13" s="83"/>
      <c r="AP13" s="114">
        <v>4934.59</v>
      </c>
      <c r="AQ13" s="186">
        <v>5873.66</v>
      </c>
      <c r="AR13" s="192">
        <f>G13+'03.31.20'!AR13</f>
        <v>0</v>
      </c>
      <c r="AS13" s="114">
        <f t="shared" si="17"/>
        <v>1493.42</v>
      </c>
      <c r="AT13" s="137">
        <f>K13+'03.31.20'!AT13</f>
        <v>0</v>
      </c>
      <c r="AU13" s="137">
        <f>L13+'03.31.20'!AU13</f>
        <v>111.75</v>
      </c>
      <c r="AV13" s="84">
        <f t="shared" si="18"/>
        <v>111.75</v>
      </c>
      <c r="AW13" s="84">
        <f>N13+'03.31.20'!AW13</f>
        <v>0</v>
      </c>
      <c r="AX13" s="84">
        <f>O13+'03.31.20'!AX13</f>
        <v>0</v>
      </c>
      <c r="AY13" s="84">
        <f>P13+'03.31.20'!AY13</f>
        <v>0</v>
      </c>
      <c r="AZ13" s="84">
        <f t="shared" si="19"/>
        <v>0</v>
      </c>
      <c r="BA13" s="224">
        <v>3726.67</v>
      </c>
      <c r="BB13" s="137">
        <f>Z13+'03.31.20'!BB13</f>
        <v>221.38</v>
      </c>
      <c r="BC13" s="137">
        <f>AA13+'03.31.20'!BC13</f>
        <v>151.37</v>
      </c>
      <c r="BD13" s="276">
        <f>AB13+'03.31.20'!BD13</f>
        <v>-1.44</v>
      </c>
      <c r="BE13" s="280">
        <f>AC13+'03.31.20'!BE13</f>
        <v>-6.72</v>
      </c>
      <c r="BF13" s="276">
        <f>AD13+'03.31.20'!BF13</f>
        <v>-1.28</v>
      </c>
      <c r="BG13" s="280">
        <f>AE13+'03.31.20'!BG13</f>
        <v>-0.75</v>
      </c>
      <c r="BH13" s="84">
        <f t="shared" si="20"/>
        <v>362.56</v>
      </c>
      <c r="BI13" s="84">
        <f>AG13+'03.31.20'!BI13</f>
        <v>-63.22</v>
      </c>
      <c r="BJ13" s="84">
        <f>AH13+'03.31.20'!BJ13</f>
        <v>0</v>
      </c>
      <c r="BK13" s="116">
        <f t="shared" si="21"/>
        <v>-63.22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386979.95</v>
      </c>
      <c r="G14" s="9">
        <v>0</v>
      </c>
      <c r="H14" s="129">
        <f t="shared" si="0"/>
        <v>386979.95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28.56</v>
      </c>
      <c r="M14" s="9">
        <f t="shared" si="3"/>
        <v>28.56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387008.51</v>
      </c>
      <c r="S14" s="14">
        <f t="shared" si="7"/>
        <v>450923.95</v>
      </c>
      <c r="T14" s="86">
        <v>342907.42</v>
      </c>
      <c r="U14" s="79">
        <f t="shared" si="8"/>
        <v>0.10230141</v>
      </c>
      <c r="V14" s="304"/>
      <c r="W14" s="304"/>
      <c r="X14" s="204">
        <f>($U14*X$31)</f>
        <v>704.36</v>
      </c>
      <c r="Y14" s="268">
        <f>($U14*Y$31)</f>
        <v>576.35</v>
      </c>
      <c r="Z14" s="124">
        <f t="shared" si="9"/>
        <v>1280.71</v>
      </c>
      <c r="AA14" s="268">
        <f t="shared" si="10"/>
        <v>16.88</v>
      </c>
      <c r="AB14" s="204">
        <f t="shared" si="10"/>
        <v>0</v>
      </c>
      <c r="AC14" s="268">
        <f t="shared" si="10"/>
        <v>-77.53</v>
      </c>
      <c r="AD14" s="204">
        <f t="shared" si="10"/>
        <v>0</v>
      </c>
      <c r="AE14" s="268">
        <f t="shared" si="10"/>
        <v>-10.220000000000001</v>
      </c>
      <c r="AF14" s="7">
        <f t="shared" si="11"/>
        <v>1209.8399999999999</v>
      </c>
      <c r="AG14" s="7">
        <f t="shared" si="12"/>
        <v>-450.68</v>
      </c>
      <c r="AH14" s="7">
        <v>0</v>
      </c>
      <c r="AI14" s="124">
        <f t="shared" si="13"/>
        <v>-450.68</v>
      </c>
      <c r="AJ14" s="14">
        <f t="shared" si="14"/>
        <v>343666.58</v>
      </c>
      <c r="AK14" s="233"/>
      <c r="AL14" s="236"/>
      <c r="AM14" s="33">
        <f t="shared" si="15"/>
        <v>730675.09</v>
      </c>
      <c r="AN14" s="33">
        <f t="shared" si="16"/>
        <v>847931.59</v>
      </c>
      <c r="AO14" s="83"/>
      <c r="AP14" s="114">
        <v>363134.62</v>
      </c>
      <c r="AQ14" s="186">
        <v>432240.15</v>
      </c>
      <c r="AR14" s="192">
        <f>G14+'03.31.20'!AR14</f>
        <v>0</v>
      </c>
      <c r="AS14" s="114">
        <f t="shared" si="17"/>
        <v>117256.5</v>
      </c>
      <c r="AT14" s="137">
        <f>K14+'03.31.20'!AT14</f>
        <v>0</v>
      </c>
      <c r="AU14" s="137">
        <f>L14+'03.31.20'!AU14</f>
        <v>8223.89</v>
      </c>
      <c r="AV14" s="84">
        <f t="shared" si="18"/>
        <v>8223.89</v>
      </c>
      <c r="AW14" s="84">
        <f>N14+'03.31.20'!AW14</f>
        <v>0</v>
      </c>
      <c r="AX14" s="84">
        <f>O14+'03.31.20'!AX14</f>
        <v>0</v>
      </c>
      <c r="AY14" s="84">
        <f>P14+'03.31.20'!AY14</f>
        <v>0</v>
      </c>
      <c r="AZ14" s="84">
        <f t="shared" si="19"/>
        <v>0</v>
      </c>
      <c r="BA14" s="224">
        <v>321639.82</v>
      </c>
      <c r="BB14" s="137">
        <f>Z14+'03.31.20'!BB14</f>
        <v>16291.76</v>
      </c>
      <c r="BC14" s="137">
        <f>AA14+'03.31.20'!BC14</f>
        <v>11138.61</v>
      </c>
      <c r="BD14" s="276">
        <f>AB14+'03.31.20'!BD14</f>
        <v>-106.18</v>
      </c>
      <c r="BE14" s="280">
        <f>AC14+'03.31.20'!BE14</f>
        <v>-494.88</v>
      </c>
      <c r="BF14" s="276">
        <f>AD14+'03.31.20'!BF14</f>
        <v>-94.32</v>
      </c>
      <c r="BG14" s="280">
        <f>AE14+'03.31.20'!BG14</f>
        <v>-55.55</v>
      </c>
      <c r="BH14" s="84">
        <f t="shared" si="20"/>
        <v>26679.439999999999</v>
      </c>
      <c r="BI14" s="84">
        <f>AG14+'03.31.20'!BI14</f>
        <v>-4652.68</v>
      </c>
      <c r="BJ14" s="84">
        <f>AH14+'03.31.20'!BJ14</f>
        <v>0</v>
      </c>
      <c r="BK14" s="116">
        <f t="shared" si="21"/>
        <v>-4652.68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167598.82</v>
      </c>
      <c r="G15" s="9">
        <v>0</v>
      </c>
      <c r="H15" s="129">
        <f t="shared" si="0"/>
        <v>167598.82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12.37</v>
      </c>
      <c r="M15" s="9">
        <f t="shared" si="3"/>
        <v>12.37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167611.19</v>
      </c>
      <c r="S15" s="14">
        <f t="shared" si="7"/>
        <v>195292.6</v>
      </c>
      <c r="T15" s="86">
        <v>181934.5</v>
      </c>
      <c r="U15" s="79">
        <f t="shared" si="8"/>
        <v>4.4306159999999997E-2</v>
      </c>
      <c r="V15" s="203"/>
      <c r="W15" s="264"/>
      <c r="X15" s="204">
        <f t="shared" ref="X15:Y23" si="22">$U15*X$31</f>
        <v>305.05</v>
      </c>
      <c r="Y15" s="268">
        <f t="shared" si="22"/>
        <v>249.61</v>
      </c>
      <c r="Z15" s="124">
        <f t="shared" si="9"/>
        <v>554.66</v>
      </c>
      <c r="AA15" s="268">
        <f t="shared" si="10"/>
        <v>7.31</v>
      </c>
      <c r="AB15" s="204">
        <f t="shared" si="10"/>
        <v>0</v>
      </c>
      <c r="AC15" s="268">
        <f t="shared" si="10"/>
        <v>-33.58</v>
      </c>
      <c r="AD15" s="204">
        <f t="shared" si="10"/>
        <v>0</v>
      </c>
      <c r="AE15" s="268">
        <f t="shared" si="10"/>
        <v>-4.43</v>
      </c>
      <c r="AF15" s="7">
        <f t="shared" si="11"/>
        <v>523.96</v>
      </c>
      <c r="AG15" s="7">
        <f t="shared" si="12"/>
        <v>-195.19</v>
      </c>
      <c r="AH15" s="7">
        <v>0</v>
      </c>
      <c r="AI15" s="124">
        <f t="shared" si="13"/>
        <v>-195.19</v>
      </c>
      <c r="AJ15" s="14">
        <f t="shared" si="14"/>
        <v>182263.27</v>
      </c>
      <c r="AK15" s="233"/>
      <c r="AL15" s="236"/>
      <c r="AM15" s="33">
        <f t="shared" si="15"/>
        <v>349874.46</v>
      </c>
      <c r="AN15" s="33">
        <f t="shared" si="16"/>
        <v>405845.25</v>
      </c>
      <c r="AO15" s="83"/>
      <c r="AP15" s="114">
        <v>157271.56</v>
      </c>
      <c r="AQ15" s="186">
        <v>187200.78</v>
      </c>
      <c r="AR15" s="192">
        <f>G15+'03.31.20'!AR15</f>
        <v>0</v>
      </c>
      <c r="AS15" s="114">
        <f t="shared" si="17"/>
        <v>55970.79</v>
      </c>
      <c r="AT15" s="137">
        <f>K15+'03.31.20'!AT15</f>
        <v>0</v>
      </c>
      <c r="AU15" s="137">
        <f>L15+'03.31.20'!AU15</f>
        <v>3561.72</v>
      </c>
      <c r="AV15" s="84">
        <f t="shared" si="18"/>
        <v>3561.72</v>
      </c>
      <c r="AW15" s="84">
        <f>N15+'03.31.20'!AW15</f>
        <v>0</v>
      </c>
      <c r="AX15" s="84">
        <f>O15+'03.31.20'!AX15</f>
        <v>0</v>
      </c>
      <c r="AY15" s="84">
        <f>P15+'03.31.20'!AY15</f>
        <v>0</v>
      </c>
      <c r="AZ15" s="84">
        <f t="shared" si="19"/>
        <v>0</v>
      </c>
      <c r="BA15" s="224">
        <v>172723.67</v>
      </c>
      <c r="BB15" s="137">
        <f>Z15+'03.31.20'!BB15</f>
        <v>7055.83</v>
      </c>
      <c r="BC15" s="137">
        <f>AA15+'03.31.20'!BC15</f>
        <v>4824.07</v>
      </c>
      <c r="BD15" s="276">
        <f>AB15+'03.31.20'!BD15</f>
        <v>-45.99</v>
      </c>
      <c r="BE15" s="280">
        <f>AC15+'03.31.20'!BE15</f>
        <v>-214.34</v>
      </c>
      <c r="BF15" s="276">
        <f>AD15+'03.31.20'!BF15</f>
        <v>-40.86</v>
      </c>
      <c r="BG15" s="280">
        <f>AE15+'03.31.20'!BG15</f>
        <v>-24.06</v>
      </c>
      <c r="BH15" s="84">
        <f t="shared" si="20"/>
        <v>11554.65</v>
      </c>
      <c r="BI15" s="84">
        <f>AG15+'03.31.20'!BI15</f>
        <v>-2015.05</v>
      </c>
      <c r="BJ15" s="84">
        <f>AH15+'03.31.20'!BJ15</f>
        <v>0</v>
      </c>
      <c r="BK15" s="116">
        <f t="shared" si="21"/>
        <v>-2015.05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10323.5</v>
      </c>
      <c r="G16" s="9">
        <v>0</v>
      </c>
      <c r="H16" s="129">
        <f t="shared" si="0"/>
        <v>10323.5</v>
      </c>
      <c r="I16" s="76">
        <f t="shared" si="1"/>
        <v>2.7290999999999999E-3</v>
      </c>
      <c r="J16" s="128"/>
      <c r="K16" s="128">
        <f t="shared" si="2"/>
        <v>0</v>
      </c>
      <c r="L16" s="128">
        <f t="shared" si="2"/>
        <v>0.76</v>
      </c>
      <c r="M16" s="9">
        <f t="shared" si="3"/>
        <v>0.76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10324.26</v>
      </c>
      <c r="S16" s="14">
        <f t="shared" si="7"/>
        <v>12029.34</v>
      </c>
      <c r="T16" s="86">
        <v>7898.9</v>
      </c>
      <c r="U16" s="79">
        <f t="shared" si="8"/>
        <v>2.7290999999999999E-3</v>
      </c>
      <c r="V16" s="203" t="s">
        <v>108</v>
      </c>
      <c r="W16" s="264" t="s">
        <v>108</v>
      </c>
      <c r="X16" s="204">
        <f t="shared" si="22"/>
        <v>18.79</v>
      </c>
      <c r="Y16" s="268">
        <f t="shared" si="22"/>
        <v>15.38</v>
      </c>
      <c r="Z16" s="124">
        <f t="shared" si="9"/>
        <v>34.17</v>
      </c>
      <c r="AA16" s="268">
        <f t="shared" si="10"/>
        <v>0.45</v>
      </c>
      <c r="AB16" s="204">
        <f t="shared" si="10"/>
        <v>0</v>
      </c>
      <c r="AC16" s="268">
        <f t="shared" si="10"/>
        <v>-2.0699999999999998</v>
      </c>
      <c r="AD16" s="204">
        <f t="shared" si="10"/>
        <v>0</v>
      </c>
      <c r="AE16" s="268">
        <f t="shared" si="10"/>
        <v>-0.27</v>
      </c>
      <c r="AF16" s="7">
        <f t="shared" si="11"/>
        <v>32.28</v>
      </c>
      <c r="AG16" s="7">
        <f t="shared" si="12"/>
        <v>-12.02</v>
      </c>
      <c r="AH16" s="7">
        <v>0</v>
      </c>
      <c r="AI16" s="124">
        <f t="shared" si="13"/>
        <v>-12.02</v>
      </c>
      <c r="AJ16" s="14">
        <f t="shared" si="14"/>
        <v>7919.16</v>
      </c>
      <c r="AK16" s="233" t="s">
        <v>118</v>
      </c>
      <c r="AL16" s="236" t="s">
        <v>114</v>
      </c>
      <c r="AM16" s="33">
        <f t="shared" si="15"/>
        <v>18243.419999999998</v>
      </c>
      <c r="AN16" s="33">
        <f t="shared" si="16"/>
        <v>21177.65</v>
      </c>
      <c r="AO16" s="83"/>
      <c r="AP16" s="114">
        <v>9687.4</v>
      </c>
      <c r="AQ16" s="186">
        <v>11530.94</v>
      </c>
      <c r="AR16" s="192">
        <f>G16+'03.31.20'!AR16</f>
        <v>0</v>
      </c>
      <c r="AS16" s="114">
        <f t="shared" si="17"/>
        <v>2934.23</v>
      </c>
      <c r="AT16" s="137">
        <f>K16+'03.31.20'!AT16</f>
        <v>0</v>
      </c>
      <c r="AU16" s="137">
        <f>L16+'03.31.20'!AU16</f>
        <v>219.37</v>
      </c>
      <c r="AV16" s="84">
        <f t="shared" si="18"/>
        <v>219.37</v>
      </c>
      <c r="AW16" s="84">
        <f>N16+'03.31.20'!AW16</f>
        <v>0</v>
      </c>
      <c r="AX16" s="84">
        <f>O16+'03.31.20'!AX16</f>
        <v>0</v>
      </c>
      <c r="AY16" s="84">
        <f>P16+'03.31.20'!AY16</f>
        <v>0</v>
      </c>
      <c r="AZ16" s="84">
        <f t="shared" si="19"/>
        <v>0</v>
      </c>
      <c r="BA16" s="224">
        <v>7331.55</v>
      </c>
      <c r="BB16" s="137">
        <f>Z16+'03.31.20'!BB16</f>
        <v>434.62</v>
      </c>
      <c r="BC16" s="137">
        <f>AA16+'03.31.20'!BC16</f>
        <v>297.14999999999998</v>
      </c>
      <c r="BD16" s="276">
        <f>AB16+'03.31.20'!BD16</f>
        <v>-2.84</v>
      </c>
      <c r="BE16" s="280">
        <f>AC16+'03.31.20'!BE16</f>
        <v>-13.2</v>
      </c>
      <c r="BF16" s="276">
        <f>AD16+'03.31.20'!BF16</f>
        <v>-2.52</v>
      </c>
      <c r="BG16" s="280">
        <f>AE16+'03.31.20'!BG16</f>
        <v>-1.48</v>
      </c>
      <c r="BH16" s="84">
        <f t="shared" si="20"/>
        <v>711.73</v>
      </c>
      <c r="BI16" s="84">
        <f>AG16+'03.31.20'!BI16</f>
        <v>-124.12</v>
      </c>
      <c r="BJ16" s="84">
        <f>AH16+'03.31.20'!BJ16</f>
        <v>0</v>
      </c>
      <c r="BK16" s="116">
        <f t="shared" si="21"/>
        <v>-124.12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899.65</v>
      </c>
      <c r="G17" s="9">
        <v>0</v>
      </c>
      <c r="H17" s="129">
        <f t="shared" si="0"/>
        <v>899.65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7.0000000000000007E-2</v>
      </c>
      <c r="M17" s="9">
        <f t="shared" si="3"/>
        <v>7.0000000000000007E-2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899.72</v>
      </c>
      <c r="S17" s="14">
        <f t="shared" si="7"/>
        <v>1048.31</v>
      </c>
      <c r="T17" s="86">
        <v>699.69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1.64</v>
      </c>
      <c r="Y17" s="268">
        <f t="shared" si="22"/>
        <v>1.34</v>
      </c>
      <c r="Z17" s="124">
        <f t="shared" si="9"/>
        <v>2.98</v>
      </c>
      <c r="AA17" s="268">
        <f t="shared" si="10"/>
        <v>0.04</v>
      </c>
      <c r="AB17" s="204">
        <f t="shared" si="10"/>
        <v>0</v>
      </c>
      <c r="AC17" s="268">
        <f t="shared" si="10"/>
        <v>-0.18</v>
      </c>
      <c r="AD17" s="204">
        <f t="shared" si="10"/>
        <v>0</v>
      </c>
      <c r="AE17" s="268">
        <f t="shared" si="10"/>
        <v>-0.02</v>
      </c>
      <c r="AF17" s="7">
        <f t="shared" si="11"/>
        <v>2.82</v>
      </c>
      <c r="AG17" s="7">
        <f t="shared" si="12"/>
        <v>-1.05</v>
      </c>
      <c r="AH17" s="7">
        <v>0</v>
      </c>
      <c r="AI17" s="124">
        <f t="shared" si="13"/>
        <v>-1.05</v>
      </c>
      <c r="AJ17" s="14">
        <f t="shared" si="14"/>
        <v>701.46</v>
      </c>
      <c r="AK17" s="233" t="s">
        <v>129</v>
      </c>
      <c r="AL17" s="282" t="s">
        <v>128</v>
      </c>
      <c r="AM17" s="33">
        <f t="shared" si="15"/>
        <v>1601.18</v>
      </c>
      <c r="AN17" s="33">
        <f t="shared" si="16"/>
        <v>1858.64</v>
      </c>
      <c r="AO17" s="83"/>
      <c r="AP17" s="114">
        <v>844.21</v>
      </c>
      <c r="AQ17" s="186">
        <v>1004.87</v>
      </c>
      <c r="AR17" s="192">
        <f>G17+'03.31.20'!AR17</f>
        <v>0</v>
      </c>
      <c r="AS17" s="114">
        <f t="shared" si="17"/>
        <v>257.45999999999998</v>
      </c>
      <c r="AT17" s="137">
        <f>K17+'03.31.20'!AT17</f>
        <v>0</v>
      </c>
      <c r="AU17" s="137">
        <f>L17+'03.31.20'!AU17</f>
        <v>19.13</v>
      </c>
      <c r="AV17" s="84">
        <f t="shared" si="18"/>
        <v>19.13</v>
      </c>
      <c r="AW17" s="84">
        <f>N17+'03.31.20'!AW17</f>
        <v>0</v>
      </c>
      <c r="AX17" s="84">
        <f>O17+'03.31.20'!AX17</f>
        <v>0</v>
      </c>
      <c r="AY17" s="84">
        <f>P17+'03.31.20'!AY17</f>
        <v>0</v>
      </c>
      <c r="AZ17" s="84">
        <f t="shared" si="19"/>
        <v>0</v>
      </c>
      <c r="BA17" s="224">
        <v>650.23</v>
      </c>
      <c r="BB17" s="137">
        <f>Z17+'03.31.20'!BB17</f>
        <v>37.89</v>
      </c>
      <c r="BC17" s="137">
        <f>AA17+'03.31.20'!BC17</f>
        <v>25.9</v>
      </c>
      <c r="BD17" s="276">
        <f>AB17+'03.31.20'!BD17</f>
        <v>-0.24</v>
      </c>
      <c r="BE17" s="280">
        <f>AC17+'03.31.20'!BE17</f>
        <v>-1.1499999999999999</v>
      </c>
      <c r="BF17" s="276">
        <f>AD17+'03.31.20'!BF17</f>
        <v>-0.22</v>
      </c>
      <c r="BG17" s="280">
        <f>AE17+'03.31.20'!BG17</f>
        <v>-0.12</v>
      </c>
      <c r="BH17" s="84">
        <f t="shared" si="20"/>
        <v>62.06</v>
      </c>
      <c r="BI17" s="84">
        <f>AG17+'03.31.20'!BI17</f>
        <v>-10.83</v>
      </c>
      <c r="BJ17" s="84">
        <f>AH17+'03.31.20'!BJ17</f>
        <v>0</v>
      </c>
      <c r="BK17" s="116">
        <f t="shared" si="21"/>
        <v>-10.83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28357.98</v>
      </c>
      <c r="G18" s="9">
        <v>0</v>
      </c>
      <c r="H18" s="129">
        <f t="shared" si="0"/>
        <v>28357.98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2.09</v>
      </c>
      <c r="M18" s="9">
        <f t="shared" si="3"/>
        <v>2.09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28360.07</v>
      </c>
      <c r="S18" s="14">
        <f t="shared" si="7"/>
        <v>33043.81</v>
      </c>
      <c r="T18" s="86">
        <v>8803.2999999999993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51.62</v>
      </c>
      <c r="Y18" s="268">
        <f t="shared" si="22"/>
        <v>42.24</v>
      </c>
      <c r="Z18" s="124">
        <f t="shared" si="9"/>
        <v>93.86</v>
      </c>
      <c r="AA18" s="268">
        <f t="shared" si="10"/>
        <v>1.24</v>
      </c>
      <c r="AB18" s="204">
        <f t="shared" si="10"/>
        <v>0</v>
      </c>
      <c r="AC18" s="268">
        <f t="shared" si="10"/>
        <v>-5.68</v>
      </c>
      <c r="AD18" s="204">
        <f t="shared" si="10"/>
        <v>0</v>
      </c>
      <c r="AE18" s="268">
        <f t="shared" si="10"/>
        <v>-0.75</v>
      </c>
      <c r="AF18" s="7">
        <f t="shared" si="11"/>
        <v>88.67</v>
      </c>
      <c r="AG18" s="7">
        <f t="shared" si="12"/>
        <v>-33.03</v>
      </c>
      <c r="AH18" s="7">
        <v>0</v>
      </c>
      <c r="AI18" s="124">
        <f t="shared" si="13"/>
        <v>-33.03</v>
      </c>
      <c r="AJ18" s="14">
        <f t="shared" si="14"/>
        <v>8858.94</v>
      </c>
      <c r="AK18" s="281"/>
      <c r="AL18" s="281"/>
      <c r="AM18" s="33">
        <f t="shared" si="15"/>
        <v>37219.01</v>
      </c>
      <c r="AN18" s="33">
        <f t="shared" si="16"/>
        <v>43277.760000000002</v>
      </c>
      <c r="AO18" s="83"/>
      <c r="AP18" s="114">
        <v>26610.59</v>
      </c>
      <c r="AQ18" s="186">
        <v>31674.66</v>
      </c>
      <c r="AR18" s="192">
        <f>G18+'03.31.20'!AR18</f>
        <v>0</v>
      </c>
      <c r="AS18" s="114">
        <f t="shared" ref="AS18:AS28" si="23">AN18-AM18</f>
        <v>6058.75</v>
      </c>
      <c r="AT18" s="137">
        <f>K18+'03.31.20'!AT18</f>
        <v>0</v>
      </c>
      <c r="AU18" s="137">
        <f>L18+'03.31.20'!AU18</f>
        <v>602.64</v>
      </c>
      <c r="AV18" s="84">
        <f t="shared" ref="AV18:AV28" si="24">AT18+AU18</f>
        <v>602.64</v>
      </c>
      <c r="AW18" s="84">
        <f>N18+'03.31.20'!AW18</f>
        <v>0</v>
      </c>
      <c r="AX18" s="84">
        <f>O18+'03.31.20'!AX18</f>
        <v>0</v>
      </c>
      <c r="AY18" s="84">
        <f>P18+'03.31.20'!AY18</f>
        <v>0</v>
      </c>
      <c r="AZ18" s="84">
        <f t="shared" ref="AZ18:AZ28" si="25">AX18+AY18</f>
        <v>0</v>
      </c>
      <c r="BA18" s="224">
        <v>7244.82</v>
      </c>
      <c r="BB18" s="137">
        <f>Z18+'03.31.20'!BB18</f>
        <v>1193.8699999999999</v>
      </c>
      <c r="BC18" s="137">
        <f>AA18+'03.31.20'!BC18</f>
        <v>816.25</v>
      </c>
      <c r="BD18" s="276">
        <f>AB18+'03.31.20'!BD18</f>
        <v>-7.79</v>
      </c>
      <c r="BE18" s="280">
        <f>AC18+'03.31.20'!BE18</f>
        <v>-36.270000000000003</v>
      </c>
      <c r="BF18" s="276">
        <f>AD18+'03.31.20'!BF18</f>
        <v>-6.91</v>
      </c>
      <c r="BG18" s="280">
        <f>AE18+'03.31.20'!BG18</f>
        <v>-4.08</v>
      </c>
      <c r="BH18" s="84">
        <f t="shared" ref="BH18:BH28" si="26">SUM(BB18:BG18)</f>
        <v>1955.07</v>
      </c>
      <c r="BI18" s="84">
        <f>AG18+'03.31.20'!BI18</f>
        <v>-340.95</v>
      </c>
      <c r="BJ18" s="84">
        <f>AH18+'03.31.20'!BJ18</f>
        <v>0</v>
      </c>
      <c r="BK18" s="116">
        <f t="shared" ref="BK18:BK28" si="27">BI18+BJ18</f>
        <v>-340.95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95786.16</v>
      </c>
      <c r="G19" s="9">
        <v>0</v>
      </c>
      <c r="H19" s="129">
        <f t="shared" si="0"/>
        <v>95786.16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7.07</v>
      </c>
      <c r="M19" s="9">
        <f t="shared" si="3"/>
        <v>7.07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95793.23</v>
      </c>
      <c r="S19" s="14">
        <f t="shared" si="7"/>
        <v>111613.73</v>
      </c>
      <c r="T19" s="86">
        <v>73207.460000000006</v>
      </c>
      <c r="U19" s="79">
        <f t="shared" si="8"/>
        <v>2.5321880000000001E-2</v>
      </c>
      <c r="V19" s="203"/>
      <c r="W19" s="264"/>
      <c r="X19" s="204">
        <f t="shared" si="22"/>
        <v>174.34</v>
      </c>
      <c r="Y19" s="268">
        <f t="shared" si="22"/>
        <v>142.66</v>
      </c>
      <c r="Z19" s="124">
        <f t="shared" si="9"/>
        <v>317</v>
      </c>
      <c r="AA19" s="268">
        <f t="shared" si="10"/>
        <v>4.18</v>
      </c>
      <c r="AB19" s="204">
        <f t="shared" si="10"/>
        <v>0</v>
      </c>
      <c r="AC19" s="268">
        <f t="shared" si="10"/>
        <v>-19.190000000000001</v>
      </c>
      <c r="AD19" s="204">
        <f t="shared" si="10"/>
        <v>0</v>
      </c>
      <c r="AE19" s="268">
        <f t="shared" si="10"/>
        <v>-2.5299999999999998</v>
      </c>
      <c r="AF19" s="7">
        <f t="shared" si="11"/>
        <v>299.45999999999998</v>
      </c>
      <c r="AG19" s="7">
        <f t="shared" si="12"/>
        <v>-111.55</v>
      </c>
      <c r="AH19" s="7">
        <v>0</v>
      </c>
      <c r="AI19" s="124">
        <f t="shared" si="13"/>
        <v>-111.55</v>
      </c>
      <c r="AJ19" s="14">
        <f t="shared" si="14"/>
        <v>73395.37</v>
      </c>
      <c r="AK19" s="233"/>
      <c r="AL19" s="237"/>
      <c r="AM19" s="33">
        <f t="shared" si="15"/>
        <v>169188.6</v>
      </c>
      <c r="AN19" s="33">
        <f t="shared" si="16"/>
        <v>196400.92</v>
      </c>
      <c r="AO19" s="83"/>
      <c r="AP19" s="114">
        <v>89883.9</v>
      </c>
      <c r="AQ19" s="186">
        <v>106989.06</v>
      </c>
      <c r="AR19" s="192">
        <f>G19+'03.31.20'!AR19</f>
        <v>0</v>
      </c>
      <c r="AS19" s="114">
        <f t="shared" si="23"/>
        <v>27212.32</v>
      </c>
      <c r="AT19" s="137">
        <f>K19+'03.31.20'!AT19</f>
        <v>0</v>
      </c>
      <c r="AU19" s="137">
        <f>L19+'03.31.20'!AU19</f>
        <v>2035.6</v>
      </c>
      <c r="AV19" s="84">
        <f t="shared" si="24"/>
        <v>2035.6</v>
      </c>
      <c r="AW19" s="84">
        <f>N19+'03.31.20'!AW19</f>
        <v>0</v>
      </c>
      <c r="AX19" s="84">
        <f>O19+'03.31.20'!AX19</f>
        <v>0</v>
      </c>
      <c r="AY19" s="84">
        <f>P19+'03.31.20'!AY19</f>
        <v>0</v>
      </c>
      <c r="AZ19" s="84">
        <f t="shared" si="25"/>
        <v>0</v>
      </c>
      <c r="BA19" s="224">
        <v>67943.259999999995</v>
      </c>
      <c r="BB19" s="137">
        <f>Z19+'03.31.20'!BB19</f>
        <v>4032.57</v>
      </c>
      <c r="BC19" s="137">
        <f>AA19+'03.31.20'!BC19</f>
        <v>2757.06</v>
      </c>
      <c r="BD19" s="276">
        <f>AB19+'03.31.20'!BD19</f>
        <v>-26.28</v>
      </c>
      <c r="BE19" s="280">
        <f>AC19+'03.31.20'!BE19</f>
        <v>-122.5</v>
      </c>
      <c r="BF19" s="276">
        <f>AD19+'03.31.20'!BF19</f>
        <v>-23.34</v>
      </c>
      <c r="BG19" s="280">
        <f>AE19+'03.31.20'!BG19</f>
        <v>-13.76</v>
      </c>
      <c r="BH19" s="84">
        <f t="shared" si="26"/>
        <v>6603.75</v>
      </c>
      <c r="BI19" s="84">
        <f>AG19+'03.31.20'!BI19</f>
        <v>-1151.6400000000001</v>
      </c>
      <c r="BJ19" s="84">
        <f>AH19+'03.31.20'!BJ19</f>
        <v>0</v>
      </c>
      <c r="BK19" s="116">
        <f t="shared" si="27"/>
        <v>-1151.6400000000001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35449.43</v>
      </c>
      <c r="G20" s="9">
        <v>0</v>
      </c>
      <c r="H20" s="129">
        <f t="shared" si="0"/>
        <v>35449.43</v>
      </c>
      <c r="I20" s="76">
        <f t="shared" si="1"/>
        <v>9.3713600000000005E-3</v>
      </c>
      <c r="J20" s="128"/>
      <c r="K20" s="128">
        <f t="shared" si="2"/>
        <v>0</v>
      </c>
      <c r="L20" s="128">
        <f t="shared" si="2"/>
        <v>2.62</v>
      </c>
      <c r="M20" s="9">
        <f t="shared" si="3"/>
        <v>2.62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35452.050000000003</v>
      </c>
      <c r="S20" s="14">
        <f t="shared" si="7"/>
        <v>41307.050000000003</v>
      </c>
      <c r="T20" s="86">
        <v>20365.37</v>
      </c>
      <c r="U20" s="79">
        <f t="shared" si="8"/>
        <v>9.3713600000000005E-3</v>
      </c>
      <c r="V20" s="315"/>
      <c r="W20" s="315"/>
      <c r="X20" s="204">
        <f t="shared" si="22"/>
        <v>64.52</v>
      </c>
      <c r="Y20" s="268">
        <f t="shared" si="22"/>
        <v>52.8</v>
      </c>
      <c r="Z20" s="124">
        <f t="shared" si="9"/>
        <v>117.32</v>
      </c>
      <c r="AA20" s="268">
        <f t="shared" si="10"/>
        <v>1.55</v>
      </c>
      <c r="AB20" s="204">
        <f t="shared" si="10"/>
        <v>0</v>
      </c>
      <c r="AC20" s="268">
        <f t="shared" si="10"/>
        <v>-7.1</v>
      </c>
      <c r="AD20" s="204">
        <f t="shared" si="10"/>
        <v>0</v>
      </c>
      <c r="AE20" s="268">
        <f t="shared" si="10"/>
        <v>-0.94</v>
      </c>
      <c r="AF20" s="7">
        <f t="shared" si="11"/>
        <v>110.83</v>
      </c>
      <c r="AG20" s="7">
        <f t="shared" si="12"/>
        <v>-41.29</v>
      </c>
      <c r="AH20" s="7">
        <v>0</v>
      </c>
      <c r="AI20" s="124">
        <f t="shared" si="13"/>
        <v>-41.29</v>
      </c>
      <c r="AJ20" s="14">
        <f t="shared" si="14"/>
        <v>20434.91</v>
      </c>
      <c r="AK20" s="283"/>
      <c r="AL20" s="284"/>
      <c r="AM20" s="33">
        <f t="shared" si="15"/>
        <v>55886.96</v>
      </c>
      <c r="AN20" s="33">
        <f t="shared" si="16"/>
        <v>64913.7</v>
      </c>
      <c r="AO20" s="83"/>
      <c r="AP20" s="114">
        <v>33265.06</v>
      </c>
      <c r="AQ20" s="186">
        <v>39595.49</v>
      </c>
      <c r="AR20" s="192">
        <f>G20+'03.31.20'!AR20</f>
        <v>0</v>
      </c>
      <c r="AS20" s="114">
        <f t="shared" si="23"/>
        <v>9026.74</v>
      </c>
      <c r="AT20" s="137">
        <f>K20+'03.31.20'!AT20</f>
        <v>0</v>
      </c>
      <c r="AU20" s="137">
        <f>L20+'03.31.20'!AU20</f>
        <v>753.37</v>
      </c>
      <c r="AV20" s="84">
        <f t="shared" si="24"/>
        <v>753.37</v>
      </c>
      <c r="AW20" s="84">
        <f>N20+'03.31.20'!AW20</f>
        <v>0</v>
      </c>
      <c r="AX20" s="84">
        <f>O20+'03.31.20'!AX20</f>
        <v>0</v>
      </c>
      <c r="AY20" s="84">
        <f>P20+'03.31.20'!AY20</f>
        <v>0</v>
      </c>
      <c r="AZ20" s="84">
        <f t="shared" si="25"/>
        <v>0</v>
      </c>
      <c r="BA20" s="224">
        <v>18417.12</v>
      </c>
      <c r="BB20" s="137">
        <f>Z20+'03.31.20'!BB20</f>
        <v>1492.41</v>
      </c>
      <c r="BC20" s="137">
        <f>AA20+'03.31.20'!BC20</f>
        <v>1020.37</v>
      </c>
      <c r="BD20" s="276">
        <f>AB20+'03.31.20'!BD20</f>
        <v>-9.7200000000000006</v>
      </c>
      <c r="BE20" s="280">
        <f>AC20+'03.31.20'!BE20</f>
        <v>-45.33</v>
      </c>
      <c r="BF20" s="276">
        <f>AD20+'03.31.20'!BF20</f>
        <v>-8.64</v>
      </c>
      <c r="BG20" s="280">
        <f>AE20+'03.31.20'!BG20</f>
        <v>-5.09</v>
      </c>
      <c r="BH20" s="84">
        <f t="shared" si="26"/>
        <v>2444</v>
      </c>
      <c r="BI20" s="84">
        <f>AG20+'03.31.20'!BI20</f>
        <v>-426.21</v>
      </c>
      <c r="BJ20" s="84">
        <f>AH20+'03.31.20'!BJ20</f>
        <v>0</v>
      </c>
      <c r="BK20" s="116">
        <f t="shared" si="27"/>
        <v>-426.21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546556.03</v>
      </c>
      <c r="G21" s="9">
        <v>0</v>
      </c>
      <c r="H21" s="129">
        <f t="shared" si="0"/>
        <v>546556.03</v>
      </c>
      <c r="I21" s="76">
        <f t="shared" si="1"/>
        <v>0.14448669</v>
      </c>
      <c r="J21" s="128"/>
      <c r="K21" s="128">
        <f t="shared" si="2"/>
        <v>0</v>
      </c>
      <c r="L21" s="128">
        <f t="shared" si="2"/>
        <v>40.340000000000003</v>
      </c>
      <c r="M21" s="9">
        <f t="shared" si="3"/>
        <v>40.340000000000003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546596.37</v>
      </c>
      <c r="S21" s="14">
        <f t="shared" si="7"/>
        <v>636868.15</v>
      </c>
      <c r="T21" s="86">
        <v>517745.88</v>
      </c>
      <c r="U21" s="79">
        <f t="shared" si="8"/>
        <v>0.14448669</v>
      </c>
      <c r="V21" s="203"/>
      <c r="W21" s="264"/>
      <c r="X21" s="204">
        <f t="shared" si="22"/>
        <v>994.81</v>
      </c>
      <c r="Y21" s="268">
        <f t="shared" si="22"/>
        <v>814.01</v>
      </c>
      <c r="Z21" s="124">
        <f t="shared" si="9"/>
        <v>1808.82</v>
      </c>
      <c r="AA21" s="268">
        <f t="shared" si="10"/>
        <v>23.84</v>
      </c>
      <c r="AB21" s="204">
        <f t="shared" si="10"/>
        <v>0</v>
      </c>
      <c r="AC21" s="268">
        <f t="shared" si="10"/>
        <v>-109.49</v>
      </c>
      <c r="AD21" s="204">
        <f t="shared" si="10"/>
        <v>0</v>
      </c>
      <c r="AE21" s="268">
        <f t="shared" si="10"/>
        <v>-14.43</v>
      </c>
      <c r="AF21" s="7">
        <f t="shared" si="11"/>
        <v>1708.74</v>
      </c>
      <c r="AG21" s="7">
        <f t="shared" si="12"/>
        <v>-636.53</v>
      </c>
      <c r="AH21" s="7">
        <v>0</v>
      </c>
      <c r="AI21" s="124">
        <f t="shared" si="13"/>
        <v>-636.53</v>
      </c>
      <c r="AJ21" s="14">
        <f t="shared" si="14"/>
        <v>518818.09</v>
      </c>
      <c r="AK21" s="285"/>
      <c r="AL21" s="236"/>
      <c r="AM21" s="33">
        <f t="shared" si="15"/>
        <v>1065414.46</v>
      </c>
      <c r="AN21" s="33">
        <f t="shared" si="16"/>
        <v>1236212.8600000001</v>
      </c>
      <c r="AO21" s="83"/>
      <c r="AP21" s="114">
        <v>512877.8</v>
      </c>
      <c r="AQ21" s="186">
        <v>610479.87</v>
      </c>
      <c r="AR21" s="192">
        <f>G21+'03.31.20'!AR21</f>
        <v>0</v>
      </c>
      <c r="AS21" s="114">
        <f t="shared" si="23"/>
        <v>170798.4</v>
      </c>
      <c r="AT21" s="137">
        <f>K21+'03.31.20'!AT21</f>
        <v>0</v>
      </c>
      <c r="AU21" s="137">
        <f>L21+'03.31.20'!AU21</f>
        <v>11615.13</v>
      </c>
      <c r="AV21" s="84">
        <f t="shared" si="24"/>
        <v>11615.13</v>
      </c>
      <c r="AW21" s="84">
        <f>N21+'03.31.20'!AW21</f>
        <v>0</v>
      </c>
      <c r="AX21" s="84">
        <f>O21+'03.31.20'!AX21</f>
        <v>0</v>
      </c>
      <c r="AY21" s="84">
        <f>P21+'03.31.20'!AY21</f>
        <v>0</v>
      </c>
      <c r="AZ21" s="84">
        <f t="shared" si="25"/>
        <v>0</v>
      </c>
      <c r="BA21" s="224">
        <v>492992.17</v>
      </c>
      <c r="BB21" s="137">
        <f>Z21+'03.31.20'!BB21</f>
        <v>23009.88</v>
      </c>
      <c r="BC21" s="137">
        <f>AA21+'03.31.20'!BC21</f>
        <v>15731.75</v>
      </c>
      <c r="BD21" s="276">
        <f>AB21+'03.31.20'!BD21</f>
        <v>-149.97</v>
      </c>
      <c r="BE21" s="280">
        <f>AC21+'03.31.20'!BE21</f>
        <v>-698.94</v>
      </c>
      <c r="BF21" s="276">
        <f>AD21+'03.31.20'!BF21</f>
        <v>-133.22</v>
      </c>
      <c r="BG21" s="280">
        <f>AE21+'03.31.20'!BG21</f>
        <v>-78.430000000000007</v>
      </c>
      <c r="BH21" s="84">
        <f t="shared" si="26"/>
        <v>37681.07</v>
      </c>
      <c r="BI21" s="84">
        <f>AG21+'03.31.20'!BI21</f>
        <v>-6571.27</v>
      </c>
      <c r="BJ21" s="84">
        <f>AH21+'03.31.20'!BJ21</f>
        <v>-5283.88</v>
      </c>
      <c r="BK21" s="116">
        <f t="shared" si="27"/>
        <v>-11855.15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559395.1</v>
      </c>
      <c r="G22" s="9">
        <v>0</v>
      </c>
      <c r="H22" s="129">
        <f t="shared" si="0"/>
        <v>559395.1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41.29</v>
      </c>
      <c r="M22" s="9">
        <f t="shared" si="3"/>
        <v>41.29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559436.39</v>
      </c>
      <c r="S22" s="14">
        <f t="shared" si="7"/>
        <v>651828.73</v>
      </c>
      <c r="T22" s="86">
        <v>452032.02</v>
      </c>
      <c r="U22" s="79">
        <f t="shared" si="8"/>
        <v>0.14788081</v>
      </c>
      <c r="V22" s="316"/>
      <c r="W22" s="317"/>
      <c r="X22" s="204">
        <f t="shared" si="22"/>
        <v>1018.18</v>
      </c>
      <c r="Y22" s="268">
        <f t="shared" si="22"/>
        <v>833.14</v>
      </c>
      <c r="Z22" s="124">
        <f t="shared" si="9"/>
        <v>1851.32</v>
      </c>
      <c r="AA22" s="268">
        <f t="shared" si="10"/>
        <v>24.4</v>
      </c>
      <c r="AB22" s="204">
        <f t="shared" si="10"/>
        <v>0</v>
      </c>
      <c r="AC22" s="268">
        <f t="shared" si="10"/>
        <v>-112.07</v>
      </c>
      <c r="AD22" s="204">
        <f t="shared" si="10"/>
        <v>0</v>
      </c>
      <c r="AE22" s="268">
        <f t="shared" si="10"/>
        <v>-14.77</v>
      </c>
      <c r="AF22" s="7">
        <f t="shared" si="11"/>
        <v>1748.88</v>
      </c>
      <c r="AG22" s="7">
        <f t="shared" si="12"/>
        <v>-651.48</v>
      </c>
      <c r="AH22" s="7">
        <v>0</v>
      </c>
      <c r="AI22" s="124">
        <f t="shared" si="13"/>
        <v>-651.48</v>
      </c>
      <c r="AJ22" s="14">
        <f t="shared" si="14"/>
        <v>453129.42</v>
      </c>
      <c r="AK22" s="283"/>
      <c r="AL22" s="284"/>
      <c r="AM22" s="33">
        <f t="shared" si="15"/>
        <v>1012565.81</v>
      </c>
      <c r="AN22" s="33">
        <f t="shared" si="16"/>
        <v>1175289.1200000001</v>
      </c>
      <c r="AO22" s="83"/>
      <c r="AP22" s="114">
        <v>524925.73</v>
      </c>
      <c r="AQ22" s="186">
        <v>624820.56000000006</v>
      </c>
      <c r="AR22" s="192">
        <f>G22+'03.31.20'!AR22</f>
        <v>0</v>
      </c>
      <c r="AS22" s="114">
        <f t="shared" si="23"/>
        <v>162723.31</v>
      </c>
      <c r="AT22" s="137">
        <f>K22+'03.31.20'!AT22</f>
        <v>0</v>
      </c>
      <c r="AU22" s="137">
        <f>L22+'03.31.20'!AU22</f>
        <v>11887.98</v>
      </c>
      <c r="AV22" s="84">
        <f t="shared" si="24"/>
        <v>11887.98</v>
      </c>
      <c r="AW22" s="84">
        <f>N22+'03.31.20'!AW22</f>
        <v>0</v>
      </c>
      <c r="AX22" s="84">
        <f>O22+'03.31.20'!AX22</f>
        <v>0</v>
      </c>
      <c r="AY22" s="84">
        <f>P22+'03.31.20'!AY22</f>
        <v>0</v>
      </c>
      <c r="AZ22" s="84">
        <f t="shared" si="25"/>
        <v>0</v>
      </c>
      <c r="BA22" s="224">
        <v>421288.81</v>
      </c>
      <c r="BB22" s="137">
        <f>Z22+'03.31.20'!BB22</f>
        <v>23550.400000000001</v>
      </c>
      <c r="BC22" s="137">
        <f>AA22+'03.31.20'!BC22</f>
        <v>16101.31</v>
      </c>
      <c r="BD22" s="276">
        <f>AB22+'03.31.20'!BD22</f>
        <v>-153.49</v>
      </c>
      <c r="BE22" s="280">
        <f>AC22+'03.31.20'!BE22</f>
        <v>-715.35</v>
      </c>
      <c r="BF22" s="276">
        <f>AD22+'03.31.20'!BF22</f>
        <v>-136.35</v>
      </c>
      <c r="BG22" s="280">
        <f>AE22+'03.31.20'!BG22</f>
        <v>-80.28</v>
      </c>
      <c r="BH22" s="84">
        <f t="shared" si="26"/>
        <v>38566.239999999998</v>
      </c>
      <c r="BI22" s="84">
        <f>AG22+'03.31.20'!BI22</f>
        <v>-6725.63</v>
      </c>
      <c r="BJ22" s="84">
        <f>AH22+'03.31.20'!BJ22</f>
        <v>0</v>
      </c>
      <c r="BK22" s="116">
        <f t="shared" si="27"/>
        <v>-6725.63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2893.26</v>
      </c>
      <c r="G23" s="9">
        <v>0</v>
      </c>
      <c r="H23" s="129">
        <f t="shared" si="0"/>
        <v>2893.26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0.21</v>
      </c>
      <c r="M23" s="9">
        <f t="shared" si="3"/>
        <v>0.21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2893.47</v>
      </c>
      <c r="S23" s="14">
        <f t="shared" si="7"/>
        <v>3371.33</v>
      </c>
      <c r="T23" s="86">
        <v>2170.17</v>
      </c>
      <c r="U23" s="79">
        <f t="shared" si="8"/>
        <v>7.6486000000000002E-4</v>
      </c>
      <c r="V23" s="203"/>
      <c r="W23" s="264"/>
      <c r="X23" s="204">
        <f t="shared" si="22"/>
        <v>5.27</v>
      </c>
      <c r="Y23" s="268">
        <f t="shared" si="22"/>
        <v>4.3099999999999996</v>
      </c>
      <c r="Z23" s="124">
        <f t="shared" si="9"/>
        <v>9.58</v>
      </c>
      <c r="AA23" s="268">
        <f t="shared" si="10"/>
        <v>0.13</v>
      </c>
      <c r="AB23" s="204">
        <f t="shared" si="10"/>
        <v>0</v>
      </c>
      <c r="AC23" s="268">
        <f t="shared" si="10"/>
        <v>-0.57999999999999996</v>
      </c>
      <c r="AD23" s="204">
        <f t="shared" si="10"/>
        <v>0</v>
      </c>
      <c r="AE23" s="268">
        <f t="shared" si="10"/>
        <v>-0.08</v>
      </c>
      <c r="AF23" s="7">
        <f t="shared" si="11"/>
        <v>9.0500000000000007</v>
      </c>
      <c r="AG23" s="7">
        <f t="shared" si="12"/>
        <v>-3.37</v>
      </c>
      <c r="AH23" s="7">
        <v>0</v>
      </c>
      <c r="AI23" s="124">
        <f t="shared" si="13"/>
        <v>-3.37</v>
      </c>
      <c r="AJ23" s="14">
        <f t="shared" si="14"/>
        <v>2175.85</v>
      </c>
      <c r="AK23" s="285"/>
      <c r="AL23" s="236"/>
      <c r="AM23" s="33">
        <f t="shared" si="15"/>
        <v>5069.32</v>
      </c>
      <c r="AN23" s="33">
        <f t="shared" si="16"/>
        <v>5884.9</v>
      </c>
      <c r="AO23" s="83"/>
      <c r="AP23" s="114">
        <v>2714.97</v>
      </c>
      <c r="AQ23" s="186">
        <v>3231.64</v>
      </c>
      <c r="AR23" s="192">
        <f>G23+'03.31.20'!AR23</f>
        <v>0</v>
      </c>
      <c r="AS23" s="114">
        <f t="shared" si="23"/>
        <v>815.58</v>
      </c>
      <c r="AT23" s="137">
        <f>K23+'03.31.20'!AT23</f>
        <v>0</v>
      </c>
      <c r="AU23" s="137">
        <f>L23+'03.31.20'!AU23</f>
        <v>61.48</v>
      </c>
      <c r="AV23" s="84">
        <f t="shared" si="24"/>
        <v>61.48</v>
      </c>
      <c r="AW23" s="84">
        <f>N23+'03.31.20'!AW23</f>
        <v>0</v>
      </c>
      <c r="AX23" s="84">
        <f>O23+'03.31.20'!AX23</f>
        <v>0</v>
      </c>
      <c r="AY23" s="84">
        <f>P23+'03.31.20'!AY23</f>
        <v>0</v>
      </c>
      <c r="AZ23" s="84">
        <f t="shared" si="25"/>
        <v>0</v>
      </c>
      <c r="BA23" s="224">
        <v>2011.18</v>
      </c>
      <c r="BB23" s="137">
        <f>Z23+'03.31.20'!BB23</f>
        <v>121.8</v>
      </c>
      <c r="BC23" s="137">
        <f>AA23+'03.31.20'!BC23</f>
        <v>83.29</v>
      </c>
      <c r="BD23" s="276">
        <f>AB23+'03.31.20'!BD23</f>
        <v>-0.8</v>
      </c>
      <c r="BE23" s="280">
        <f>AC23+'03.31.20'!BE23</f>
        <v>-3.7</v>
      </c>
      <c r="BF23" s="276">
        <f>AD23+'03.31.20'!BF23</f>
        <v>-0.71</v>
      </c>
      <c r="BG23" s="280">
        <f>AE23+'03.31.20'!BG23</f>
        <v>-0.42</v>
      </c>
      <c r="BH23" s="84">
        <f t="shared" si="26"/>
        <v>199.46</v>
      </c>
      <c r="BI23" s="84">
        <f>AG23+'03.31.20'!BI23</f>
        <v>-34.79</v>
      </c>
      <c r="BJ23" s="84">
        <f>AH23+'03.31.20'!BJ23</f>
        <v>0</v>
      </c>
      <c r="BK23" s="116">
        <f t="shared" si="27"/>
        <v>-34.79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1518462.69</v>
      </c>
      <c r="G24" s="9">
        <v>0</v>
      </c>
      <c r="H24" s="129">
        <f t="shared" si="0"/>
        <v>1518462.69</v>
      </c>
      <c r="I24" s="76">
        <f>H24/(H$31-1575)+0.00000001</f>
        <v>0.40141842</v>
      </c>
      <c r="J24" s="128"/>
      <c r="K24" s="128">
        <f>$I24*K$31</f>
        <v>0</v>
      </c>
      <c r="L24" s="318">
        <f>($I24*L$31)</f>
        <v>112.08</v>
      </c>
      <c r="M24" s="9">
        <f t="shared" si="3"/>
        <v>112.08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1518574.77</v>
      </c>
      <c r="S24" s="14">
        <f>(R24/(R$31-1575)*(S$31-1575))-0.02</f>
        <v>1769371.23</v>
      </c>
      <c r="T24" s="86">
        <v>781392.41</v>
      </c>
      <c r="U24" s="79">
        <f t="shared" si="8"/>
        <v>0.40141842</v>
      </c>
      <c r="V24" s="203"/>
      <c r="W24" s="264"/>
      <c r="X24" s="320">
        <f>($U24*X$31)</f>
        <v>2763.81</v>
      </c>
      <c r="Y24" s="321">
        <f>($U24*Y$31)-0.01</f>
        <v>2261.52</v>
      </c>
      <c r="Z24" s="319">
        <f t="shared" si="9"/>
        <v>5025.33</v>
      </c>
      <c r="AA24" s="321">
        <f>($U24*AA$31)-0.02</f>
        <v>66.209999999999994</v>
      </c>
      <c r="AB24" s="320">
        <f>($U24*AB$31)</f>
        <v>0</v>
      </c>
      <c r="AC24" s="321">
        <f>($U24*AC$31)+0.01</f>
        <v>-304.19</v>
      </c>
      <c r="AD24" s="320">
        <f>($U24*AD$31)</f>
        <v>0</v>
      </c>
      <c r="AE24" s="321">
        <f>($U24*AE$31)</f>
        <v>-40.1</v>
      </c>
      <c r="AF24" s="7">
        <f t="shared" si="11"/>
        <v>4747.25</v>
      </c>
      <c r="AG24" s="7">
        <f>(U24*AG$31)</f>
        <v>-1768.43</v>
      </c>
      <c r="AH24" s="7">
        <v>0</v>
      </c>
      <c r="AI24" s="319">
        <f t="shared" si="13"/>
        <v>-1768.43</v>
      </c>
      <c r="AJ24" s="14">
        <f t="shared" si="14"/>
        <v>784371.23</v>
      </c>
      <c r="AK24" s="285"/>
      <c r="AL24" s="236"/>
      <c r="AM24" s="33">
        <f t="shared" si="15"/>
        <v>2302946</v>
      </c>
      <c r="AN24" s="33">
        <f>((S24+AJ24)+((AJ24/AJ$31)*AO$49))-0.01</f>
        <v>2675486.0099999998</v>
      </c>
      <c r="AO24" s="83"/>
      <c r="AP24" s="114">
        <v>1424896.51</v>
      </c>
      <c r="AQ24" s="186">
        <v>1696058.26</v>
      </c>
      <c r="AR24" s="192">
        <f>G24+'03.31.20'!AR24</f>
        <v>0</v>
      </c>
      <c r="AS24" s="114">
        <f t="shared" si="23"/>
        <v>372540.01</v>
      </c>
      <c r="AT24" s="137">
        <f>K24+'03.31.20'!AT24</f>
        <v>0</v>
      </c>
      <c r="AU24" s="137">
        <f>L24+'03.31.20'!AU24</f>
        <v>32269.63</v>
      </c>
      <c r="AV24" s="84">
        <f t="shared" si="24"/>
        <v>32269.63</v>
      </c>
      <c r="AW24" s="84">
        <f>N24+'03.31.20'!AW24</f>
        <v>0</v>
      </c>
      <c r="AX24" s="84">
        <f>O24+'03.31.20'!AX24</f>
        <v>0</v>
      </c>
      <c r="AY24" s="84">
        <f>P24+'03.31.20'!AY24</f>
        <v>0</v>
      </c>
      <c r="AZ24" s="84">
        <f t="shared" si="25"/>
        <v>0</v>
      </c>
      <c r="BA24" s="224">
        <v>698290.76</v>
      </c>
      <c r="BB24" s="137">
        <f>Z24+'03.31.20'!BB24</f>
        <v>63926.91</v>
      </c>
      <c r="BC24" s="137">
        <f>AA24+'03.31.20'!BC24</f>
        <v>43706.5</v>
      </c>
      <c r="BD24" s="276">
        <f>AB24+'03.31.20'!BD24</f>
        <v>-416.67</v>
      </c>
      <c r="BE24" s="280">
        <f>AC24+'03.31.20'!BE24</f>
        <v>-1941.8</v>
      </c>
      <c r="BF24" s="276">
        <f>AD24+'03.31.20'!BF24</f>
        <v>-370.12</v>
      </c>
      <c r="BG24" s="280">
        <f>AE24+'03.31.20'!BG24</f>
        <v>-217.86</v>
      </c>
      <c r="BH24" s="84">
        <f t="shared" si="26"/>
        <v>104686.96</v>
      </c>
      <c r="BI24" s="84">
        <f>AG24+'03.31.20'!BI24</f>
        <v>-18256.490000000002</v>
      </c>
      <c r="BJ24" s="84">
        <f>AH24+'03.31.20'!BJ24</f>
        <v>-350</v>
      </c>
      <c r="BK24" s="116">
        <f t="shared" si="27"/>
        <v>-18606.490000000002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330709.03000000003</v>
      </c>
      <c r="G25" s="9">
        <v>0</v>
      </c>
      <c r="H25" s="129">
        <f t="shared" si="0"/>
        <v>330709.03000000003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24.41</v>
      </c>
      <c r="M25" s="9">
        <f t="shared" si="3"/>
        <v>24.41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330733.44</v>
      </c>
      <c r="S25" s="14">
        <f>(R25/(R$31-1575)*(S$31-1575))</f>
        <v>385354.91</v>
      </c>
      <c r="T25" s="86">
        <v>201897.82</v>
      </c>
      <c r="U25" s="79">
        <f t="shared" si="8"/>
        <v>8.7425719999999998E-2</v>
      </c>
      <c r="V25" s="203"/>
      <c r="W25" s="264"/>
      <c r="X25" s="204">
        <f t="shared" ref="X25:Y28" si="28">$U25*X$31</f>
        <v>601.94000000000005</v>
      </c>
      <c r="Y25" s="268">
        <f t="shared" si="28"/>
        <v>492.54</v>
      </c>
      <c r="Z25" s="124">
        <f t="shared" si="9"/>
        <v>1094.48</v>
      </c>
      <c r="AA25" s="268">
        <f t="shared" ref="AA25:AE28" si="29">$U25*AA$31</f>
        <v>14.42</v>
      </c>
      <c r="AB25" s="204">
        <f t="shared" si="29"/>
        <v>0</v>
      </c>
      <c r="AC25" s="268">
        <f t="shared" si="29"/>
        <v>-66.25</v>
      </c>
      <c r="AD25" s="204">
        <f t="shared" si="29"/>
        <v>0</v>
      </c>
      <c r="AE25" s="268">
        <f t="shared" si="29"/>
        <v>-8.73</v>
      </c>
      <c r="AF25" s="7">
        <f t="shared" si="11"/>
        <v>1033.92</v>
      </c>
      <c r="AG25" s="7">
        <f>U25*AG$31</f>
        <v>-385.15</v>
      </c>
      <c r="AH25" s="7">
        <v>0</v>
      </c>
      <c r="AI25" s="124">
        <f t="shared" si="13"/>
        <v>-385.15</v>
      </c>
      <c r="AJ25" s="14">
        <f t="shared" si="14"/>
        <v>202546.59</v>
      </c>
      <c r="AK25" s="285"/>
      <c r="AL25" s="236"/>
      <c r="AM25" s="33">
        <f t="shared" si="15"/>
        <v>533280.03</v>
      </c>
      <c r="AN25" s="33">
        <f>(S25+AJ25)+((AJ25/AJ$31)*AO$49)</f>
        <v>619339.09</v>
      </c>
      <c r="AO25" s="83"/>
      <c r="AP25" s="114">
        <v>310331.06</v>
      </c>
      <c r="AQ25" s="186">
        <v>369387.93</v>
      </c>
      <c r="AR25" s="192">
        <f>G25+'03.31.20'!AR25</f>
        <v>0</v>
      </c>
      <c r="AS25" s="114">
        <f t="shared" si="23"/>
        <v>86059.06</v>
      </c>
      <c r="AT25" s="137">
        <f>K25+'03.31.20'!AT25</f>
        <v>0</v>
      </c>
      <c r="AU25" s="137">
        <f>L25+'03.31.20'!AU25</f>
        <v>7028.06</v>
      </c>
      <c r="AV25" s="84">
        <f t="shared" si="24"/>
        <v>7028.06</v>
      </c>
      <c r="AW25" s="84">
        <f>N25+'03.31.20'!AW25</f>
        <v>0</v>
      </c>
      <c r="AX25" s="84">
        <f>O25+'03.31.20'!AX25</f>
        <v>0</v>
      </c>
      <c r="AY25" s="84">
        <f>P25+'03.31.20'!AY25</f>
        <v>0</v>
      </c>
      <c r="AZ25" s="84">
        <f t="shared" si="25"/>
        <v>0</v>
      </c>
      <c r="BA25" s="224">
        <v>183722.72</v>
      </c>
      <c r="BB25" s="137">
        <f>Z25+'03.31.20'!BB25</f>
        <v>13922.76</v>
      </c>
      <c r="BC25" s="137">
        <f>AA25+'03.31.20'!BC25</f>
        <v>9518.9500000000007</v>
      </c>
      <c r="BD25" s="276">
        <f>AB25+'03.31.20'!BD25</f>
        <v>-90.74</v>
      </c>
      <c r="BE25" s="280">
        <f>AC25+'03.31.20'!BE25</f>
        <v>-422.91</v>
      </c>
      <c r="BF25" s="276">
        <f>AD25+'03.31.20'!BF25</f>
        <v>-80.599999999999994</v>
      </c>
      <c r="BG25" s="280">
        <f>AE25+'03.31.20'!BG25</f>
        <v>-47.47</v>
      </c>
      <c r="BH25" s="84">
        <f t="shared" si="26"/>
        <v>22799.99</v>
      </c>
      <c r="BI25" s="84">
        <f>AG25+'03.31.20'!BI25</f>
        <v>-3976.12</v>
      </c>
      <c r="BJ25" s="84">
        <f>AH25+'03.31.20'!BJ25</f>
        <v>0</v>
      </c>
      <c r="BK25" s="116">
        <f t="shared" si="27"/>
        <v>-3976.12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13856.09</v>
      </c>
      <c r="G26" s="9">
        <v>0</v>
      </c>
      <c r="H26" s="129">
        <f t="shared" si="0"/>
        <v>13856.09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1.02</v>
      </c>
      <c r="M26" s="9">
        <f t="shared" si="3"/>
        <v>1.02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13857.11</v>
      </c>
      <c r="S26" s="14">
        <f>(R26/(R$31-1575)*(S$31-1575))</f>
        <v>16145.65</v>
      </c>
      <c r="T26" s="86">
        <v>10195.9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25.22</v>
      </c>
      <c r="Y26" s="268">
        <f t="shared" si="28"/>
        <v>20.64</v>
      </c>
      <c r="Z26" s="124">
        <f t="shared" si="9"/>
        <v>45.86</v>
      </c>
      <c r="AA26" s="268">
        <f t="shared" si="29"/>
        <v>0.6</v>
      </c>
      <c r="AB26" s="204">
        <f t="shared" si="29"/>
        <v>0</v>
      </c>
      <c r="AC26" s="268">
        <f t="shared" si="29"/>
        <v>-2.78</v>
      </c>
      <c r="AD26" s="204">
        <f t="shared" si="29"/>
        <v>0</v>
      </c>
      <c r="AE26" s="268">
        <f t="shared" si="29"/>
        <v>-0.37</v>
      </c>
      <c r="AF26" s="7">
        <f t="shared" si="11"/>
        <v>43.31</v>
      </c>
      <c r="AG26" s="7">
        <f>U26*AG$31</f>
        <v>-16.14</v>
      </c>
      <c r="AH26" s="7">
        <v>0</v>
      </c>
      <c r="AI26" s="124">
        <f t="shared" si="13"/>
        <v>-16.14</v>
      </c>
      <c r="AJ26" s="14">
        <f t="shared" si="14"/>
        <v>10223.07</v>
      </c>
      <c r="AK26" s="233"/>
      <c r="AL26" s="284"/>
      <c r="AM26" s="33">
        <f t="shared" si="15"/>
        <v>24080.18</v>
      </c>
      <c r="AN26" s="33">
        <f>(S26+AJ26)+((AJ26/AJ$31)*AO$49)</f>
        <v>27955.46</v>
      </c>
      <c r="AO26" s="83"/>
      <c r="AP26" s="114">
        <v>13002.29</v>
      </c>
      <c r="AQ26" s="186">
        <v>15476.66</v>
      </c>
      <c r="AR26" s="192">
        <f>G26+'03.31.20'!AR26</f>
        <v>0</v>
      </c>
      <c r="AS26" s="114">
        <f t="shared" si="23"/>
        <v>3875.28</v>
      </c>
      <c r="AT26" s="137">
        <f>K26+'03.31.20'!AT26</f>
        <v>0</v>
      </c>
      <c r="AU26" s="137">
        <f>L26+'03.31.20'!AU26</f>
        <v>294.47000000000003</v>
      </c>
      <c r="AV26" s="84">
        <f t="shared" si="24"/>
        <v>294.47000000000003</v>
      </c>
      <c r="AW26" s="84">
        <f>N26+'03.31.20'!AW26</f>
        <v>0</v>
      </c>
      <c r="AX26" s="84">
        <f>O26+'03.31.20'!AX26</f>
        <v>0</v>
      </c>
      <c r="AY26" s="84">
        <f>P26+'03.31.20'!AY26</f>
        <v>0</v>
      </c>
      <c r="AZ26" s="84">
        <f t="shared" si="25"/>
        <v>0</v>
      </c>
      <c r="BA26" s="224">
        <v>9815.51</v>
      </c>
      <c r="BB26" s="137">
        <f>Z26+'03.31.20'!BB26</f>
        <v>583.32000000000005</v>
      </c>
      <c r="BC26" s="137">
        <f>AA26+'03.31.20'!BC26</f>
        <v>398.84</v>
      </c>
      <c r="BD26" s="276">
        <f>AB26+'03.31.20'!BD26</f>
        <v>-3.81</v>
      </c>
      <c r="BE26" s="280">
        <f>AC26+'03.31.20'!BE26</f>
        <v>-17.72</v>
      </c>
      <c r="BF26" s="276">
        <f>AD26+'03.31.20'!BF26</f>
        <v>-3.38</v>
      </c>
      <c r="BG26" s="280">
        <f>AE26+'03.31.20'!BG26</f>
        <v>-1.99</v>
      </c>
      <c r="BH26" s="84">
        <f t="shared" si="26"/>
        <v>955.26</v>
      </c>
      <c r="BI26" s="84">
        <f>AG26+'03.31.20'!BI26</f>
        <v>-166.59</v>
      </c>
      <c r="BJ26" s="84">
        <f>AH26+'03.31.20'!BJ26</f>
        <v>-381.11</v>
      </c>
      <c r="BK26" s="116">
        <f t="shared" si="27"/>
        <v>-547.70000000000005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13670.15</v>
      </c>
      <c r="G27" s="9">
        <v>0</v>
      </c>
      <c r="H27" s="129">
        <f t="shared" si="0"/>
        <v>13670.15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1.01</v>
      </c>
      <c r="M27" s="9">
        <f t="shared" si="3"/>
        <v>1.01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13671.16</v>
      </c>
      <c r="S27" s="14">
        <f>(R27/(R$31-1575)*(S$31-1575))</f>
        <v>15928.99</v>
      </c>
      <c r="T27" s="86">
        <v>7531.67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24.88</v>
      </c>
      <c r="Y27" s="268">
        <f t="shared" si="28"/>
        <v>20.36</v>
      </c>
      <c r="Z27" s="124">
        <f t="shared" si="9"/>
        <v>45.24</v>
      </c>
      <c r="AA27" s="268">
        <f t="shared" si="29"/>
        <v>0.6</v>
      </c>
      <c r="AB27" s="204">
        <f t="shared" si="29"/>
        <v>0</v>
      </c>
      <c r="AC27" s="268">
        <f t="shared" si="29"/>
        <v>-2.74</v>
      </c>
      <c r="AD27" s="204">
        <f t="shared" si="29"/>
        <v>0</v>
      </c>
      <c r="AE27" s="268">
        <f t="shared" si="29"/>
        <v>-0.36</v>
      </c>
      <c r="AF27" s="7">
        <f t="shared" si="11"/>
        <v>42.74</v>
      </c>
      <c r="AG27" s="7">
        <f>U27*AG$31</f>
        <v>-15.92</v>
      </c>
      <c r="AH27" s="7">
        <v>0</v>
      </c>
      <c r="AI27" s="124">
        <f t="shared" si="13"/>
        <v>-15.92</v>
      </c>
      <c r="AJ27" s="14">
        <f t="shared" si="14"/>
        <v>7558.49</v>
      </c>
      <c r="AK27" s="233" t="s">
        <v>120</v>
      </c>
      <c r="AL27" s="236" t="s">
        <v>115</v>
      </c>
      <c r="AM27" s="33">
        <f t="shared" si="15"/>
        <v>21229.65</v>
      </c>
      <c r="AN27" s="33">
        <f>(S27+AJ27)+((AJ27/AJ$31)*AO$49)</f>
        <v>24660.65</v>
      </c>
      <c r="AO27" s="83"/>
      <c r="AP27" s="114">
        <v>12827.82</v>
      </c>
      <c r="AQ27" s="186">
        <v>15268.99</v>
      </c>
      <c r="AR27" s="192">
        <f>G27+'03.31.20'!AR27</f>
        <v>0</v>
      </c>
      <c r="AS27" s="114">
        <f t="shared" si="23"/>
        <v>3431</v>
      </c>
      <c r="AT27" s="137">
        <f>K27+'03.31.20'!AT27</f>
        <v>0</v>
      </c>
      <c r="AU27" s="137">
        <f>L27+'03.31.20'!AU27</f>
        <v>290.51</v>
      </c>
      <c r="AV27" s="84">
        <f t="shared" si="24"/>
        <v>290.51</v>
      </c>
      <c r="AW27" s="84">
        <f>N27+'03.31.20'!AW27</f>
        <v>0</v>
      </c>
      <c r="AX27" s="84">
        <f>O27+'03.31.20'!AX27</f>
        <v>0</v>
      </c>
      <c r="AY27" s="84">
        <f>P27+'03.31.20'!AY27</f>
        <v>0</v>
      </c>
      <c r="AZ27" s="84">
        <f t="shared" si="25"/>
        <v>0</v>
      </c>
      <c r="BA27" s="224">
        <v>7139.55</v>
      </c>
      <c r="BB27" s="137">
        <f>Z27+'03.31.20'!BB27</f>
        <v>575.51</v>
      </c>
      <c r="BC27" s="137">
        <f>AA27+'03.31.20'!BC27</f>
        <v>393.47</v>
      </c>
      <c r="BD27" s="276">
        <f>AB27+'03.31.20'!BD27</f>
        <v>-3.75</v>
      </c>
      <c r="BE27" s="280">
        <f>AC27+'03.31.20'!BE27</f>
        <v>-17.489999999999998</v>
      </c>
      <c r="BF27" s="276">
        <f>AD27+'03.31.20'!BF27</f>
        <v>-3.33</v>
      </c>
      <c r="BG27" s="280">
        <f>AE27+'03.31.20'!BG27</f>
        <v>-1.98</v>
      </c>
      <c r="BH27" s="84">
        <f t="shared" si="26"/>
        <v>942.43</v>
      </c>
      <c r="BI27" s="84">
        <f>AG27+'03.31.20'!BI27</f>
        <v>-164.36</v>
      </c>
      <c r="BJ27" s="84">
        <f>AH27+'03.31.20'!BJ27</f>
        <v>-359.13</v>
      </c>
      <c r="BK27" s="116">
        <f t="shared" si="27"/>
        <v>-523.49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G28+'03.31.20'!AR28</f>
        <v>0</v>
      </c>
      <c r="AS28" s="114">
        <f t="shared" si="23"/>
        <v>0</v>
      </c>
      <c r="AT28" s="137">
        <f>K28+'03.31.20'!AT28</f>
        <v>0</v>
      </c>
      <c r="AU28" s="137">
        <f>L28+'03.31.20'!AU28</f>
        <v>0</v>
      </c>
      <c r="AV28" s="84">
        <f t="shared" si="24"/>
        <v>0</v>
      </c>
      <c r="AW28" s="84">
        <f>N28+'03.31.20'!AW28</f>
        <v>0</v>
      </c>
      <c r="AX28" s="84">
        <f>O28+'03.31.20'!AX28</f>
        <v>0</v>
      </c>
      <c r="AY28" s="84">
        <f>P28+'03.31.20'!AY28</f>
        <v>0</v>
      </c>
      <c r="AZ28" s="84">
        <f t="shared" si="25"/>
        <v>0</v>
      </c>
      <c r="BA28" s="224">
        <v>0</v>
      </c>
      <c r="BB28" s="137">
        <f>Z28+'03.31.20'!BB28</f>
        <v>0</v>
      </c>
      <c r="BC28" s="137">
        <f>AA28+'03.31.20'!BC28</f>
        <v>0</v>
      </c>
      <c r="BD28" s="276">
        <f>AB28+'03.31.20'!BD28</f>
        <v>0</v>
      </c>
      <c r="BE28" s="280">
        <f>AC28+'03.31.20'!BE28</f>
        <v>0</v>
      </c>
      <c r="BF28" s="276">
        <f>AD28+'03.31.20'!BF28</f>
        <v>0</v>
      </c>
      <c r="BG28" s="280">
        <f>AE28+'03.31.20'!BG28</f>
        <v>0</v>
      </c>
      <c r="BH28" s="84">
        <f t="shared" si="26"/>
        <v>0</v>
      </c>
      <c r="BI28" s="84">
        <f>AG28+'03.31.20'!BI28</f>
        <v>0</v>
      </c>
      <c r="BJ28" s="84">
        <f>AH28+'03.31.20'!BJ28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3784317.99</v>
      </c>
      <c r="G31" s="48">
        <f>SUM(G12:G29)</f>
        <v>0</v>
      </c>
      <c r="H31" s="130">
        <f>SUM(H12:H29)</f>
        <v>3784317.99</v>
      </c>
      <c r="I31" s="78">
        <f>SUM(I12:I30)</f>
        <v>1</v>
      </c>
      <c r="J31" s="115"/>
      <c r="K31" s="115">
        <v>0</v>
      </c>
      <c r="L31" s="115">
        <v>279.2</v>
      </c>
      <c r="M31" s="48">
        <f>SUM(M12:M29)</f>
        <v>279.2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3784597.19</v>
      </c>
      <c r="S31" s="49">
        <f>R31+AO45</f>
        <v>4409372.91</v>
      </c>
      <c r="T31" s="50">
        <f>SUM(T12:T29)</f>
        <v>2637289.98</v>
      </c>
      <c r="U31" s="51">
        <f>SUM(U12:U30)</f>
        <v>1</v>
      </c>
      <c r="V31" s="206">
        <v>0</v>
      </c>
      <c r="W31" s="306">
        <v>2637289.98</v>
      </c>
      <c r="X31" s="206">
        <f>2499.03+4386.09</f>
        <v>6885.12</v>
      </c>
      <c r="Y31" s="266">
        <f>2643.75+2990.09</f>
        <v>5633.84</v>
      </c>
      <c r="Z31" s="115">
        <f>SUM(Z12:Z29)</f>
        <v>12518.96</v>
      </c>
      <c r="AA31" s="272">
        <v>164.98</v>
      </c>
      <c r="AB31" s="210">
        <v>0</v>
      </c>
      <c r="AC31" s="272">
        <v>-757.81</v>
      </c>
      <c r="AD31" s="210">
        <v>0</v>
      </c>
      <c r="AE31" s="272">
        <v>-99.9</v>
      </c>
      <c r="AF31" s="48">
        <f>SUM(AF12:AF29)</f>
        <v>11826.23</v>
      </c>
      <c r="AG31" s="48">
        <v>-4405.45</v>
      </c>
      <c r="AH31" s="115">
        <f>SUM(AH12:AH30)</f>
        <v>0</v>
      </c>
      <c r="AI31" s="115">
        <f>SUM(AI12:AI30)</f>
        <v>-4405.45</v>
      </c>
      <c r="AJ31" s="52">
        <f>SUM(AJ12:AJ30)</f>
        <v>2644710.7599999998</v>
      </c>
      <c r="AK31" s="210">
        <f>V31+X31+AB31+AD31-6885.12</f>
        <v>0</v>
      </c>
      <c r="AL31" s="305">
        <f>W31+Y31+AA31+AC31+AE31++AG31+AH31+6885.12</f>
        <v>2644710.7599999998</v>
      </c>
      <c r="AM31" s="35">
        <f>SUM(AM12:AM29)</f>
        <v>6429307.9500000002</v>
      </c>
      <c r="AN31" s="35">
        <f>AN45+AN49+1575</f>
        <v>7464573.6100000003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1035265.66</v>
      </c>
      <c r="AT31" s="115">
        <v>0</v>
      </c>
      <c r="AU31" s="115">
        <f t="shared" si="30"/>
        <v>80388.94</v>
      </c>
      <c r="AV31" s="48">
        <f t="shared" si="30"/>
        <v>80388.94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159252.5</v>
      </c>
      <c r="BC31" s="115">
        <f t="shared" si="30"/>
        <v>108880.33</v>
      </c>
      <c r="BD31" s="210">
        <f t="shared" si="30"/>
        <v>-1037.97</v>
      </c>
      <c r="BE31" s="272">
        <f t="shared" si="30"/>
        <v>-4837.3999999999996</v>
      </c>
      <c r="BF31" s="210">
        <f t="shared" si="30"/>
        <v>-922.02</v>
      </c>
      <c r="BG31" s="272">
        <f t="shared" si="30"/>
        <v>-542.88</v>
      </c>
      <c r="BH31" s="48">
        <f t="shared" si="30"/>
        <v>260792.56</v>
      </c>
      <c r="BI31" s="48">
        <f t="shared" si="30"/>
        <v>-45480.05</v>
      </c>
      <c r="BJ31" s="48">
        <f t="shared" si="30"/>
        <v>-12973.96</v>
      </c>
      <c r="BK31" s="73">
        <f t="shared" si="30"/>
        <v>-58454.01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3782742.99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3783022.19</v>
      </c>
      <c r="S34" s="259">
        <f>S31+S33</f>
        <v>4407797.91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6427732.9500000002</v>
      </c>
      <c r="AN34" s="259">
        <f>AN31+AN33</f>
        <v>7462998.6100000003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'03.31.20'!R31</f>
        <v>3784317.99</v>
      </c>
      <c r="G38" s="121">
        <f>SUM(G12:G29)</f>
        <v>0</v>
      </c>
      <c r="H38" s="121">
        <f>F31+G31+P31</f>
        <v>3784317.99</v>
      </c>
      <c r="I38" s="144">
        <v>1</v>
      </c>
      <c r="J38" s="121"/>
      <c r="K38" s="121">
        <f>SUM(K12:K29)</f>
        <v>0</v>
      </c>
      <c r="L38" s="121">
        <f>SUM(L12:L29)</f>
        <v>279.2</v>
      </c>
      <c r="M38" s="121">
        <f>K31+L31</f>
        <v>279.2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3784597.19</v>
      </c>
      <c r="S38" s="121">
        <f>SUM(S12:S29)</f>
        <v>4409372.91</v>
      </c>
      <c r="T38" s="121">
        <f>'03.31.20'!AJ31</f>
        <v>2637289.98</v>
      </c>
      <c r="U38" s="144">
        <v>1</v>
      </c>
      <c r="V38" s="229"/>
      <c r="W38" s="198"/>
      <c r="X38" s="121">
        <f t="shared" ref="X38:AE38" si="31">SUM(X12:X29)</f>
        <v>6885.12</v>
      </c>
      <c r="Y38" s="121">
        <f t="shared" si="31"/>
        <v>5633.84</v>
      </c>
      <c r="Z38" s="121">
        <f t="shared" si="31"/>
        <v>12518.96</v>
      </c>
      <c r="AA38" s="121">
        <f t="shared" si="31"/>
        <v>164.98</v>
      </c>
      <c r="AB38" s="121">
        <f t="shared" si="31"/>
        <v>0</v>
      </c>
      <c r="AC38" s="121">
        <f t="shared" si="31"/>
        <v>-757.81</v>
      </c>
      <c r="AD38" s="121">
        <f t="shared" si="31"/>
        <v>0</v>
      </c>
      <c r="AE38" s="121">
        <f t="shared" si="31"/>
        <v>-99.9</v>
      </c>
      <c r="AF38" s="121">
        <f>SUM(Z31:AE31)</f>
        <v>11826.23</v>
      </c>
      <c r="AG38" s="121">
        <f>SUM(AG12:AG29)</f>
        <v>-4405.45</v>
      </c>
      <c r="AH38" s="121">
        <f>SUM(AH12:AH29)</f>
        <v>0</v>
      </c>
      <c r="AI38" s="121">
        <f>AG38+AH38</f>
        <v>-4405.45</v>
      </c>
      <c r="AJ38" s="121">
        <f>T31+AF31+AI31</f>
        <v>2644710.7599999998</v>
      </c>
      <c r="AK38" s="149"/>
      <c r="AL38" s="121"/>
      <c r="AM38" s="121">
        <f>R31+AJ31</f>
        <v>6429307.9500000002</v>
      </c>
      <c r="AN38" s="121">
        <f>SUM(AN12:AN29)</f>
        <v>7464573.6100000003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279.2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11826.23</v>
      </c>
      <c r="BI38" s="146">
        <f>AG31</f>
        <v>-4405.45</v>
      </c>
      <c r="BJ38" s="146">
        <f>AH31</f>
        <v>0</v>
      </c>
      <c r="BK38" s="146">
        <f>AI31</f>
        <v>-4405.45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80109.740000000005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248966.33</v>
      </c>
      <c r="BI40" s="149">
        <f t="shared" si="33"/>
        <v>-41074.6</v>
      </c>
      <c r="BJ40" s="149">
        <f t="shared" si="33"/>
        <v>-12973.96</v>
      </c>
      <c r="BK40" s="149">
        <f t="shared" si="33"/>
        <v>-54048.56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'03.31.20'!AR31</f>
        <v>0</v>
      </c>
      <c r="AS41" s="141"/>
      <c r="AT41" s="141"/>
      <c r="AU41" s="141"/>
      <c r="AV41" s="141">
        <f>'03.31.20'!AV31</f>
        <v>80109.740000000005</v>
      </c>
      <c r="AW41" s="141">
        <f>'03.31.20'!AW31</f>
        <v>0</v>
      </c>
      <c r="AX41" s="141">
        <f>'03.31.20'!AX31</f>
        <v>0</v>
      </c>
      <c r="AY41" s="141">
        <f>'03.31.20'!AY31</f>
        <v>0</v>
      </c>
      <c r="AZ41" s="141">
        <f>'03.31.20'!AZ31</f>
        <v>0</v>
      </c>
      <c r="BA41" s="181"/>
      <c r="BB41" s="181"/>
      <c r="BC41" s="181"/>
      <c r="BD41" s="181"/>
      <c r="BE41" s="181"/>
      <c r="BF41" s="181"/>
      <c r="BG41" s="181"/>
      <c r="BH41" s="141">
        <f>'03.31.20'!BH31</f>
        <v>248966.33</v>
      </c>
      <c r="BI41" s="141">
        <f>'03.31.20'!BI31</f>
        <v>-41074.6</v>
      </c>
      <c r="BJ41" s="141">
        <f>'03.31.20'!BJ31</f>
        <v>-12973.96</v>
      </c>
      <c r="BK41" s="141">
        <f>'03.31.20'!BK31</f>
        <v>-54048.56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>AG31-AG38</f>
        <v>0</v>
      </c>
      <c r="AH42" s="298">
        <f>AH31-AH38</f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3783022.19</v>
      </c>
      <c r="AM45" s="289"/>
      <c r="AN45" s="289">
        <v>4407797.91</v>
      </c>
      <c r="AO45" s="307">
        <f>AN45-AL45</f>
        <v>624775.72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3783022.19</v>
      </c>
      <c r="AN46" s="289">
        <v>0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2642719.9900000002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1990.77</v>
      </c>
      <c r="AM49" s="290">
        <f>AL48+AL49</f>
        <v>2644710.7599999998</v>
      </c>
      <c r="AN49" s="290">
        <v>3055200.7</v>
      </c>
      <c r="AO49" s="307">
        <f>AN49-AM49</f>
        <v>410489.94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6427732.9500000002</v>
      </c>
      <c r="AN51" s="296">
        <f>AN45+AN46+AN49</f>
        <v>7462998.6100000003</v>
      </c>
      <c r="AO51" s="308">
        <f>AO45+AO46+AO49</f>
        <v>1035265.66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BK61"/>
  <sheetViews>
    <sheetView topLeftCell="B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173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66551.44</v>
      </c>
      <c r="G12" s="9">
        <v>0</v>
      </c>
      <c r="H12" s="129">
        <f t="shared" ref="H12:H28" si="0">F12+G12+P12</f>
        <v>66551.44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33.78</v>
      </c>
      <c r="M12" s="9">
        <f t="shared" ref="M12:M28" si="3">K12+L12</f>
        <v>33.78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66585.22</v>
      </c>
      <c r="S12" s="14">
        <f t="shared" ref="S12:S23" si="7">(R12/(R$31-1575)*(S$31-1575))</f>
        <v>79375.03</v>
      </c>
      <c r="T12" s="86">
        <v>24622.32</v>
      </c>
      <c r="U12" s="79">
        <f t="shared" ref="U12:U28" si="8">I12</f>
        <v>1.7592139999999999E-2</v>
      </c>
      <c r="V12" s="203"/>
      <c r="W12" s="264"/>
      <c r="X12" s="204">
        <f>$U12*X$31</f>
        <v>89.36</v>
      </c>
      <c r="Y12" s="268">
        <f>$U12*Y$31</f>
        <v>62.69</v>
      </c>
      <c r="Z12" s="124">
        <f t="shared" ref="Z12:Z28" si="9">X12+Y12</f>
        <v>152.05000000000001</v>
      </c>
      <c r="AA12" s="268">
        <f t="shared" ref="AA12:AE23" si="10">$U12*AA$31</f>
        <v>21.97</v>
      </c>
      <c r="AB12" s="204">
        <f t="shared" si="10"/>
        <v>-13.44</v>
      </c>
      <c r="AC12" s="268">
        <f t="shared" si="10"/>
        <v>0</v>
      </c>
      <c r="AD12" s="204">
        <f t="shared" si="10"/>
        <v>0</v>
      </c>
      <c r="AE12" s="268">
        <f t="shared" si="10"/>
        <v>-0.33</v>
      </c>
      <c r="AF12" s="7">
        <f t="shared" ref="AF12:AF28" si="11">SUM(Z12:AE12)</f>
        <v>160.25</v>
      </c>
      <c r="AG12" s="7">
        <f t="shared" ref="AG12:AG23" si="12">U12*AG$31</f>
        <v>-75.62</v>
      </c>
      <c r="AH12" s="7">
        <v>0</v>
      </c>
      <c r="AI12" s="124">
        <f t="shared" ref="AI12:AI28" si="13">AG12+AH12</f>
        <v>-75.62</v>
      </c>
      <c r="AJ12" s="14">
        <f t="shared" ref="AJ12:AJ28" si="14">T12+AF12+AI12</f>
        <v>24706.95</v>
      </c>
      <c r="AK12" s="233"/>
      <c r="AL12" s="236"/>
      <c r="AM12" s="33">
        <f t="shared" ref="AM12:AM28" si="15">R12+AJ12</f>
        <v>91292.17</v>
      </c>
      <c r="AN12" s="33">
        <f t="shared" ref="AN12:AN23" si="16">(S12+AJ12)+((AJ12/AJ$31)*AO$49)</f>
        <v>108523.13</v>
      </c>
      <c r="AO12" s="83"/>
      <c r="AP12" s="114">
        <v>62445.99</v>
      </c>
      <c r="AQ12" s="186">
        <v>74329.64</v>
      </c>
      <c r="AR12" s="192">
        <f>G12+'04.30.20'!AR12</f>
        <v>0</v>
      </c>
      <c r="AS12" s="114">
        <f t="shared" ref="AS12:AS28" si="17">AN12-AM12</f>
        <v>17230.96</v>
      </c>
      <c r="AT12" s="137">
        <f>K12+'04.30.20'!AT12</f>
        <v>0</v>
      </c>
      <c r="AU12" s="137">
        <f>L12+'04.30.20'!AU12</f>
        <v>1447.99</v>
      </c>
      <c r="AV12" s="84">
        <f t="shared" ref="AV12:AV28" si="18">AT12+AU12</f>
        <v>1447.99</v>
      </c>
      <c r="AW12" s="84">
        <f>N12+'04.30.20'!AW12</f>
        <v>0</v>
      </c>
      <c r="AX12" s="84">
        <f>O12+'04.30.20'!AX12</f>
        <v>0</v>
      </c>
      <c r="AY12" s="84">
        <f>P12+'04.30.20'!AY12</f>
        <v>0</v>
      </c>
      <c r="AZ12" s="84">
        <f t="shared" ref="AZ12:AZ28" si="19">AX12+AY12</f>
        <v>0</v>
      </c>
      <c r="BA12" s="224">
        <v>27434.37</v>
      </c>
      <c r="BB12" s="137">
        <f>Z12+'04.30.20'!BB12</f>
        <v>2953.64</v>
      </c>
      <c r="BC12" s="137">
        <f>AA12+'04.30.20'!BC12</f>
        <v>1937.41</v>
      </c>
      <c r="BD12" s="276">
        <f>AB12+'04.30.20'!BD12</f>
        <v>-31.7</v>
      </c>
      <c r="BE12" s="280">
        <f>AC12+'04.30.20'!BE12</f>
        <v>-85.1</v>
      </c>
      <c r="BF12" s="276">
        <f>AD12+'04.30.20'!BF12</f>
        <v>-16.22</v>
      </c>
      <c r="BG12" s="280">
        <f>AE12+'04.30.20'!BG12</f>
        <v>-9.89</v>
      </c>
      <c r="BH12" s="84">
        <f t="shared" ref="BH12:BH28" si="20">SUM(BB12:BG12)</f>
        <v>4748.1400000000003</v>
      </c>
      <c r="BI12" s="84">
        <f>AG12+'04.30.20'!BI12</f>
        <v>-875.72</v>
      </c>
      <c r="BJ12" s="84">
        <f>AH12+'04.30.20'!BJ12</f>
        <v>-6599.84</v>
      </c>
      <c r="BK12" s="116">
        <f t="shared" ref="BK12:BK28" si="21">BI12+BJ12</f>
        <v>-7475.56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5259.01</v>
      </c>
      <c r="G13" s="9">
        <v>0</v>
      </c>
      <c r="H13" s="129">
        <f t="shared" si="0"/>
        <v>5259.01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2.67</v>
      </c>
      <c r="M13" s="9">
        <f t="shared" si="3"/>
        <v>2.67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5261.68</v>
      </c>
      <c r="S13" s="14">
        <f t="shared" si="7"/>
        <v>6272.35</v>
      </c>
      <c r="T13" s="86">
        <v>4026.01</v>
      </c>
      <c r="U13" s="79">
        <f t="shared" si="8"/>
        <v>1.3901600000000001E-3</v>
      </c>
      <c r="V13" s="203"/>
      <c r="W13" s="264"/>
      <c r="X13" s="204">
        <f>$U13*X$31</f>
        <v>7.06</v>
      </c>
      <c r="Y13" s="268">
        <f>$U13*Y$31</f>
        <v>4.95</v>
      </c>
      <c r="Z13" s="124">
        <f t="shared" si="9"/>
        <v>12.01</v>
      </c>
      <c r="AA13" s="268">
        <f t="shared" si="10"/>
        <v>1.74</v>
      </c>
      <c r="AB13" s="204">
        <f t="shared" si="10"/>
        <v>-1.06</v>
      </c>
      <c r="AC13" s="268">
        <f t="shared" si="10"/>
        <v>0</v>
      </c>
      <c r="AD13" s="204">
        <f t="shared" si="10"/>
        <v>0</v>
      </c>
      <c r="AE13" s="268">
        <f t="shared" si="10"/>
        <v>-0.03</v>
      </c>
      <c r="AF13" s="7">
        <f t="shared" si="11"/>
        <v>12.66</v>
      </c>
      <c r="AG13" s="7">
        <f t="shared" si="12"/>
        <v>-5.98</v>
      </c>
      <c r="AH13" s="7">
        <v>0</v>
      </c>
      <c r="AI13" s="124">
        <f t="shared" si="13"/>
        <v>-5.98</v>
      </c>
      <c r="AJ13" s="14">
        <f t="shared" si="14"/>
        <v>4032.69</v>
      </c>
      <c r="AK13" s="233"/>
      <c r="AL13" s="236"/>
      <c r="AM13" s="33">
        <f t="shared" si="15"/>
        <v>9294.3700000000008</v>
      </c>
      <c r="AN13" s="33">
        <f t="shared" si="16"/>
        <v>11029.93</v>
      </c>
      <c r="AO13" s="83"/>
      <c r="AP13" s="114">
        <v>4934.59</v>
      </c>
      <c r="AQ13" s="186">
        <v>5873.66</v>
      </c>
      <c r="AR13" s="192">
        <f>G13+'04.30.20'!AR13</f>
        <v>0</v>
      </c>
      <c r="AS13" s="114">
        <f t="shared" si="17"/>
        <v>1735.56</v>
      </c>
      <c r="AT13" s="137">
        <f>K13+'04.30.20'!AT13</f>
        <v>0</v>
      </c>
      <c r="AU13" s="137">
        <f>L13+'04.30.20'!AU13</f>
        <v>114.42</v>
      </c>
      <c r="AV13" s="84">
        <f t="shared" si="18"/>
        <v>114.42</v>
      </c>
      <c r="AW13" s="84">
        <f>N13+'04.30.20'!AW13</f>
        <v>0</v>
      </c>
      <c r="AX13" s="84">
        <f>O13+'04.30.20'!AX13</f>
        <v>0</v>
      </c>
      <c r="AY13" s="84">
        <f>P13+'04.30.20'!AY13</f>
        <v>0</v>
      </c>
      <c r="AZ13" s="84">
        <f t="shared" si="19"/>
        <v>0</v>
      </c>
      <c r="BA13" s="224">
        <v>3726.67</v>
      </c>
      <c r="BB13" s="137">
        <f>Z13+'04.30.20'!BB13</f>
        <v>233.39</v>
      </c>
      <c r="BC13" s="137">
        <f>AA13+'04.30.20'!BC13</f>
        <v>153.11000000000001</v>
      </c>
      <c r="BD13" s="276">
        <f>AB13+'04.30.20'!BD13</f>
        <v>-2.5</v>
      </c>
      <c r="BE13" s="280">
        <f>AC13+'04.30.20'!BE13</f>
        <v>-6.72</v>
      </c>
      <c r="BF13" s="276">
        <f>AD13+'04.30.20'!BF13</f>
        <v>-1.28</v>
      </c>
      <c r="BG13" s="280">
        <f>AE13+'04.30.20'!BG13</f>
        <v>-0.78</v>
      </c>
      <c r="BH13" s="84">
        <f t="shared" si="20"/>
        <v>375.22</v>
      </c>
      <c r="BI13" s="84">
        <f>AG13+'04.30.20'!BI13</f>
        <v>-69.2</v>
      </c>
      <c r="BJ13" s="84">
        <f>AH13+'04.30.20'!BJ13</f>
        <v>0</v>
      </c>
      <c r="BK13" s="116">
        <f t="shared" si="21"/>
        <v>-69.2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387008.51</v>
      </c>
      <c r="G14" s="9">
        <v>0</v>
      </c>
      <c r="H14" s="129">
        <f t="shared" si="0"/>
        <v>387008.51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196.45</v>
      </c>
      <c r="M14" s="9">
        <f t="shared" si="3"/>
        <v>196.45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387204.96</v>
      </c>
      <c r="S14" s="14">
        <f t="shared" si="7"/>
        <v>461579.98</v>
      </c>
      <c r="T14" s="86">
        <v>343666.58</v>
      </c>
      <c r="U14" s="79">
        <f t="shared" si="8"/>
        <v>0.10230141</v>
      </c>
      <c r="V14" s="304"/>
      <c r="W14" s="304"/>
      <c r="X14" s="204">
        <f>($U14*X$31)</f>
        <v>519.63</v>
      </c>
      <c r="Y14" s="268">
        <f>($U14*Y$31)</f>
        <v>364.57</v>
      </c>
      <c r="Z14" s="124">
        <f t="shared" si="9"/>
        <v>884.2</v>
      </c>
      <c r="AA14" s="268">
        <f t="shared" si="10"/>
        <v>127.75</v>
      </c>
      <c r="AB14" s="204">
        <f t="shared" si="10"/>
        <v>-78.14</v>
      </c>
      <c r="AC14" s="268">
        <f t="shared" si="10"/>
        <v>0</v>
      </c>
      <c r="AD14" s="204">
        <f t="shared" si="10"/>
        <v>0</v>
      </c>
      <c r="AE14" s="268">
        <f t="shared" si="10"/>
        <v>-1.94</v>
      </c>
      <c r="AF14" s="7">
        <f t="shared" si="11"/>
        <v>931.87</v>
      </c>
      <c r="AG14" s="7">
        <f t="shared" si="12"/>
        <v>-439.75</v>
      </c>
      <c r="AH14" s="7">
        <v>0</v>
      </c>
      <c r="AI14" s="124">
        <f t="shared" si="13"/>
        <v>-439.75</v>
      </c>
      <c r="AJ14" s="14">
        <f t="shared" si="14"/>
        <v>344158.7</v>
      </c>
      <c r="AK14" s="233"/>
      <c r="AL14" s="236"/>
      <c r="AM14" s="33">
        <f t="shared" si="15"/>
        <v>731363.66</v>
      </c>
      <c r="AN14" s="33">
        <f t="shared" si="16"/>
        <v>867602.27</v>
      </c>
      <c r="AO14" s="83"/>
      <c r="AP14" s="114">
        <v>363134.62</v>
      </c>
      <c r="AQ14" s="186">
        <v>432240.15</v>
      </c>
      <c r="AR14" s="192">
        <f>G14+'04.30.20'!AR14</f>
        <v>0</v>
      </c>
      <c r="AS14" s="114">
        <f t="shared" si="17"/>
        <v>136238.60999999999</v>
      </c>
      <c r="AT14" s="137">
        <f>K14+'04.30.20'!AT14</f>
        <v>0</v>
      </c>
      <c r="AU14" s="137">
        <f>L14+'04.30.20'!AU14</f>
        <v>8420.34</v>
      </c>
      <c r="AV14" s="84">
        <f t="shared" si="18"/>
        <v>8420.34</v>
      </c>
      <c r="AW14" s="84">
        <f>N14+'04.30.20'!AW14</f>
        <v>0</v>
      </c>
      <c r="AX14" s="84">
        <f>O14+'04.30.20'!AX14</f>
        <v>0</v>
      </c>
      <c r="AY14" s="84">
        <f>P14+'04.30.20'!AY14</f>
        <v>0</v>
      </c>
      <c r="AZ14" s="84">
        <f t="shared" si="19"/>
        <v>0</v>
      </c>
      <c r="BA14" s="224">
        <v>321639.82</v>
      </c>
      <c r="BB14" s="137">
        <f>Z14+'04.30.20'!BB14</f>
        <v>17175.96</v>
      </c>
      <c r="BC14" s="137">
        <f>AA14+'04.30.20'!BC14</f>
        <v>11266.36</v>
      </c>
      <c r="BD14" s="276">
        <f>AB14+'04.30.20'!BD14</f>
        <v>-184.32</v>
      </c>
      <c r="BE14" s="280">
        <f>AC14+'04.30.20'!BE14</f>
        <v>-494.88</v>
      </c>
      <c r="BF14" s="276">
        <f>AD14+'04.30.20'!BF14</f>
        <v>-94.32</v>
      </c>
      <c r="BG14" s="280">
        <f>AE14+'04.30.20'!BG14</f>
        <v>-57.49</v>
      </c>
      <c r="BH14" s="84">
        <f t="shared" si="20"/>
        <v>27611.31</v>
      </c>
      <c r="BI14" s="84">
        <f>AG14+'04.30.20'!BI14</f>
        <v>-5092.43</v>
      </c>
      <c r="BJ14" s="84">
        <f>AH14+'04.30.20'!BJ14</f>
        <v>0</v>
      </c>
      <c r="BK14" s="116">
        <f t="shared" si="21"/>
        <v>-5092.43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167611.19</v>
      </c>
      <c r="G15" s="9">
        <v>0</v>
      </c>
      <c r="H15" s="129">
        <f t="shared" si="0"/>
        <v>167611.19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85.08</v>
      </c>
      <c r="M15" s="9">
        <f t="shared" si="3"/>
        <v>85.08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167696.26999999999</v>
      </c>
      <c r="S15" s="14">
        <f t="shared" si="7"/>
        <v>199907.67</v>
      </c>
      <c r="T15" s="86">
        <v>182263.27</v>
      </c>
      <c r="U15" s="79">
        <f t="shared" si="8"/>
        <v>4.4306159999999997E-2</v>
      </c>
      <c r="V15" s="203"/>
      <c r="W15" s="264"/>
      <c r="X15" s="204">
        <f t="shared" ref="X15:Y23" si="22">$U15*X$31</f>
        <v>225.05</v>
      </c>
      <c r="Y15" s="268">
        <f t="shared" si="22"/>
        <v>157.88999999999999</v>
      </c>
      <c r="Z15" s="124">
        <f t="shared" si="9"/>
        <v>382.94</v>
      </c>
      <c r="AA15" s="268">
        <f t="shared" si="10"/>
        <v>55.33</v>
      </c>
      <c r="AB15" s="204">
        <f t="shared" si="10"/>
        <v>-33.840000000000003</v>
      </c>
      <c r="AC15" s="268">
        <f t="shared" si="10"/>
        <v>0</v>
      </c>
      <c r="AD15" s="204">
        <f t="shared" si="10"/>
        <v>0</v>
      </c>
      <c r="AE15" s="268">
        <f t="shared" si="10"/>
        <v>-0.84</v>
      </c>
      <c r="AF15" s="7">
        <f t="shared" si="11"/>
        <v>403.59</v>
      </c>
      <c r="AG15" s="7">
        <f t="shared" si="12"/>
        <v>-190.45</v>
      </c>
      <c r="AH15" s="7">
        <v>0</v>
      </c>
      <c r="AI15" s="124">
        <f t="shared" si="13"/>
        <v>-190.45</v>
      </c>
      <c r="AJ15" s="14">
        <f t="shared" si="14"/>
        <v>182476.41</v>
      </c>
      <c r="AK15" s="233"/>
      <c r="AL15" s="236"/>
      <c r="AM15" s="33">
        <f t="shared" si="15"/>
        <v>350172.68</v>
      </c>
      <c r="AN15" s="33">
        <f t="shared" si="16"/>
        <v>415184.78</v>
      </c>
      <c r="AO15" s="83"/>
      <c r="AP15" s="114">
        <v>157271.56</v>
      </c>
      <c r="AQ15" s="186">
        <v>187200.78</v>
      </c>
      <c r="AR15" s="192">
        <f>G15+'04.30.20'!AR15</f>
        <v>0</v>
      </c>
      <c r="AS15" s="114">
        <f t="shared" si="17"/>
        <v>65012.1</v>
      </c>
      <c r="AT15" s="137">
        <f>K15+'04.30.20'!AT15</f>
        <v>0</v>
      </c>
      <c r="AU15" s="137">
        <f>L15+'04.30.20'!AU15</f>
        <v>3646.8</v>
      </c>
      <c r="AV15" s="84">
        <f t="shared" si="18"/>
        <v>3646.8</v>
      </c>
      <c r="AW15" s="84">
        <f>N15+'04.30.20'!AW15</f>
        <v>0</v>
      </c>
      <c r="AX15" s="84">
        <f>O15+'04.30.20'!AX15</f>
        <v>0</v>
      </c>
      <c r="AY15" s="84">
        <f>P15+'04.30.20'!AY15</f>
        <v>0</v>
      </c>
      <c r="AZ15" s="84">
        <f t="shared" si="19"/>
        <v>0</v>
      </c>
      <c r="BA15" s="224">
        <v>172723.67</v>
      </c>
      <c r="BB15" s="137">
        <f>Z15+'04.30.20'!BB15</f>
        <v>7438.77</v>
      </c>
      <c r="BC15" s="137">
        <f>AA15+'04.30.20'!BC15</f>
        <v>4879.3999999999996</v>
      </c>
      <c r="BD15" s="276">
        <f>AB15+'04.30.20'!BD15</f>
        <v>-79.83</v>
      </c>
      <c r="BE15" s="280">
        <f>AC15+'04.30.20'!BE15</f>
        <v>-214.34</v>
      </c>
      <c r="BF15" s="276">
        <f>AD15+'04.30.20'!BF15</f>
        <v>-40.86</v>
      </c>
      <c r="BG15" s="280">
        <f>AE15+'04.30.20'!BG15</f>
        <v>-24.9</v>
      </c>
      <c r="BH15" s="84">
        <f t="shared" si="20"/>
        <v>11958.24</v>
      </c>
      <c r="BI15" s="84">
        <f>AG15+'04.30.20'!BI15</f>
        <v>-2205.5</v>
      </c>
      <c r="BJ15" s="84">
        <f>AH15+'04.30.20'!BJ15</f>
        <v>0</v>
      </c>
      <c r="BK15" s="116">
        <f t="shared" si="21"/>
        <v>-2205.5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10324.26</v>
      </c>
      <c r="G16" s="9">
        <v>0</v>
      </c>
      <c r="H16" s="129">
        <f t="shared" si="0"/>
        <v>10324.26</v>
      </c>
      <c r="I16" s="76">
        <f t="shared" si="1"/>
        <v>2.7290999999999999E-3</v>
      </c>
      <c r="J16" s="128"/>
      <c r="K16" s="128">
        <f t="shared" si="2"/>
        <v>0</v>
      </c>
      <c r="L16" s="128">
        <f t="shared" si="2"/>
        <v>5.24</v>
      </c>
      <c r="M16" s="9">
        <f t="shared" si="3"/>
        <v>5.24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10329.5</v>
      </c>
      <c r="S16" s="14">
        <f t="shared" si="7"/>
        <v>12313.61</v>
      </c>
      <c r="T16" s="86">
        <v>7919.16</v>
      </c>
      <c r="U16" s="79">
        <f t="shared" si="8"/>
        <v>2.7290999999999999E-3</v>
      </c>
      <c r="V16" s="203" t="s">
        <v>108</v>
      </c>
      <c r="W16" s="264" t="s">
        <v>108</v>
      </c>
      <c r="X16" s="204">
        <f t="shared" si="22"/>
        <v>13.86</v>
      </c>
      <c r="Y16" s="268">
        <f t="shared" si="22"/>
        <v>9.73</v>
      </c>
      <c r="Z16" s="124">
        <f t="shared" si="9"/>
        <v>23.59</v>
      </c>
      <c r="AA16" s="268">
        <f t="shared" si="10"/>
        <v>3.41</v>
      </c>
      <c r="AB16" s="204">
        <f t="shared" si="10"/>
        <v>-2.08</v>
      </c>
      <c r="AC16" s="268">
        <f t="shared" si="10"/>
        <v>0</v>
      </c>
      <c r="AD16" s="204">
        <f t="shared" si="10"/>
        <v>0</v>
      </c>
      <c r="AE16" s="268">
        <f t="shared" si="10"/>
        <v>-0.05</v>
      </c>
      <c r="AF16" s="7">
        <f t="shared" si="11"/>
        <v>24.87</v>
      </c>
      <c r="AG16" s="7">
        <f t="shared" si="12"/>
        <v>-11.73</v>
      </c>
      <c r="AH16" s="7">
        <v>0</v>
      </c>
      <c r="AI16" s="124">
        <f t="shared" si="13"/>
        <v>-11.73</v>
      </c>
      <c r="AJ16" s="14">
        <f t="shared" si="14"/>
        <v>7932.3</v>
      </c>
      <c r="AK16" s="233" t="s">
        <v>118</v>
      </c>
      <c r="AL16" s="236" t="s">
        <v>114</v>
      </c>
      <c r="AM16" s="33">
        <f t="shared" si="15"/>
        <v>18261.8</v>
      </c>
      <c r="AN16" s="33">
        <f t="shared" si="16"/>
        <v>21671.77</v>
      </c>
      <c r="AO16" s="83"/>
      <c r="AP16" s="114">
        <v>9687.4</v>
      </c>
      <c r="AQ16" s="186">
        <v>11530.94</v>
      </c>
      <c r="AR16" s="192">
        <f>G16+'04.30.20'!AR16</f>
        <v>0</v>
      </c>
      <c r="AS16" s="114">
        <f t="shared" si="17"/>
        <v>3409.97</v>
      </c>
      <c r="AT16" s="137">
        <f>K16+'04.30.20'!AT16</f>
        <v>0</v>
      </c>
      <c r="AU16" s="137">
        <f>L16+'04.30.20'!AU16</f>
        <v>224.61</v>
      </c>
      <c r="AV16" s="84">
        <f t="shared" si="18"/>
        <v>224.61</v>
      </c>
      <c r="AW16" s="84">
        <f>N16+'04.30.20'!AW16</f>
        <v>0</v>
      </c>
      <c r="AX16" s="84">
        <f>O16+'04.30.20'!AX16</f>
        <v>0</v>
      </c>
      <c r="AY16" s="84">
        <f>P16+'04.30.20'!AY16</f>
        <v>0</v>
      </c>
      <c r="AZ16" s="84">
        <f t="shared" si="19"/>
        <v>0</v>
      </c>
      <c r="BA16" s="224">
        <v>7331.55</v>
      </c>
      <c r="BB16" s="137">
        <f>Z16+'04.30.20'!BB16</f>
        <v>458.21</v>
      </c>
      <c r="BC16" s="137">
        <f>AA16+'04.30.20'!BC16</f>
        <v>300.56</v>
      </c>
      <c r="BD16" s="276">
        <f>AB16+'04.30.20'!BD16</f>
        <v>-4.92</v>
      </c>
      <c r="BE16" s="280">
        <f>AC16+'04.30.20'!BE16</f>
        <v>-13.2</v>
      </c>
      <c r="BF16" s="276">
        <f>AD16+'04.30.20'!BF16</f>
        <v>-2.52</v>
      </c>
      <c r="BG16" s="280">
        <f>AE16+'04.30.20'!BG16</f>
        <v>-1.53</v>
      </c>
      <c r="BH16" s="84">
        <f t="shared" si="20"/>
        <v>736.6</v>
      </c>
      <c r="BI16" s="84">
        <f>AG16+'04.30.20'!BI16</f>
        <v>-135.85</v>
      </c>
      <c r="BJ16" s="84">
        <f>AH16+'04.30.20'!BJ16</f>
        <v>0</v>
      </c>
      <c r="BK16" s="116">
        <f t="shared" si="21"/>
        <v>-135.85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899.72</v>
      </c>
      <c r="G17" s="9">
        <v>0</v>
      </c>
      <c r="H17" s="129">
        <f t="shared" si="0"/>
        <v>899.72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0.46</v>
      </c>
      <c r="M17" s="9">
        <f t="shared" si="3"/>
        <v>0.46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900.18</v>
      </c>
      <c r="S17" s="14">
        <f t="shared" si="7"/>
        <v>1073.0899999999999</v>
      </c>
      <c r="T17" s="86">
        <v>701.46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1.21</v>
      </c>
      <c r="Y17" s="268">
        <f t="shared" si="22"/>
        <v>0.85</v>
      </c>
      <c r="Z17" s="124">
        <f t="shared" si="9"/>
        <v>2.06</v>
      </c>
      <c r="AA17" s="268">
        <f t="shared" si="10"/>
        <v>0.3</v>
      </c>
      <c r="AB17" s="204">
        <f t="shared" si="10"/>
        <v>-0.18</v>
      </c>
      <c r="AC17" s="268">
        <f t="shared" si="10"/>
        <v>0</v>
      </c>
      <c r="AD17" s="204">
        <f t="shared" si="10"/>
        <v>0</v>
      </c>
      <c r="AE17" s="268">
        <f t="shared" si="10"/>
        <v>0</v>
      </c>
      <c r="AF17" s="7">
        <f t="shared" si="11"/>
        <v>2.1800000000000002</v>
      </c>
      <c r="AG17" s="7">
        <f t="shared" si="12"/>
        <v>-1.02</v>
      </c>
      <c r="AH17" s="7">
        <v>0</v>
      </c>
      <c r="AI17" s="124">
        <f t="shared" si="13"/>
        <v>-1.02</v>
      </c>
      <c r="AJ17" s="14">
        <f t="shared" si="14"/>
        <v>702.62</v>
      </c>
      <c r="AK17" s="233" t="s">
        <v>129</v>
      </c>
      <c r="AL17" s="282" t="s">
        <v>128</v>
      </c>
      <c r="AM17" s="33">
        <f t="shared" si="15"/>
        <v>1602.8</v>
      </c>
      <c r="AN17" s="33">
        <f t="shared" si="16"/>
        <v>1902.01</v>
      </c>
      <c r="AO17" s="83"/>
      <c r="AP17" s="114">
        <v>844.21</v>
      </c>
      <c r="AQ17" s="186">
        <v>1004.87</v>
      </c>
      <c r="AR17" s="192">
        <f>G17+'04.30.20'!AR17</f>
        <v>0</v>
      </c>
      <c r="AS17" s="114">
        <f t="shared" si="17"/>
        <v>299.20999999999998</v>
      </c>
      <c r="AT17" s="137">
        <f>K17+'04.30.20'!AT17</f>
        <v>0</v>
      </c>
      <c r="AU17" s="137">
        <f>L17+'04.30.20'!AU17</f>
        <v>19.59</v>
      </c>
      <c r="AV17" s="84">
        <f t="shared" si="18"/>
        <v>19.59</v>
      </c>
      <c r="AW17" s="84">
        <f>N17+'04.30.20'!AW17</f>
        <v>0</v>
      </c>
      <c r="AX17" s="84">
        <f>O17+'04.30.20'!AX17</f>
        <v>0</v>
      </c>
      <c r="AY17" s="84">
        <f>P17+'04.30.20'!AY17</f>
        <v>0</v>
      </c>
      <c r="AZ17" s="84">
        <f t="shared" si="19"/>
        <v>0</v>
      </c>
      <c r="BA17" s="224">
        <v>650.23</v>
      </c>
      <c r="BB17" s="137">
        <f>Z17+'04.30.20'!BB17</f>
        <v>39.950000000000003</v>
      </c>
      <c r="BC17" s="137">
        <f>AA17+'04.30.20'!BC17</f>
        <v>26.2</v>
      </c>
      <c r="BD17" s="276">
        <f>AB17+'04.30.20'!BD17</f>
        <v>-0.42</v>
      </c>
      <c r="BE17" s="280">
        <f>AC17+'04.30.20'!BE17</f>
        <v>-1.1499999999999999</v>
      </c>
      <c r="BF17" s="276">
        <f>AD17+'04.30.20'!BF17</f>
        <v>-0.22</v>
      </c>
      <c r="BG17" s="280">
        <f>AE17+'04.30.20'!BG17</f>
        <v>-0.12</v>
      </c>
      <c r="BH17" s="84">
        <f t="shared" si="20"/>
        <v>64.239999999999995</v>
      </c>
      <c r="BI17" s="84">
        <f>AG17+'04.30.20'!BI17</f>
        <v>-11.85</v>
      </c>
      <c r="BJ17" s="84">
        <f>AH17+'04.30.20'!BJ17</f>
        <v>0</v>
      </c>
      <c r="BK17" s="116">
        <f t="shared" si="21"/>
        <v>-11.85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28360.07</v>
      </c>
      <c r="G18" s="9">
        <v>0</v>
      </c>
      <c r="H18" s="129">
        <f t="shared" si="0"/>
        <v>28360.07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14.4</v>
      </c>
      <c r="M18" s="9">
        <f t="shared" si="3"/>
        <v>14.4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28374.47</v>
      </c>
      <c r="S18" s="14">
        <f t="shared" si="7"/>
        <v>33824.69</v>
      </c>
      <c r="T18" s="86">
        <v>8858.94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38.08</v>
      </c>
      <c r="Y18" s="268">
        <f t="shared" si="22"/>
        <v>26.72</v>
      </c>
      <c r="Z18" s="124">
        <f t="shared" si="9"/>
        <v>64.8</v>
      </c>
      <c r="AA18" s="268">
        <f t="shared" si="10"/>
        <v>9.36</v>
      </c>
      <c r="AB18" s="204">
        <f t="shared" si="10"/>
        <v>-5.73</v>
      </c>
      <c r="AC18" s="268">
        <f t="shared" si="10"/>
        <v>0</v>
      </c>
      <c r="AD18" s="204">
        <f t="shared" si="10"/>
        <v>0</v>
      </c>
      <c r="AE18" s="268">
        <f t="shared" si="10"/>
        <v>-0.14000000000000001</v>
      </c>
      <c r="AF18" s="7">
        <f t="shared" si="11"/>
        <v>68.290000000000006</v>
      </c>
      <c r="AG18" s="7">
        <f t="shared" si="12"/>
        <v>-32.22</v>
      </c>
      <c r="AH18" s="7">
        <v>0</v>
      </c>
      <c r="AI18" s="124">
        <f t="shared" si="13"/>
        <v>-32.22</v>
      </c>
      <c r="AJ18" s="14">
        <f t="shared" si="14"/>
        <v>8895.01</v>
      </c>
      <c r="AK18" s="281"/>
      <c r="AL18" s="281"/>
      <c r="AM18" s="33">
        <f t="shared" si="15"/>
        <v>37269.480000000003</v>
      </c>
      <c r="AN18" s="33">
        <f t="shared" si="16"/>
        <v>44318.61</v>
      </c>
      <c r="AO18" s="83"/>
      <c r="AP18" s="114">
        <v>26610.59</v>
      </c>
      <c r="AQ18" s="186">
        <v>31674.66</v>
      </c>
      <c r="AR18" s="192">
        <f>G18+'04.30.20'!AR18</f>
        <v>0</v>
      </c>
      <c r="AS18" s="114">
        <f t="shared" si="17"/>
        <v>7049.13</v>
      </c>
      <c r="AT18" s="137">
        <f>K18+'04.30.20'!AT18</f>
        <v>0</v>
      </c>
      <c r="AU18" s="137">
        <f>L18+'04.30.20'!AU18</f>
        <v>617.04</v>
      </c>
      <c r="AV18" s="84">
        <f t="shared" si="18"/>
        <v>617.04</v>
      </c>
      <c r="AW18" s="84">
        <f>N18+'04.30.20'!AW18</f>
        <v>0</v>
      </c>
      <c r="AX18" s="84">
        <f>O18+'04.30.20'!AX18</f>
        <v>0</v>
      </c>
      <c r="AY18" s="84">
        <f>P18+'04.30.20'!AY18</f>
        <v>0</v>
      </c>
      <c r="AZ18" s="84">
        <f t="shared" si="19"/>
        <v>0</v>
      </c>
      <c r="BA18" s="224">
        <v>7244.82</v>
      </c>
      <c r="BB18" s="137">
        <f>Z18+'04.30.20'!BB18</f>
        <v>1258.67</v>
      </c>
      <c r="BC18" s="137">
        <f>AA18+'04.30.20'!BC18</f>
        <v>825.61</v>
      </c>
      <c r="BD18" s="276">
        <f>AB18+'04.30.20'!BD18</f>
        <v>-13.52</v>
      </c>
      <c r="BE18" s="280">
        <f>AC18+'04.30.20'!BE18</f>
        <v>-36.270000000000003</v>
      </c>
      <c r="BF18" s="276">
        <f>AD18+'04.30.20'!BF18</f>
        <v>-6.91</v>
      </c>
      <c r="BG18" s="280">
        <f>AE18+'04.30.20'!BG18</f>
        <v>-4.22</v>
      </c>
      <c r="BH18" s="84">
        <f t="shared" si="20"/>
        <v>2023.36</v>
      </c>
      <c r="BI18" s="84">
        <f>AG18+'04.30.20'!BI18</f>
        <v>-373.17</v>
      </c>
      <c r="BJ18" s="84">
        <f>AH18+'04.30.20'!BJ18</f>
        <v>0</v>
      </c>
      <c r="BK18" s="116">
        <f t="shared" si="21"/>
        <v>-373.17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95793.23</v>
      </c>
      <c r="G19" s="9">
        <v>0</v>
      </c>
      <c r="H19" s="129">
        <f t="shared" si="0"/>
        <v>95793.23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48.63</v>
      </c>
      <c r="M19" s="9">
        <f t="shared" si="3"/>
        <v>48.63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95841.86</v>
      </c>
      <c r="S19" s="14">
        <f t="shared" si="7"/>
        <v>114251.34</v>
      </c>
      <c r="T19" s="86">
        <v>73395.37</v>
      </c>
      <c r="U19" s="79">
        <f t="shared" si="8"/>
        <v>2.5321880000000001E-2</v>
      </c>
      <c r="V19" s="203"/>
      <c r="W19" s="264"/>
      <c r="X19" s="204">
        <f t="shared" si="22"/>
        <v>128.62</v>
      </c>
      <c r="Y19" s="268">
        <f t="shared" si="22"/>
        <v>90.24</v>
      </c>
      <c r="Z19" s="124">
        <f t="shared" si="9"/>
        <v>218.86</v>
      </c>
      <c r="AA19" s="268">
        <f t="shared" si="10"/>
        <v>31.62</v>
      </c>
      <c r="AB19" s="204">
        <f t="shared" si="10"/>
        <v>-19.34</v>
      </c>
      <c r="AC19" s="268">
        <f t="shared" si="10"/>
        <v>0</v>
      </c>
      <c r="AD19" s="204">
        <f t="shared" si="10"/>
        <v>0</v>
      </c>
      <c r="AE19" s="268">
        <f t="shared" si="10"/>
        <v>-0.48</v>
      </c>
      <c r="AF19" s="7">
        <f t="shared" si="11"/>
        <v>230.66</v>
      </c>
      <c r="AG19" s="7">
        <f t="shared" si="12"/>
        <v>-108.85</v>
      </c>
      <c r="AH19" s="7">
        <v>0</v>
      </c>
      <c r="AI19" s="124">
        <f t="shared" si="13"/>
        <v>-108.85</v>
      </c>
      <c r="AJ19" s="14">
        <f t="shared" si="14"/>
        <v>73517.179999999993</v>
      </c>
      <c r="AK19" s="233"/>
      <c r="AL19" s="237"/>
      <c r="AM19" s="33">
        <f t="shared" si="15"/>
        <v>169359.04</v>
      </c>
      <c r="AN19" s="33">
        <f t="shared" si="16"/>
        <v>200983.46</v>
      </c>
      <c r="AO19" s="83"/>
      <c r="AP19" s="114">
        <v>89883.9</v>
      </c>
      <c r="AQ19" s="186">
        <v>106989.06</v>
      </c>
      <c r="AR19" s="192">
        <f>G19+'04.30.20'!AR19</f>
        <v>0</v>
      </c>
      <c r="AS19" s="114">
        <f t="shared" si="17"/>
        <v>31624.42</v>
      </c>
      <c r="AT19" s="137">
        <f>K19+'04.30.20'!AT19</f>
        <v>0</v>
      </c>
      <c r="AU19" s="137">
        <f>L19+'04.30.20'!AU19</f>
        <v>2084.23</v>
      </c>
      <c r="AV19" s="84">
        <f t="shared" si="18"/>
        <v>2084.23</v>
      </c>
      <c r="AW19" s="84">
        <f>N19+'04.30.20'!AW19</f>
        <v>0</v>
      </c>
      <c r="AX19" s="84">
        <f>O19+'04.30.20'!AX19</f>
        <v>0</v>
      </c>
      <c r="AY19" s="84">
        <f>P19+'04.30.20'!AY19</f>
        <v>0</v>
      </c>
      <c r="AZ19" s="84">
        <f t="shared" si="19"/>
        <v>0</v>
      </c>
      <c r="BA19" s="224">
        <v>67943.259999999995</v>
      </c>
      <c r="BB19" s="137">
        <f>Z19+'04.30.20'!BB19</f>
        <v>4251.43</v>
      </c>
      <c r="BC19" s="137">
        <f>AA19+'04.30.20'!BC19</f>
        <v>2788.68</v>
      </c>
      <c r="BD19" s="276">
        <f>AB19+'04.30.20'!BD19</f>
        <v>-45.62</v>
      </c>
      <c r="BE19" s="280">
        <f>AC19+'04.30.20'!BE19</f>
        <v>-122.5</v>
      </c>
      <c r="BF19" s="276">
        <f>AD19+'04.30.20'!BF19</f>
        <v>-23.34</v>
      </c>
      <c r="BG19" s="280">
        <f>AE19+'04.30.20'!BG19</f>
        <v>-14.24</v>
      </c>
      <c r="BH19" s="84">
        <f t="shared" si="20"/>
        <v>6834.41</v>
      </c>
      <c r="BI19" s="84">
        <f>AG19+'04.30.20'!BI19</f>
        <v>-1260.49</v>
      </c>
      <c r="BJ19" s="84">
        <f>AH19+'04.30.20'!BJ19</f>
        <v>0</v>
      </c>
      <c r="BK19" s="116">
        <f t="shared" si="21"/>
        <v>-1260.49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35452.050000000003</v>
      </c>
      <c r="G20" s="9">
        <v>0</v>
      </c>
      <c r="H20" s="129">
        <f t="shared" si="0"/>
        <v>35452.050000000003</v>
      </c>
      <c r="I20" s="76">
        <f t="shared" si="1"/>
        <v>9.3713600000000005E-3</v>
      </c>
      <c r="J20" s="128"/>
      <c r="K20" s="128">
        <f t="shared" si="2"/>
        <v>0</v>
      </c>
      <c r="L20" s="128">
        <f t="shared" si="2"/>
        <v>18</v>
      </c>
      <c r="M20" s="9">
        <f t="shared" si="3"/>
        <v>18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35470.050000000003</v>
      </c>
      <c r="S20" s="14">
        <f t="shared" si="7"/>
        <v>42283.199999999997</v>
      </c>
      <c r="T20" s="86">
        <v>20434.91</v>
      </c>
      <c r="U20" s="79">
        <f t="shared" si="8"/>
        <v>9.3713600000000005E-3</v>
      </c>
      <c r="V20" s="315"/>
      <c r="W20" s="315"/>
      <c r="X20" s="204">
        <f t="shared" si="22"/>
        <v>47.6</v>
      </c>
      <c r="Y20" s="268">
        <f t="shared" si="22"/>
        <v>33.4</v>
      </c>
      <c r="Z20" s="124">
        <f t="shared" si="9"/>
        <v>81</v>
      </c>
      <c r="AA20" s="268">
        <f t="shared" si="10"/>
        <v>11.7</v>
      </c>
      <c r="AB20" s="204">
        <f t="shared" si="10"/>
        <v>-7.16</v>
      </c>
      <c r="AC20" s="268">
        <f t="shared" si="10"/>
        <v>0</v>
      </c>
      <c r="AD20" s="204">
        <f t="shared" si="10"/>
        <v>0</v>
      </c>
      <c r="AE20" s="268">
        <f t="shared" si="10"/>
        <v>-0.18</v>
      </c>
      <c r="AF20" s="7">
        <f t="shared" si="11"/>
        <v>85.36</v>
      </c>
      <c r="AG20" s="7">
        <f t="shared" si="12"/>
        <v>-40.28</v>
      </c>
      <c r="AH20" s="7">
        <v>0</v>
      </c>
      <c r="AI20" s="124">
        <f t="shared" si="13"/>
        <v>-40.28</v>
      </c>
      <c r="AJ20" s="14">
        <f t="shared" si="14"/>
        <v>20479.990000000002</v>
      </c>
      <c r="AK20" s="283"/>
      <c r="AL20" s="284"/>
      <c r="AM20" s="33">
        <f t="shared" si="15"/>
        <v>55950.04</v>
      </c>
      <c r="AN20" s="33">
        <f t="shared" si="16"/>
        <v>66444.53</v>
      </c>
      <c r="AO20" s="83"/>
      <c r="AP20" s="114">
        <v>33265.06</v>
      </c>
      <c r="AQ20" s="186">
        <v>39595.49</v>
      </c>
      <c r="AR20" s="192">
        <f>G20+'04.30.20'!AR20</f>
        <v>0</v>
      </c>
      <c r="AS20" s="114">
        <f t="shared" si="17"/>
        <v>10494.49</v>
      </c>
      <c r="AT20" s="137">
        <f>K20+'04.30.20'!AT20</f>
        <v>0</v>
      </c>
      <c r="AU20" s="137">
        <f>L20+'04.30.20'!AU20</f>
        <v>771.37</v>
      </c>
      <c r="AV20" s="84">
        <f t="shared" si="18"/>
        <v>771.37</v>
      </c>
      <c r="AW20" s="84">
        <f>N20+'04.30.20'!AW20</f>
        <v>0</v>
      </c>
      <c r="AX20" s="84">
        <f>O20+'04.30.20'!AX20</f>
        <v>0</v>
      </c>
      <c r="AY20" s="84">
        <f>P20+'04.30.20'!AY20</f>
        <v>0</v>
      </c>
      <c r="AZ20" s="84">
        <f t="shared" si="19"/>
        <v>0</v>
      </c>
      <c r="BA20" s="224">
        <v>18417.12</v>
      </c>
      <c r="BB20" s="137">
        <f>Z20+'04.30.20'!BB20</f>
        <v>1573.41</v>
      </c>
      <c r="BC20" s="137">
        <f>AA20+'04.30.20'!BC20</f>
        <v>1032.07</v>
      </c>
      <c r="BD20" s="276">
        <f>AB20+'04.30.20'!BD20</f>
        <v>-16.88</v>
      </c>
      <c r="BE20" s="280">
        <f>AC20+'04.30.20'!BE20</f>
        <v>-45.33</v>
      </c>
      <c r="BF20" s="276">
        <f>AD20+'04.30.20'!BF20</f>
        <v>-8.64</v>
      </c>
      <c r="BG20" s="280">
        <f>AE20+'04.30.20'!BG20</f>
        <v>-5.27</v>
      </c>
      <c r="BH20" s="84">
        <f t="shared" si="20"/>
        <v>2529.36</v>
      </c>
      <c r="BI20" s="84">
        <f>AG20+'04.30.20'!BI20</f>
        <v>-466.49</v>
      </c>
      <c r="BJ20" s="84">
        <f>AH20+'04.30.20'!BJ20</f>
        <v>0</v>
      </c>
      <c r="BK20" s="116">
        <f t="shared" si="21"/>
        <v>-466.49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546596.37</v>
      </c>
      <c r="G21" s="9">
        <v>0</v>
      </c>
      <c r="H21" s="129">
        <f t="shared" si="0"/>
        <v>546596.37</v>
      </c>
      <c r="I21" s="76">
        <f t="shared" si="1"/>
        <v>0.14448669</v>
      </c>
      <c r="J21" s="128"/>
      <c r="K21" s="128">
        <f t="shared" si="2"/>
        <v>0</v>
      </c>
      <c r="L21" s="128">
        <f t="shared" si="2"/>
        <v>277.45</v>
      </c>
      <c r="M21" s="9">
        <f t="shared" si="3"/>
        <v>277.45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546873.81999999995</v>
      </c>
      <c r="S21" s="14">
        <f t="shared" si="7"/>
        <v>651918.31999999995</v>
      </c>
      <c r="T21" s="86">
        <v>518818.09</v>
      </c>
      <c r="U21" s="79">
        <f t="shared" si="8"/>
        <v>0.14448669</v>
      </c>
      <c r="V21" s="203"/>
      <c r="W21" s="264"/>
      <c r="X21" s="204">
        <f t="shared" si="22"/>
        <v>733.9</v>
      </c>
      <c r="Y21" s="268">
        <f t="shared" si="22"/>
        <v>514.9</v>
      </c>
      <c r="Z21" s="124">
        <f t="shared" si="9"/>
        <v>1248.8</v>
      </c>
      <c r="AA21" s="268">
        <f t="shared" si="10"/>
        <v>180.43</v>
      </c>
      <c r="AB21" s="204">
        <f t="shared" si="10"/>
        <v>-110.36</v>
      </c>
      <c r="AC21" s="268">
        <f t="shared" si="10"/>
        <v>0</v>
      </c>
      <c r="AD21" s="204">
        <f t="shared" si="10"/>
        <v>0</v>
      </c>
      <c r="AE21" s="268">
        <f t="shared" si="10"/>
        <v>-2.75</v>
      </c>
      <c r="AF21" s="7">
        <f t="shared" si="11"/>
        <v>1316.12</v>
      </c>
      <c r="AG21" s="7">
        <f t="shared" si="12"/>
        <v>-621.08000000000004</v>
      </c>
      <c r="AH21" s="7">
        <v>0</v>
      </c>
      <c r="AI21" s="124">
        <f t="shared" si="13"/>
        <v>-621.08000000000004</v>
      </c>
      <c r="AJ21" s="14">
        <f t="shared" si="14"/>
        <v>519513.13</v>
      </c>
      <c r="AK21" s="285"/>
      <c r="AL21" s="236"/>
      <c r="AM21" s="33">
        <f t="shared" si="15"/>
        <v>1066386.95</v>
      </c>
      <c r="AN21" s="33">
        <f t="shared" si="16"/>
        <v>1264815.55</v>
      </c>
      <c r="AO21" s="83"/>
      <c r="AP21" s="114">
        <v>512877.8</v>
      </c>
      <c r="AQ21" s="186">
        <v>610479.87</v>
      </c>
      <c r="AR21" s="192">
        <f>G21+'04.30.20'!AR21</f>
        <v>0</v>
      </c>
      <c r="AS21" s="114">
        <f t="shared" si="17"/>
        <v>198428.6</v>
      </c>
      <c r="AT21" s="137">
        <f>K21+'04.30.20'!AT21</f>
        <v>0</v>
      </c>
      <c r="AU21" s="137">
        <f>L21+'04.30.20'!AU21</f>
        <v>11892.58</v>
      </c>
      <c r="AV21" s="84">
        <f t="shared" si="18"/>
        <v>11892.58</v>
      </c>
      <c r="AW21" s="84">
        <f>N21+'04.30.20'!AW21</f>
        <v>0</v>
      </c>
      <c r="AX21" s="84">
        <f>O21+'04.30.20'!AX21</f>
        <v>0</v>
      </c>
      <c r="AY21" s="84">
        <f>P21+'04.30.20'!AY21</f>
        <v>0</v>
      </c>
      <c r="AZ21" s="84">
        <f t="shared" si="19"/>
        <v>0</v>
      </c>
      <c r="BA21" s="224">
        <v>492992.17</v>
      </c>
      <c r="BB21" s="137">
        <f>Z21+'04.30.20'!BB21</f>
        <v>24258.68</v>
      </c>
      <c r="BC21" s="137">
        <f>AA21+'04.30.20'!BC21</f>
        <v>15912.18</v>
      </c>
      <c r="BD21" s="276">
        <f>AB21+'04.30.20'!BD21</f>
        <v>-260.33</v>
      </c>
      <c r="BE21" s="280">
        <f>AC21+'04.30.20'!BE21</f>
        <v>-698.94</v>
      </c>
      <c r="BF21" s="276">
        <f>AD21+'04.30.20'!BF21</f>
        <v>-133.22</v>
      </c>
      <c r="BG21" s="280">
        <f>AE21+'04.30.20'!BG21</f>
        <v>-81.180000000000007</v>
      </c>
      <c r="BH21" s="84">
        <f t="shared" si="20"/>
        <v>38997.19</v>
      </c>
      <c r="BI21" s="84">
        <f>AG21+'04.30.20'!BI21</f>
        <v>-7192.35</v>
      </c>
      <c r="BJ21" s="84">
        <f>AH21+'04.30.20'!BJ21</f>
        <v>-5283.88</v>
      </c>
      <c r="BK21" s="116">
        <f t="shared" si="21"/>
        <v>-12476.23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559436.39</v>
      </c>
      <c r="G22" s="9">
        <v>0</v>
      </c>
      <c r="H22" s="129">
        <f t="shared" si="0"/>
        <v>559436.39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283.97000000000003</v>
      </c>
      <c r="M22" s="9">
        <f t="shared" si="3"/>
        <v>283.97000000000003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559720.36</v>
      </c>
      <c r="S22" s="14">
        <f t="shared" si="7"/>
        <v>667232.43999999994</v>
      </c>
      <c r="T22" s="86">
        <v>453129.42</v>
      </c>
      <c r="U22" s="79">
        <f t="shared" si="8"/>
        <v>0.14788081</v>
      </c>
      <c r="V22" s="316"/>
      <c r="W22" s="317"/>
      <c r="X22" s="204">
        <f t="shared" si="22"/>
        <v>751.14</v>
      </c>
      <c r="Y22" s="268">
        <f t="shared" si="22"/>
        <v>527</v>
      </c>
      <c r="Z22" s="124">
        <f t="shared" si="9"/>
        <v>1278.1400000000001</v>
      </c>
      <c r="AA22" s="268">
        <f t="shared" si="10"/>
        <v>184.66</v>
      </c>
      <c r="AB22" s="204">
        <f t="shared" si="10"/>
        <v>-112.95</v>
      </c>
      <c r="AC22" s="268">
        <f t="shared" si="10"/>
        <v>0</v>
      </c>
      <c r="AD22" s="204">
        <f t="shared" si="10"/>
        <v>0</v>
      </c>
      <c r="AE22" s="268">
        <f t="shared" si="10"/>
        <v>-2.81</v>
      </c>
      <c r="AF22" s="7">
        <f t="shared" si="11"/>
        <v>1347.04</v>
      </c>
      <c r="AG22" s="7">
        <f t="shared" si="12"/>
        <v>-635.66999999999996</v>
      </c>
      <c r="AH22" s="7">
        <v>0</v>
      </c>
      <c r="AI22" s="124">
        <f t="shared" si="13"/>
        <v>-635.66999999999996</v>
      </c>
      <c r="AJ22" s="14">
        <f t="shared" si="14"/>
        <v>453840.79</v>
      </c>
      <c r="AK22" s="283"/>
      <c r="AL22" s="284"/>
      <c r="AM22" s="33">
        <f t="shared" si="15"/>
        <v>1013561.15</v>
      </c>
      <c r="AN22" s="33">
        <f t="shared" si="16"/>
        <v>1202652.52</v>
      </c>
      <c r="AO22" s="83"/>
      <c r="AP22" s="114">
        <v>524925.73</v>
      </c>
      <c r="AQ22" s="186">
        <v>624820.56000000006</v>
      </c>
      <c r="AR22" s="192">
        <f>G22+'04.30.20'!AR22</f>
        <v>0</v>
      </c>
      <c r="AS22" s="114">
        <f t="shared" si="17"/>
        <v>189091.37</v>
      </c>
      <c r="AT22" s="137">
        <f>K22+'04.30.20'!AT22</f>
        <v>0</v>
      </c>
      <c r="AU22" s="137">
        <f>L22+'04.30.20'!AU22</f>
        <v>12171.95</v>
      </c>
      <c r="AV22" s="84">
        <f t="shared" si="18"/>
        <v>12171.95</v>
      </c>
      <c r="AW22" s="84">
        <f>N22+'04.30.20'!AW22</f>
        <v>0</v>
      </c>
      <c r="AX22" s="84">
        <f>O22+'04.30.20'!AX22</f>
        <v>0</v>
      </c>
      <c r="AY22" s="84">
        <f>P22+'04.30.20'!AY22</f>
        <v>0</v>
      </c>
      <c r="AZ22" s="84">
        <f t="shared" si="19"/>
        <v>0</v>
      </c>
      <c r="BA22" s="224">
        <v>421288.81</v>
      </c>
      <c r="BB22" s="137">
        <f>Z22+'04.30.20'!BB22</f>
        <v>24828.54</v>
      </c>
      <c r="BC22" s="137">
        <f>AA22+'04.30.20'!BC22</f>
        <v>16285.97</v>
      </c>
      <c r="BD22" s="276">
        <f>AB22+'04.30.20'!BD22</f>
        <v>-266.44</v>
      </c>
      <c r="BE22" s="280">
        <f>AC22+'04.30.20'!BE22</f>
        <v>-715.35</v>
      </c>
      <c r="BF22" s="276">
        <f>AD22+'04.30.20'!BF22</f>
        <v>-136.35</v>
      </c>
      <c r="BG22" s="280">
        <f>AE22+'04.30.20'!BG22</f>
        <v>-83.09</v>
      </c>
      <c r="BH22" s="84">
        <f t="shared" si="20"/>
        <v>39913.279999999999</v>
      </c>
      <c r="BI22" s="84">
        <f>AG22+'04.30.20'!BI22</f>
        <v>-7361.3</v>
      </c>
      <c r="BJ22" s="84">
        <f>AH22+'04.30.20'!BJ22</f>
        <v>0</v>
      </c>
      <c r="BK22" s="116">
        <f t="shared" si="21"/>
        <v>-7361.3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2893.47</v>
      </c>
      <c r="G23" s="9">
        <v>0</v>
      </c>
      <c r="H23" s="129">
        <f t="shared" si="0"/>
        <v>2893.47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1.47</v>
      </c>
      <c r="M23" s="9">
        <f t="shared" si="3"/>
        <v>1.47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2894.94</v>
      </c>
      <c r="S23" s="14">
        <f t="shared" si="7"/>
        <v>3451.01</v>
      </c>
      <c r="T23" s="86">
        <v>2175.85</v>
      </c>
      <c r="U23" s="79">
        <f t="shared" si="8"/>
        <v>7.6486000000000002E-4</v>
      </c>
      <c r="V23" s="203"/>
      <c r="W23" s="264"/>
      <c r="X23" s="204">
        <f t="shared" si="22"/>
        <v>3.89</v>
      </c>
      <c r="Y23" s="268">
        <f t="shared" si="22"/>
        <v>2.73</v>
      </c>
      <c r="Z23" s="124">
        <f t="shared" si="9"/>
        <v>6.62</v>
      </c>
      <c r="AA23" s="268">
        <f t="shared" si="10"/>
        <v>0.96</v>
      </c>
      <c r="AB23" s="204">
        <f t="shared" si="10"/>
        <v>-0.57999999999999996</v>
      </c>
      <c r="AC23" s="268">
        <f t="shared" si="10"/>
        <v>0</v>
      </c>
      <c r="AD23" s="204">
        <f t="shared" si="10"/>
        <v>0</v>
      </c>
      <c r="AE23" s="268">
        <f t="shared" si="10"/>
        <v>-0.01</v>
      </c>
      <c r="AF23" s="7">
        <f t="shared" si="11"/>
        <v>6.99</v>
      </c>
      <c r="AG23" s="7">
        <f t="shared" si="12"/>
        <v>-3.29</v>
      </c>
      <c r="AH23" s="7">
        <v>0</v>
      </c>
      <c r="AI23" s="124">
        <f t="shared" si="13"/>
        <v>-3.29</v>
      </c>
      <c r="AJ23" s="14">
        <f t="shared" si="14"/>
        <v>2179.5500000000002</v>
      </c>
      <c r="AK23" s="285"/>
      <c r="AL23" s="236"/>
      <c r="AM23" s="33">
        <f t="shared" si="15"/>
        <v>5074.49</v>
      </c>
      <c r="AN23" s="33">
        <f t="shared" si="16"/>
        <v>6022.34</v>
      </c>
      <c r="AO23" s="83"/>
      <c r="AP23" s="114">
        <v>2714.97</v>
      </c>
      <c r="AQ23" s="186">
        <v>3231.64</v>
      </c>
      <c r="AR23" s="192">
        <f>G23+'04.30.20'!AR23</f>
        <v>0</v>
      </c>
      <c r="AS23" s="114">
        <f t="shared" si="17"/>
        <v>947.85</v>
      </c>
      <c r="AT23" s="137">
        <f>K23+'04.30.20'!AT23</f>
        <v>0</v>
      </c>
      <c r="AU23" s="137">
        <f>L23+'04.30.20'!AU23</f>
        <v>62.95</v>
      </c>
      <c r="AV23" s="84">
        <f t="shared" si="18"/>
        <v>62.95</v>
      </c>
      <c r="AW23" s="84">
        <f>N23+'04.30.20'!AW23</f>
        <v>0</v>
      </c>
      <c r="AX23" s="84">
        <f>O23+'04.30.20'!AX23</f>
        <v>0</v>
      </c>
      <c r="AY23" s="84">
        <f>P23+'04.30.20'!AY23</f>
        <v>0</v>
      </c>
      <c r="AZ23" s="84">
        <f t="shared" si="19"/>
        <v>0</v>
      </c>
      <c r="BA23" s="224">
        <v>2011.18</v>
      </c>
      <c r="BB23" s="137">
        <f>Z23+'04.30.20'!BB23</f>
        <v>128.41999999999999</v>
      </c>
      <c r="BC23" s="137">
        <f>AA23+'04.30.20'!BC23</f>
        <v>84.25</v>
      </c>
      <c r="BD23" s="276">
        <f>AB23+'04.30.20'!BD23</f>
        <v>-1.38</v>
      </c>
      <c r="BE23" s="280">
        <f>AC23+'04.30.20'!BE23</f>
        <v>-3.7</v>
      </c>
      <c r="BF23" s="276">
        <f>AD23+'04.30.20'!BF23</f>
        <v>-0.71</v>
      </c>
      <c r="BG23" s="280">
        <f>AE23+'04.30.20'!BG23</f>
        <v>-0.43</v>
      </c>
      <c r="BH23" s="84">
        <f t="shared" si="20"/>
        <v>206.45</v>
      </c>
      <c r="BI23" s="84">
        <f>AG23+'04.30.20'!BI23</f>
        <v>-38.08</v>
      </c>
      <c r="BJ23" s="84">
        <f>AH23+'04.30.20'!BJ23</f>
        <v>0</v>
      </c>
      <c r="BK23" s="116">
        <f t="shared" si="21"/>
        <v>-38.08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1518574.77</v>
      </c>
      <c r="G24" s="9">
        <v>0</v>
      </c>
      <c r="H24" s="129">
        <f t="shared" si="0"/>
        <v>1518574.77</v>
      </c>
      <c r="I24" s="76">
        <f>H24/(H$31-1575)+0.00000001</f>
        <v>0.40141842</v>
      </c>
      <c r="J24" s="128"/>
      <c r="K24" s="128">
        <f>$I24*K$31</f>
        <v>0</v>
      </c>
      <c r="L24" s="318">
        <f>($I24*L$31)-0.01</f>
        <v>770.83</v>
      </c>
      <c r="M24" s="9">
        <f t="shared" si="3"/>
        <v>770.83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1519345.6</v>
      </c>
      <c r="S24" s="14">
        <f>(R24/(R$31-1575)*(S$31-1575))-0.01</f>
        <v>1811184.2</v>
      </c>
      <c r="T24" s="86">
        <v>784371.23</v>
      </c>
      <c r="U24" s="79">
        <f t="shared" si="8"/>
        <v>0.40141842</v>
      </c>
      <c r="V24" s="203"/>
      <c r="W24" s="264"/>
      <c r="X24" s="320">
        <f>($U24*X$31)-0.02</f>
        <v>2038.93</v>
      </c>
      <c r="Y24" s="321">
        <f>($U24*Y$31)-0.01</f>
        <v>1430.52</v>
      </c>
      <c r="Z24" s="319">
        <f t="shared" si="9"/>
        <v>3469.45</v>
      </c>
      <c r="AA24" s="321">
        <f>($U24*AA$31)-0.01</f>
        <v>501.26</v>
      </c>
      <c r="AB24" s="320">
        <f>($U24*AB$31)-0.01</f>
        <v>-306.62</v>
      </c>
      <c r="AC24" s="321">
        <f>($U24*AC$31)</f>
        <v>0</v>
      </c>
      <c r="AD24" s="320">
        <f>($U24*AD$31)</f>
        <v>0</v>
      </c>
      <c r="AE24" s="321">
        <f>($U24*AE$31)-0.01</f>
        <v>-7.64</v>
      </c>
      <c r="AF24" s="7">
        <f t="shared" si="11"/>
        <v>3656.45</v>
      </c>
      <c r="AG24" s="7">
        <f>(U24*AG$31)-0.01</f>
        <v>-1725.52</v>
      </c>
      <c r="AH24" s="7">
        <v>0</v>
      </c>
      <c r="AI24" s="319">
        <f t="shared" si="13"/>
        <v>-1725.52</v>
      </c>
      <c r="AJ24" s="14">
        <f t="shared" si="14"/>
        <v>786302.16</v>
      </c>
      <c r="AK24" s="285"/>
      <c r="AL24" s="236"/>
      <c r="AM24" s="33">
        <f t="shared" si="15"/>
        <v>2305647.7599999998</v>
      </c>
      <c r="AN24" s="33">
        <f>((S24+AJ24)+((AJ24/AJ$31)*AO$49))</f>
        <v>2738826.61</v>
      </c>
      <c r="AO24" s="83"/>
      <c r="AP24" s="114">
        <v>1424896.51</v>
      </c>
      <c r="AQ24" s="186">
        <v>1696058.26</v>
      </c>
      <c r="AR24" s="192">
        <f>G24+'04.30.20'!AR24</f>
        <v>0</v>
      </c>
      <c r="AS24" s="114">
        <f t="shared" si="17"/>
        <v>433178.85</v>
      </c>
      <c r="AT24" s="137">
        <f>K24+'04.30.20'!AT24</f>
        <v>0</v>
      </c>
      <c r="AU24" s="137">
        <f>L24+'04.30.20'!AU24</f>
        <v>33040.46</v>
      </c>
      <c r="AV24" s="84">
        <f t="shared" si="18"/>
        <v>33040.46</v>
      </c>
      <c r="AW24" s="84">
        <f>N24+'04.30.20'!AW24</f>
        <v>0</v>
      </c>
      <c r="AX24" s="84">
        <f>O24+'04.30.20'!AX24</f>
        <v>0</v>
      </c>
      <c r="AY24" s="84">
        <f>P24+'04.30.20'!AY24</f>
        <v>0</v>
      </c>
      <c r="AZ24" s="84">
        <f t="shared" si="19"/>
        <v>0</v>
      </c>
      <c r="BA24" s="224">
        <v>698290.76</v>
      </c>
      <c r="BB24" s="137">
        <f>Z24+'04.30.20'!BB24</f>
        <v>67396.36</v>
      </c>
      <c r="BC24" s="137">
        <f>AA24+'04.30.20'!BC24</f>
        <v>44207.76</v>
      </c>
      <c r="BD24" s="276">
        <f>AB24+'04.30.20'!BD24</f>
        <v>-723.29</v>
      </c>
      <c r="BE24" s="280">
        <f>AC24+'04.30.20'!BE24</f>
        <v>-1941.8</v>
      </c>
      <c r="BF24" s="276">
        <f>AD24+'04.30.20'!BF24</f>
        <v>-370.12</v>
      </c>
      <c r="BG24" s="280">
        <f>AE24+'04.30.20'!BG24</f>
        <v>-225.5</v>
      </c>
      <c r="BH24" s="84">
        <f t="shared" si="20"/>
        <v>108343.41</v>
      </c>
      <c r="BI24" s="84">
        <f>AG24+'04.30.20'!BI24</f>
        <v>-19982.009999999998</v>
      </c>
      <c r="BJ24" s="84">
        <f>AH24+'04.30.20'!BJ24</f>
        <v>-350</v>
      </c>
      <c r="BK24" s="116">
        <f t="shared" si="21"/>
        <v>-20332.009999999998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330733.44</v>
      </c>
      <c r="G25" s="9">
        <v>0</v>
      </c>
      <c r="H25" s="129">
        <f t="shared" si="0"/>
        <v>330733.44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167.88</v>
      </c>
      <c r="M25" s="9">
        <f t="shared" si="3"/>
        <v>167.88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330901.32</v>
      </c>
      <c r="S25" s="14">
        <f>(R25/(R$31-1575)*(S$31-1575))</f>
        <v>394461.44</v>
      </c>
      <c r="T25" s="86">
        <v>202546.59</v>
      </c>
      <c r="U25" s="79">
        <f t="shared" si="8"/>
        <v>8.7425719999999998E-2</v>
      </c>
      <c r="V25" s="203"/>
      <c r="W25" s="264"/>
      <c r="X25" s="204">
        <f t="shared" ref="X25:Y28" si="23">$U25*X$31</f>
        <v>444.07</v>
      </c>
      <c r="Y25" s="268">
        <f t="shared" si="23"/>
        <v>311.56</v>
      </c>
      <c r="Z25" s="124">
        <f t="shared" si="9"/>
        <v>755.63</v>
      </c>
      <c r="AA25" s="268">
        <f t="shared" ref="AA25:AE28" si="24">$U25*AA$31</f>
        <v>109.17</v>
      </c>
      <c r="AB25" s="204">
        <f t="shared" si="24"/>
        <v>-66.78</v>
      </c>
      <c r="AC25" s="268">
        <f t="shared" si="24"/>
        <v>0</v>
      </c>
      <c r="AD25" s="204">
        <f t="shared" si="24"/>
        <v>0</v>
      </c>
      <c r="AE25" s="268">
        <f t="shared" si="24"/>
        <v>-1.66</v>
      </c>
      <c r="AF25" s="7">
        <f t="shared" si="11"/>
        <v>796.36</v>
      </c>
      <c r="AG25" s="7">
        <f>U25*AG$31</f>
        <v>-375.8</v>
      </c>
      <c r="AH25" s="7">
        <v>0</v>
      </c>
      <c r="AI25" s="124">
        <f t="shared" si="13"/>
        <v>-375.8</v>
      </c>
      <c r="AJ25" s="14">
        <f t="shared" si="14"/>
        <v>202967.15</v>
      </c>
      <c r="AK25" s="285"/>
      <c r="AL25" s="236"/>
      <c r="AM25" s="33">
        <f t="shared" si="15"/>
        <v>533868.47</v>
      </c>
      <c r="AN25" s="33">
        <f>(S25+AJ25)+((AJ25/AJ$31)*AO$49)</f>
        <v>633912.56999999995</v>
      </c>
      <c r="AO25" s="83"/>
      <c r="AP25" s="114">
        <v>310331.06</v>
      </c>
      <c r="AQ25" s="186">
        <v>369387.93</v>
      </c>
      <c r="AR25" s="192">
        <f>G25+'04.30.20'!AR25</f>
        <v>0</v>
      </c>
      <c r="AS25" s="114">
        <f t="shared" si="17"/>
        <v>100044.1</v>
      </c>
      <c r="AT25" s="137">
        <f>K25+'04.30.20'!AT25</f>
        <v>0</v>
      </c>
      <c r="AU25" s="137">
        <f>L25+'04.30.20'!AU25</f>
        <v>7195.94</v>
      </c>
      <c r="AV25" s="84">
        <f t="shared" si="18"/>
        <v>7195.94</v>
      </c>
      <c r="AW25" s="84">
        <f>N25+'04.30.20'!AW25</f>
        <v>0</v>
      </c>
      <c r="AX25" s="84">
        <f>O25+'04.30.20'!AX25</f>
        <v>0</v>
      </c>
      <c r="AY25" s="84">
        <f>P25+'04.30.20'!AY25</f>
        <v>0</v>
      </c>
      <c r="AZ25" s="84">
        <f t="shared" si="19"/>
        <v>0</v>
      </c>
      <c r="BA25" s="224">
        <v>183722.72</v>
      </c>
      <c r="BB25" s="137">
        <f>Z25+'04.30.20'!BB25</f>
        <v>14678.39</v>
      </c>
      <c r="BC25" s="137">
        <f>AA25+'04.30.20'!BC25</f>
        <v>9628.1200000000008</v>
      </c>
      <c r="BD25" s="276">
        <f>AB25+'04.30.20'!BD25</f>
        <v>-157.52000000000001</v>
      </c>
      <c r="BE25" s="280">
        <f>AC25+'04.30.20'!BE25</f>
        <v>-422.91</v>
      </c>
      <c r="BF25" s="276">
        <f>AD25+'04.30.20'!BF25</f>
        <v>-80.599999999999994</v>
      </c>
      <c r="BG25" s="280">
        <f>AE25+'04.30.20'!BG25</f>
        <v>-49.13</v>
      </c>
      <c r="BH25" s="84">
        <f t="shared" si="20"/>
        <v>23596.35</v>
      </c>
      <c r="BI25" s="84">
        <f>AG25+'04.30.20'!BI25</f>
        <v>-4351.92</v>
      </c>
      <c r="BJ25" s="84">
        <f>AH25+'04.30.20'!BJ25</f>
        <v>0</v>
      </c>
      <c r="BK25" s="116">
        <f t="shared" si="21"/>
        <v>-4351.92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13857.11</v>
      </c>
      <c r="G26" s="9">
        <v>0</v>
      </c>
      <c r="H26" s="129">
        <f t="shared" si="0"/>
        <v>13857.11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7.03</v>
      </c>
      <c r="M26" s="9">
        <f t="shared" si="3"/>
        <v>7.03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13864.14</v>
      </c>
      <c r="S26" s="14">
        <f>(R26/(R$31-1575)*(S$31-1575))</f>
        <v>16527.189999999999</v>
      </c>
      <c r="T26" s="86">
        <v>10223.07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3"/>
        <v>18.61</v>
      </c>
      <c r="Y26" s="268">
        <f t="shared" si="23"/>
        <v>13.05</v>
      </c>
      <c r="Z26" s="124">
        <f t="shared" si="9"/>
        <v>31.66</v>
      </c>
      <c r="AA26" s="268">
        <f t="shared" si="24"/>
        <v>4.57</v>
      </c>
      <c r="AB26" s="204">
        <f t="shared" si="24"/>
        <v>-2.8</v>
      </c>
      <c r="AC26" s="268">
        <f t="shared" si="24"/>
        <v>0</v>
      </c>
      <c r="AD26" s="204">
        <f t="shared" si="24"/>
        <v>0</v>
      </c>
      <c r="AE26" s="268">
        <f t="shared" si="24"/>
        <v>-7.0000000000000007E-2</v>
      </c>
      <c r="AF26" s="7">
        <f t="shared" si="11"/>
        <v>33.36</v>
      </c>
      <c r="AG26" s="7">
        <f>U26*AG$31</f>
        <v>-15.75</v>
      </c>
      <c r="AH26" s="7">
        <v>0</v>
      </c>
      <c r="AI26" s="124">
        <f t="shared" si="13"/>
        <v>-15.75</v>
      </c>
      <c r="AJ26" s="14">
        <f t="shared" si="14"/>
        <v>10240.68</v>
      </c>
      <c r="AK26" s="233"/>
      <c r="AL26" s="284"/>
      <c r="AM26" s="33">
        <f t="shared" si="15"/>
        <v>24104.82</v>
      </c>
      <c r="AN26" s="33">
        <f>(S26+AJ26)+((AJ26/AJ$31)*AO$49)</f>
        <v>28608.66</v>
      </c>
      <c r="AO26" s="83"/>
      <c r="AP26" s="114">
        <v>13002.29</v>
      </c>
      <c r="AQ26" s="186">
        <v>15476.66</v>
      </c>
      <c r="AR26" s="192">
        <f>G26+'04.30.20'!AR26</f>
        <v>0</v>
      </c>
      <c r="AS26" s="114">
        <f t="shared" si="17"/>
        <v>4503.84</v>
      </c>
      <c r="AT26" s="137">
        <f>K26+'04.30.20'!AT26</f>
        <v>0</v>
      </c>
      <c r="AU26" s="137">
        <f>L26+'04.30.20'!AU26</f>
        <v>301.5</v>
      </c>
      <c r="AV26" s="84">
        <f t="shared" si="18"/>
        <v>301.5</v>
      </c>
      <c r="AW26" s="84">
        <f>N26+'04.30.20'!AW26</f>
        <v>0</v>
      </c>
      <c r="AX26" s="84">
        <f>O26+'04.30.20'!AX26</f>
        <v>0</v>
      </c>
      <c r="AY26" s="84">
        <f>P26+'04.30.20'!AY26</f>
        <v>0</v>
      </c>
      <c r="AZ26" s="84">
        <f t="shared" si="19"/>
        <v>0</v>
      </c>
      <c r="BA26" s="224">
        <v>9815.51</v>
      </c>
      <c r="BB26" s="137">
        <f>Z26+'04.30.20'!BB26</f>
        <v>614.98</v>
      </c>
      <c r="BC26" s="137">
        <f>AA26+'04.30.20'!BC26</f>
        <v>403.41</v>
      </c>
      <c r="BD26" s="276">
        <f>AB26+'04.30.20'!BD26</f>
        <v>-6.61</v>
      </c>
      <c r="BE26" s="280">
        <f>AC26+'04.30.20'!BE26</f>
        <v>-17.72</v>
      </c>
      <c r="BF26" s="276">
        <f>AD26+'04.30.20'!BF26</f>
        <v>-3.38</v>
      </c>
      <c r="BG26" s="280">
        <f>AE26+'04.30.20'!BG26</f>
        <v>-2.06</v>
      </c>
      <c r="BH26" s="84">
        <f t="shared" si="20"/>
        <v>988.62</v>
      </c>
      <c r="BI26" s="84">
        <f>AG26+'04.30.20'!BI26</f>
        <v>-182.34</v>
      </c>
      <c r="BJ26" s="84">
        <f>AH26+'04.30.20'!BJ26</f>
        <v>-381.11</v>
      </c>
      <c r="BK26" s="116">
        <f t="shared" si="21"/>
        <v>-563.45000000000005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13671.16</v>
      </c>
      <c r="G27" s="9">
        <v>0</v>
      </c>
      <c r="H27" s="129">
        <f t="shared" si="0"/>
        <v>13671.16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6.94</v>
      </c>
      <c r="M27" s="9">
        <f t="shared" si="3"/>
        <v>6.94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13678.1</v>
      </c>
      <c r="S27" s="14">
        <f>(R27/(R$31-1575)*(S$31-1575))</f>
        <v>16305.41</v>
      </c>
      <c r="T27" s="86">
        <v>7558.49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3"/>
        <v>18.36</v>
      </c>
      <c r="Y27" s="268">
        <f t="shared" si="23"/>
        <v>12.88</v>
      </c>
      <c r="Z27" s="124">
        <f t="shared" si="9"/>
        <v>31.24</v>
      </c>
      <c r="AA27" s="268">
        <f t="shared" si="24"/>
        <v>4.51</v>
      </c>
      <c r="AB27" s="204">
        <f t="shared" si="24"/>
        <v>-2.76</v>
      </c>
      <c r="AC27" s="268">
        <f t="shared" si="24"/>
        <v>0</v>
      </c>
      <c r="AD27" s="204">
        <f t="shared" si="24"/>
        <v>0</v>
      </c>
      <c r="AE27" s="268">
        <f t="shared" si="24"/>
        <v>-7.0000000000000007E-2</v>
      </c>
      <c r="AF27" s="7">
        <f t="shared" si="11"/>
        <v>32.92</v>
      </c>
      <c r="AG27" s="7">
        <f>U27*AG$31</f>
        <v>-15.53</v>
      </c>
      <c r="AH27" s="7">
        <v>0</v>
      </c>
      <c r="AI27" s="124">
        <f t="shared" si="13"/>
        <v>-15.53</v>
      </c>
      <c r="AJ27" s="14">
        <f t="shared" si="14"/>
        <v>7575.88</v>
      </c>
      <c r="AK27" s="233" t="s">
        <v>120</v>
      </c>
      <c r="AL27" s="236" t="s">
        <v>115</v>
      </c>
      <c r="AM27" s="33">
        <f t="shared" si="15"/>
        <v>21253.98</v>
      </c>
      <c r="AN27" s="33">
        <f>(S27+AJ27)+((AJ27/AJ$31)*AO$49)</f>
        <v>25243.08</v>
      </c>
      <c r="AO27" s="83"/>
      <c r="AP27" s="114">
        <v>12827.82</v>
      </c>
      <c r="AQ27" s="186">
        <v>15268.99</v>
      </c>
      <c r="AR27" s="192">
        <f>G27+'04.30.20'!AR27</f>
        <v>0</v>
      </c>
      <c r="AS27" s="114">
        <f t="shared" si="17"/>
        <v>3989.1</v>
      </c>
      <c r="AT27" s="137">
        <f>K27+'04.30.20'!AT27</f>
        <v>0</v>
      </c>
      <c r="AU27" s="137">
        <f>L27+'04.30.20'!AU27</f>
        <v>297.45</v>
      </c>
      <c r="AV27" s="84">
        <f t="shared" si="18"/>
        <v>297.45</v>
      </c>
      <c r="AW27" s="84">
        <f>N27+'04.30.20'!AW27</f>
        <v>0</v>
      </c>
      <c r="AX27" s="84">
        <f>O27+'04.30.20'!AX27</f>
        <v>0</v>
      </c>
      <c r="AY27" s="84">
        <f>P27+'04.30.20'!AY27</f>
        <v>0</v>
      </c>
      <c r="AZ27" s="84">
        <f t="shared" si="19"/>
        <v>0</v>
      </c>
      <c r="BA27" s="224">
        <v>7139.55</v>
      </c>
      <c r="BB27" s="137">
        <f>Z27+'04.30.20'!BB27</f>
        <v>606.75</v>
      </c>
      <c r="BC27" s="137">
        <f>AA27+'04.30.20'!BC27</f>
        <v>397.98</v>
      </c>
      <c r="BD27" s="276">
        <f>AB27+'04.30.20'!BD27</f>
        <v>-6.51</v>
      </c>
      <c r="BE27" s="280">
        <f>AC27+'04.30.20'!BE27</f>
        <v>-17.489999999999998</v>
      </c>
      <c r="BF27" s="276">
        <f>AD27+'04.30.20'!BF27</f>
        <v>-3.33</v>
      </c>
      <c r="BG27" s="280">
        <f>AE27+'04.30.20'!BG27</f>
        <v>-2.0499999999999998</v>
      </c>
      <c r="BH27" s="84">
        <f t="shared" si="20"/>
        <v>975.35</v>
      </c>
      <c r="BI27" s="84">
        <f>AG27+'04.30.20'!BI27</f>
        <v>-179.89</v>
      </c>
      <c r="BJ27" s="84">
        <f>AH27+'04.30.20'!BJ27</f>
        <v>-359.13</v>
      </c>
      <c r="BK27" s="116">
        <f t="shared" si="21"/>
        <v>-539.02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3"/>
        <v>0</v>
      </c>
      <c r="Y28" s="268">
        <f t="shared" si="23"/>
        <v>0</v>
      </c>
      <c r="Z28" s="124">
        <f t="shared" si="9"/>
        <v>0</v>
      </c>
      <c r="AA28" s="268">
        <f t="shared" si="24"/>
        <v>0</v>
      </c>
      <c r="AB28" s="204">
        <f t="shared" si="24"/>
        <v>0</v>
      </c>
      <c r="AC28" s="268">
        <f t="shared" si="24"/>
        <v>0</v>
      </c>
      <c r="AD28" s="204">
        <f t="shared" si="24"/>
        <v>0</v>
      </c>
      <c r="AE28" s="268">
        <f t="shared" si="24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G28+'04.30.20'!AR28</f>
        <v>0</v>
      </c>
      <c r="AS28" s="114">
        <f t="shared" si="17"/>
        <v>0</v>
      </c>
      <c r="AT28" s="137">
        <f>K28+'04.30.20'!AT28</f>
        <v>0</v>
      </c>
      <c r="AU28" s="137">
        <f>L28+'04.30.20'!AU28</f>
        <v>0</v>
      </c>
      <c r="AV28" s="84">
        <f t="shared" si="18"/>
        <v>0</v>
      </c>
      <c r="AW28" s="84">
        <f>N28+'04.30.20'!AW28</f>
        <v>0</v>
      </c>
      <c r="AX28" s="84">
        <f>O28+'04.30.20'!AX28</f>
        <v>0</v>
      </c>
      <c r="AY28" s="84">
        <f>P28+'04.30.20'!AY28</f>
        <v>0</v>
      </c>
      <c r="AZ28" s="84">
        <f t="shared" si="19"/>
        <v>0</v>
      </c>
      <c r="BA28" s="224">
        <v>0</v>
      </c>
      <c r="BB28" s="137">
        <f>Z28+'04.30.20'!BB28</f>
        <v>0</v>
      </c>
      <c r="BC28" s="137">
        <f>AA28+'04.30.20'!BC28</f>
        <v>0</v>
      </c>
      <c r="BD28" s="276">
        <f>AB28+'04.30.20'!BD28</f>
        <v>0</v>
      </c>
      <c r="BE28" s="280">
        <f>AC28+'04.30.20'!BE28</f>
        <v>0</v>
      </c>
      <c r="BF28" s="276">
        <f>AD28+'04.30.20'!BF28</f>
        <v>0</v>
      </c>
      <c r="BG28" s="280">
        <f>AE28+'04.30.20'!BG28</f>
        <v>0</v>
      </c>
      <c r="BH28" s="84">
        <f t="shared" si="20"/>
        <v>0</v>
      </c>
      <c r="BI28" s="84">
        <f>AG28+'04.30.20'!BI28</f>
        <v>0</v>
      </c>
      <c r="BJ28" s="84">
        <f>AH28+'04.30.20'!BJ28</f>
        <v>0</v>
      </c>
      <c r="BK28" s="116">
        <f t="shared" si="21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3784597.19</v>
      </c>
      <c r="G31" s="48">
        <f>SUM(G12:G29)</f>
        <v>0</v>
      </c>
      <c r="H31" s="130">
        <f>SUM(H12:H29)</f>
        <v>3784597.19</v>
      </c>
      <c r="I31" s="78">
        <f>SUM(I12:I30)</f>
        <v>1</v>
      </c>
      <c r="J31" s="115"/>
      <c r="K31" s="115">
        <v>0</v>
      </c>
      <c r="L31" s="115">
        <f>D57</f>
        <v>1920.28</v>
      </c>
      <c r="M31" s="48">
        <f>SUM(M12:M29)</f>
        <v>1920.28</v>
      </c>
      <c r="N31" s="48">
        <f>D51</f>
        <v>0</v>
      </c>
      <c r="O31" s="48">
        <f>D53</f>
        <v>0</v>
      </c>
      <c r="P31" s="48">
        <f>SUM(P12:P29)</f>
        <v>0</v>
      </c>
      <c r="Q31" s="115">
        <f>SUM(Q12:Q29)</f>
        <v>0</v>
      </c>
      <c r="R31" s="48">
        <f>SUM(R12:R29)</f>
        <v>3786517.47</v>
      </c>
      <c r="S31" s="49">
        <f>R31+AO45</f>
        <v>4513535.97</v>
      </c>
      <c r="T31" s="50">
        <f>SUM(T12:T29)</f>
        <v>2644710.7599999998</v>
      </c>
      <c r="U31" s="51">
        <f>SUM(U12:U30)</f>
        <v>1</v>
      </c>
      <c r="V31" s="206">
        <v>0</v>
      </c>
      <c r="W31" s="306">
        <v>2644710.7599999998</v>
      </c>
      <c r="X31" s="206">
        <f>D48+D49</f>
        <v>5079.37</v>
      </c>
      <c r="Y31" s="266">
        <f>E48+E49</f>
        <v>3563.68</v>
      </c>
      <c r="Z31" s="115">
        <f>SUM(Z12:Z29)</f>
        <v>8643.0499999999993</v>
      </c>
      <c r="AA31" s="272">
        <f>E57</f>
        <v>1248.74</v>
      </c>
      <c r="AB31" s="210">
        <f>D59</f>
        <v>-763.82</v>
      </c>
      <c r="AC31" s="272">
        <f>E59</f>
        <v>0</v>
      </c>
      <c r="AD31" s="210">
        <f>D55</f>
        <v>0</v>
      </c>
      <c r="AE31" s="272">
        <f>E55</f>
        <v>-19</v>
      </c>
      <c r="AF31" s="48">
        <f>SUM(AF12:AF29)</f>
        <v>9108.9699999999993</v>
      </c>
      <c r="AG31" s="48">
        <f>E53+E54</f>
        <v>-4298.54</v>
      </c>
      <c r="AH31" s="115">
        <f>SUM(AH12:AH30)</f>
        <v>0</v>
      </c>
      <c r="AI31" s="115">
        <f>SUM(AI12:AI30)</f>
        <v>-4298.54</v>
      </c>
      <c r="AJ31" s="52">
        <f>SUM(AJ12:AJ30)</f>
        <v>2649521.19</v>
      </c>
      <c r="AK31" s="210">
        <f>V31+X31+AB31+AD31+D50</f>
        <v>135.62</v>
      </c>
      <c r="AL31" s="305">
        <f>W31+Y31+AA31+AC31+AE31++AG31+AH31+E50</f>
        <v>2649385.5699999998</v>
      </c>
      <c r="AM31" s="35">
        <f>SUM(AM12:AM29)</f>
        <v>6436038.6600000001</v>
      </c>
      <c r="AN31" s="35">
        <f>D46+E46+1575</f>
        <v>7639316.8200000003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25">SUM(AS12:AS29)</f>
        <v>1203278.1599999999</v>
      </c>
      <c r="AT31" s="115">
        <v>0</v>
      </c>
      <c r="AU31" s="115">
        <f t="shared" si="25"/>
        <v>82309.22</v>
      </c>
      <c r="AV31" s="48">
        <f t="shared" si="25"/>
        <v>82309.22</v>
      </c>
      <c r="AW31" s="48">
        <f t="shared" si="25"/>
        <v>0</v>
      </c>
      <c r="AX31" s="48">
        <f t="shared" si="25"/>
        <v>0</v>
      </c>
      <c r="AY31" s="48">
        <f t="shared" si="25"/>
        <v>0</v>
      </c>
      <c r="AZ31" s="48">
        <f t="shared" si="25"/>
        <v>0</v>
      </c>
      <c r="BA31" s="200">
        <f t="shared" si="25"/>
        <v>2442372.21</v>
      </c>
      <c r="BB31" s="115">
        <f t="shared" si="25"/>
        <v>167895.55</v>
      </c>
      <c r="BC31" s="115">
        <f t="shared" si="25"/>
        <v>110129.07</v>
      </c>
      <c r="BD31" s="210">
        <f t="shared" si="25"/>
        <v>-1801.79</v>
      </c>
      <c r="BE31" s="272">
        <f t="shared" si="25"/>
        <v>-4837.3999999999996</v>
      </c>
      <c r="BF31" s="210">
        <f t="shared" si="25"/>
        <v>-922.02</v>
      </c>
      <c r="BG31" s="272">
        <f t="shared" si="25"/>
        <v>-561.88</v>
      </c>
      <c r="BH31" s="48">
        <f t="shared" si="25"/>
        <v>269901.53000000003</v>
      </c>
      <c r="BI31" s="48">
        <f t="shared" si="25"/>
        <v>-49778.59</v>
      </c>
      <c r="BJ31" s="48">
        <f t="shared" si="25"/>
        <v>-12973.96</v>
      </c>
      <c r="BK31" s="73">
        <f t="shared" si="25"/>
        <v>-62752.55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3783022.19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3784942.47</v>
      </c>
      <c r="S34" s="259">
        <f>S31+S33</f>
        <v>4511960.97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6434463.6600000001</v>
      </c>
      <c r="AN34" s="259">
        <f>AN31+AN33</f>
        <v>7637741.8200000003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'04.30.20'!R31</f>
        <v>3784597.19</v>
      </c>
      <c r="G38" s="121">
        <f>SUM(G12:G29)</f>
        <v>0</v>
      </c>
      <c r="H38" s="121">
        <f>F31+G31+P31</f>
        <v>3784597.19</v>
      </c>
      <c r="I38" s="144">
        <v>1</v>
      </c>
      <c r="J38" s="121"/>
      <c r="K38" s="121">
        <f>SUM(K12:K29)</f>
        <v>0</v>
      </c>
      <c r="L38" s="121">
        <f>SUM(L12:L29)</f>
        <v>1920.28</v>
      </c>
      <c r="M38" s="121">
        <f>K31+L31</f>
        <v>1920.28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3786517.47</v>
      </c>
      <c r="S38" s="121">
        <f>SUM(S12:S29)</f>
        <v>4513535.97</v>
      </c>
      <c r="T38" s="121">
        <f>'04.30.20'!AJ31</f>
        <v>2644710.7599999998</v>
      </c>
      <c r="U38" s="144">
        <v>1</v>
      </c>
      <c r="V38" s="229"/>
      <c r="W38" s="198"/>
      <c r="X38" s="121">
        <f t="shared" ref="X38:AE38" si="26">SUM(X12:X29)</f>
        <v>5079.37</v>
      </c>
      <c r="Y38" s="121">
        <f t="shared" si="26"/>
        <v>3563.68</v>
      </c>
      <c r="Z38" s="121">
        <f t="shared" si="26"/>
        <v>8643.0499999999993</v>
      </c>
      <c r="AA38" s="121">
        <f t="shared" si="26"/>
        <v>1248.74</v>
      </c>
      <c r="AB38" s="121">
        <f t="shared" si="26"/>
        <v>-763.82</v>
      </c>
      <c r="AC38" s="121">
        <f t="shared" si="26"/>
        <v>0</v>
      </c>
      <c r="AD38" s="121">
        <f t="shared" si="26"/>
        <v>0</v>
      </c>
      <c r="AE38" s="121">
        <f t="shared" si="26"/>
        <v>-19</v>
      </c>
      <c r="AF38" s="121">
        <f>SUM(Z31:AE31)</f>
        <v>9108.9699999999993</v>
      </c>
      <c r="AG38" s="121">
        <f>SUM(AG12:AG29)</f>
        <v>-4298.54</v>
      </c>
      <c r="AH38" s="121">
        <f>SUM(AH12:AH29)</f>
        <v>0</v>
      </c>
      <c r="AI38" s="121">
        <f>AG38+AH38</f>
        <v>-4298.54</v>
      </c>
      <c r="AJ38" s="121">
        <f>T31+AF31+AI31</f>
        <v>2649521.19</v>
      </c>
      <c r="AK38" s="149"/>
      <c r="AL38" s="121"/>
      <c r="AM38" s="121">
        <f>R31+AJ31</f>
        <v>6436038.6600000001</v>
      </c>
      <c r="AN38" s="121">
        <f>SUM(AN12:AN29)</f>
        <v>7639316.8200000003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1920.28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9108.9699999999993</v>
      </c>
      <c r="BI38" s="146">
        <f>AG31</f>
        <v>-4298.54</v>
      </c>
      <c r="BJ38" s="146">
        <f>AH31</f>
        <v>0</v>
      </c>
      <c r="BK38" s="146">
        <f>AI31</f>
        <v>-4298.54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27">AV31-AV38</f>
        <v>80388.94</v>
      </c>
      <c r="AW40" s="149">
        <f t="shared" si="27"/>
        <v>0</v>
      </c>
      <c r="AX40" s="149">
        <f t="shared" si="27"/>
        <v>0</v>
      </c>
      <c r="AY40" s="149">
        <f t="shared" si="27"/>
        <v>0</v>
      </c>
      <c r="AZ40" s="149">
        <f t="shared" si="27"/>
        <v>0</v>
      </c>
      <c r="BH40" s="149">
        <f t="shared" ref="BH40:BK40" si="28">BH31-BH38</f>
        <v>260792.56</v>
      </c>
      <c r="BI40" s="149">
        <f t="shared" si="28"/>
        <v>-45480.05</v>
      </c>
      <c r="BJ40" s="149">
        <f t="shared" si="28"/>
        <v>-12973.96</v>
      </c>
      <c r="BK40" s="149">
        <f t="shared" si="28"/>
        <v>-58454.01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'04.30.20'!AR31</f>
        <v>0</v>
      </c>
      <c r="AS41" s="141"/>
      <c r="AT41" s="141"/>
      <c r="AU41" s="141"/>
      <c r="AV41" s="141">
        <f>'04.30.20'!AV31</f>
        <v>80388.94</v>
      </c>
      <c r="AW41" s="141">
        <f>'04.30.20'!AW31</f>
        <v>0</v>
      </c>
      <c r="AX41" s="141">
        <f>'04.30.20'!AX31</f>
        <v>0</v>
      </c>
      <c r="AY41" s="141">
        <f>'04.30.20'!AY31</f>
        <v>0</v>
      </c>
      <c r="AZ41" s="141">
        <f>'04.30.20'!AZ31</f>
        <v>0</v>
      </c>
      <c r="BA41" s="181"/>
      <c r="BB41" s="181"/>
      <c r="BC41" s="181"/>
      <c r="BD41" s="181"/>
      <c r="BE41" s="181"/>
      <c r="BF41" s="181"/>
      <c r="BG41" s="181"/>
      <c r="BH41" s="141">
        <f>'04.30.20'!BH31</f>
        <v>260792.56</v>
      </c>
      <c r="BI41" s="141">
        <f>'04.30.20'!BI31</f>
        <v>-45480.05</v>
      </c>
      <c r="BJ41" s="141">
        <f>'04.30.20'!BJ31</f>
        <v>-12973.96</v>
      </c>
      <c r="BK41" s="141">
        <f>'04.30.20'!BK31</f>
        <v>-58454.01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29">K31-K38</f>
        <v>0</v>
      </c>
      <c r="L42" s="298">
        <f t="shared" si="29"/>
        <v>0</v>
      </c>
      <c r="M42" s="298">
        <f t="shared" si="29"/>
        <v>0</v>
      </c>
      <c r="N42" s="298">
        <f t="shared" si="29"/>
        <v>0</v>
      </c>
      <c r="O42" s="298">
        <f t="shared" si="29"/>
        <v>0</v>
      </c>
      <c r="P42" s="298">
        <f t="shared" si="29"/>
        <v>0</v>
      </c>
      <c r="Q42" s="298">
        <f t="shared" si="29"/>
        <v>0</v>
      </c>
      <c r="R42" s="298">
        <f t="shared" si="29"/>
        <v>0</v>
      </c>
      <c r="S42" s="298">
        <f t="shared" si="29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0">X31-X38</f>
        <v>0</v>
      </c>
      <c r="Y42" s="298">
        <f t="shared" si="30"/>
        <v>0</v>
      </c>
      <c r="Z42" s="298">
        <f t="shared" si="30"/>
        <v>0</v>
      </c>
      <c r="AA42" s="298">
        <f t="shared" si="30"/>
        <v>0</v>
      </c>
      <c r="AB42" s="298">
        <f t="shared" si="30"/>
        <v>0</v>
      </c>
      <c r="AC42" s="298">
        <f t="shared" si="30"/>
        <v>0</v>
      </c>
      <c r="AD42" s="298">
        <f t="shared" si="30"/>
        <v>0</v>
      </c>
      <c r="AE42" s="298">
        <f t="shared" si="30"/>
        <v>0</v>
      </c>
      <c r="AF42" s="298">
        <f t="shared" si="30"/>
        <v>0</v>
      </c>
      <c r="AG42" s="298">
        <f>AG31-AG38</f>
        <v>0</v>
      </c>
      <c r="AH42" s="298">
        <f>AH31-AH38</f>
        <v>0</v>
      </c>
      <c r="AI42" s="298">
        <f t="shared" si="30"/>
        <v>0</v>
      </c>
      <c r="AJ42" s="298">
        <f t="shared" si="30"/>
        <v>0</v>
      </c>
      <c r="AK42" s="303"/>
      <c r="AL42" s="302"/>
      <c r="AM42" s="298">
        <f t="shared" si="30"/>
        <v>0</v>
      </c>
      <c r="AN42" s="298">
        <f t="shared" si="30"/>
        <v>0</v>
      </c>
      <c r="AO42" s="300" t="s">
        <v>6</v>
      </c>
      <c r="AR42" s="298">
        <f>AR40-AR41</f>
        <v>0</v>
      </c>
      <c r="AV42" s="298">
        <f t="shared" ref="AV42:AZ42" si="31">AV40-AV41</f>
        <v>0</v>
      </c>
      <c r="AW42" s="298">
        <f t="shared" si="31"/>
        <v>0</v>
      </c>
      <c r="AX42" s="298">
        <f t="shared" si="31"/>
        <v>0</v>
      </c>
      <c r="AY42" s="298">
        <f t="shared" si="31"/>
        <v>0</v>
      </c>
      <c r="AZ42" s="298">
        <f t="shared" si="31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2">BH40-BH41</f>
        <v>0</v>
      </c>
      <c r="BI42" s="298">
        <f t="shared" si="32"/>
        <v>0</v>
      </c>
      <c r="BJ42" s="298">
        <f t="shared" si="32"/>
        <v>0</v>
      </c>
      <c r="BK42" s="298">
        <f t="shared" si="32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t="17.25" hidden="1">
      <c r="C44" s="325" t="s">
        <v>174</v>
      </c>
      <c r="D44" s="326" t="s">
        <v>190</v>
      </c>
      <c r="E44" s="327" t="s">
        <v>189</v>
      </c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322"/>
      <c r="D45" s="32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3784942.47</v>
      </c>
      <c r="AM45" s="289"/>
      <c r="AN45" s="289">
        <v>4511960.97</v>
      </c>
      <c r="AO45" s="307">
        <f>AN45-AL45</f>
        <v>727018.5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323" t="s">
        <v>175</v>
      </c>
      <c r="D46" s="324">
        <v>4512096.59</v>
      </c>
      <c r="E46" s="329">
        <v>3125645.23</v>
      </c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135.62</v>
      </c>
      <c r="AM46" s="289">
        <f>AL45+AL46</f>
        <v>3785078.09</v>
      </c>
      <c r="AN46" s="289">
        <v>135.62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323" t="s">
        <v>176</v>
      </c>
      <c r="D47" s="324">
        <v>0</v>
      </c>
      <c r="E47" s="329">
        <v>0</v>
      </c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323" t="s">
        <v>177</v>
      </c>
      <c r="D48" s="324">
        <v>801.76</v>
      </c>
      <c r="E48" s="329">
        <v>1264.58</v>
      </c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2649385.5699999998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323" t="s">
        <v>178</v>
      </c>
      <c r="D49" s="324">
        <v>4277.6099999999997</v>
      </c>
      <c r="E49" s="329">
        <v>2299.1</v>
      </c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0</v>
      </c>
      <c r="AM49" s="290">
        <f>AL48+AL49</f>
        <v>2649385.5699999998</v>
      </c>
      <c r="AN49" s="290">
        <v>3125645.23</v>
      </c>
      <c r="AO49" s="307">
        <f>AN49-AM49</f>
        <v>476259.66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idden="1">
      <c r="C50" s="323" t="s">
        <v>191</v>
      </c>
      <c r="D50" s="324">
        <v>-4179.93</v>
      </c>
      <c r="E50" s="329">
        <v>4179.93</v>
      </c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88"/>
      <c r="AL50" s="328"/>
      <c r="AM50" s="290"/>
      <c r="AN50" s="290"/>
      <c r="AO50" s="30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t="15.75" hidden="1">
      <c r="C51" s="323" t="s">
        <v>179</v>
      </c>
      <c r="D51" s="324">
        <v>0</v>
      </c>
      <c r="E51" s="329">
        <v>0</v>
      </c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92"/>
      <c r="AM51" s="117"/>
      <c r="AN51" s="117"/>
      <c r="AO51" s="217"/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323" t="s">
        <v>180</v>
      </c>
      <c r="D52" s="664" t="s">
        <v>181</v>
      </c>
      <c r="E52" s="664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88" t="s">
        <v>126</v>
      </c>
      <c r="AL52" s="159"/>
      <c r="AM52" s="296">
        <f>AM46+AM49</f>
        <v>6434463.6600000001</v>
      </c>
      <c r="AN52" s="296">
        <f>AN45+AN46+AN49</f>
        <v>7637741.8200000003</v>
      </c>
      <c r="AO52" s="308">
        <f>AO45+AO46+AO49</f>
        <v>1203278.1599999999</v>
      </c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323" t="s">
        <v>182</v>
      </c>
      <c r="D53" s="324">
        <v>0</v>
      </c>
      <c r="E53" s="329">
        <v>-2531.6</v>
      </c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95" t="s">
        <v>6</v>
      </c>
      <c r="AL53" s="159"/>
      <c r="AM53" s="297">
        <f>AM34-AM52</f>
        <v>0</v>
      </c>
      <c r="AN53" s="297">
        <f>AN34-AN52</f>
        <v>0</v>
      </c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323" t="s">
        <v>183</v>
      </c>
      <c r="D54" s="324">
        <v>0</v>
      </c>
      <c r="E54" s="329">
        <v>-1766.94</v>
      </c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323" t="s">
        <v>184</v>
      </c>
      <c r="D55" s="324">
        <v>0</v>
      </c>
      <c r="E55" s="329">
        <v>-19</v>
      </c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86"/>
      <c r="AL55" s="159"/>
      <c r="AM55" s="159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  <row r="56" spans="3:63" s="118" customFormat="1" hidden="1">
      <c r="C56" s="323" t="s">
        <v>185</v>
      </c>
      <c r="D56" s="664" t="s">
        <v>181</v>
      </c>
      <c r="E56" s="664"/>
      <c r="H56" s="117"/>
      <c r="I56" s="142"/>
      <c r="J56" s="117"/>
      <c r="K56" s="117"/>
      <c r="L56" s="117"/>
      <c r="O56" s="117"/>
      <c r="Q56" s="117"/>
      <c r="R56" s="117"/>
      <c r="V56" s="225"/>
      <c r="W56" s="226"/>
      <c r="X56" s="196"/>
      <c r="Y56" s="196"/>
      <c r="Z56" s="117"/>
      <c r="AA56" s="117"/>
      <c r="AB56" s="117"/>
      <c r="AC56" s="117"/>
      <c r="AD56" s="117"/>
      <c r="AE56" s="117"/>
      <c r="AI56" s="117"/>
      <c r="AK56" s="217"/>
      <c r="AL56" s="117"/>
      <c r="AM56" s="117"/>
      <c r="AN56" s="117"/>
      <c r="AO56" s="108"/>
      <c r="AP56" s="108"/>
      <c r="AS56" s="117"/>
      <c r="AZ56" s="117"/>
      <c r="BA56" s="117"/>
      <c r="BB56" s="117"/>
      <c r="BC56" s="117"/>
      <c r="BD56" s="117"/>
      <c r="BE56" s="117"/>
      <c r="BF56" s="117"/>
      <c r="BG56" s="117"/>
      <c r="BK56" s="117"/>
    </row>
    <row r="57" spans="3:63" s="118" customFormat="1" hidden="1">
      <c r="C57" s="323" t="s">
        <v>186</v>
      </c>
      <c r="D57" s="324">
        <v>1920.28</v>
      </c>
      <c r="E57" s="329">
        <v>1248.74</v>
      </c>
      <c r="H57" s="117"/>
      <c r="I57" s="142"/>
      <c r="J57" s="117"/>
      <c r="K57" s="117"/>
      <c r="L57" s="117"/>
      <c r="O57" s="117"/>
      <c r="Q57" s="117"/>
      <c r="R57" s="117"/>
      <c r="V57" s="225"/>
      <c r="W57" s="226"/>
      <c r="X57" s="196"/>
      <c r="Y57" s="196"/>
      <c r="Z57" s="117"/>
      <c r="AA57" s="117"/>
      <c r="AB57" s="117"/>
      <c r="AC57" s="117"/>
      <c r="AD57" s="117"/>
      <c r="AE57" s="117"/>
      <c r="AI57" s="117"/>
      <c r="AK57" s="217"/>
      <c r="AL57" s="117"/>
      <c r="AM57" s="117"/>
      <c r="AN57" s="117"/>
      <c r="AO57" s="108"/>
      <c r="AP57" s="108"/>
      <c r="AS57" s="117"/>
      <c r="AZ57" s="117"/>
      <c r="BA57" s="117"/>
      <c r="BB57" s="117"/>
      <c r="BC57" s="117"/>
      <c r="BD57" s="117"/>
      <c r="BE57" s="117"/>
      <c r="BF57" s="117"/>
      <c r="BG57" s="117"/>
      <c r="BK57" s="117"/>
    </row>
    <row r="58" spans="3:63" s="118" customFormat="1" hidden="1">
      <c r="C58" s="323" t="s">
        <v>187</v>
      </c>
      <c r="D58" s="324">
        <v>0</v>
      </c>
      <c r="E58" s="329">
        <v>0</v>
      </c>
      <c r="H58" s="117"/>
      <c r="I58" s="142"/>
      <c r="J58" s="117"/>
      <c r="K58" s="117"/>
      <c r="L58" s="117"/>
      <c r="O58" s="117"/>
      <c r="Q58" s="117"/>
      <c r="R58" s="117"/>
      <c r="V58" s="225"/>
      <c r="W58" s="226"/>
      <c r="X58" s="196"/>
      <c r="Y58" s="196"/>
      <c r="Z58" s="117"/>
      <c r="AA58" s="117"/>
      <c r="AB58" s="117"/>
      <c r="AC58" s="117"/>
      <c r="AD58" s="117"/>
      <c r="AE58" s="117"/>
      <c r="AI58" s="117"/>
      <c r="AK58" s="217"/>
      <c r="AL58" s="117"/>
      <c r="AM58" s="117"/>
      <c r="AN58" s="117"/>
      <c r="AO58" s="108"/>
      <c r="AP58" s="108"/>
      <c r="AS58" s="117"/>
      <c r="AZ58" s="117"/>
      <c r="BA58" s="117"/>
      <c r="BB58" s="117"/>
      <c r="BC58" s="117"/>
      <c r="BD58" s="117"/>
      <c r="BE58" s="117"/>
      <c r="BF58" s="117"/>
      <c r="BG58" s="117"/>
      <c r="BK58" s="117"/>
    </row>
    <row r="59" spans="3:63" s="118" customFormat="1" hidden="1">
      <c r="C59" s="323" t="s">
        <v>188</v>
      </c>
      <c r="D59" s="324">
        <v>-763.82</v>
      </c>
      <c r="E59" s="329">
        <v>0</v>
      </c>
      <c r="H59" s="117"/>
      <c r="I59" s="142"/>
      <c r="J59" s="117"/>
      <c r="K59" s="117"/>
      <c r="L59" s="117"/>
      <c r="O59" s="117"/>
      <c r="Q59" s="117"/>
      <c r="R59" s="117"/>
      <c r="V59" s="225"/>
      <c r="W59" s="226"/>
      <c r="X59" s="196"/>
      <c r="Y59" s="196"/>
      <c r="Z59" s="117"/>
      <c r="AA59" s="117"/>
      <c r="AB59" s="117"/>
      <c r="AC59" s="117"/>
      <c r="AD59" s="117"/>
      <c r="AE59" s="117"/>
      <c r="AI59" s="117"/>
      <c r="AK59" s="217"/>
      <c r="AL59" s="117"/>
      <c r="AM59" s="117"/>
      <c r="AN59" s="117"/>
      <c r="AO59" s="108"/>
      <c r="AP59" s="108"/>
      <c r="AS59" s="117"/>
      <c r="AZ59" s="117"/>
      <c r="BA59" s="117"/>
      <c r="BB59" s="117"/>
      <c r="BC59" s="117"/>
      <c r="BD59" s="117"/>
      <c r="BE59" s="117"/>
      <c r="BF59" s="117"/>
      <c r="BG59" s="117"/>
      <c r="BK59" s="117"/>
    </row>
    <row r="60" spans="3:63" s="118" customFormat="1" hidden="1">
      <c r="C60" s="322"/>
      <c r="D60" s="322"/>
      <c r="H60" s="117"/>
      <c r="I60" s="142"/>
      <c r="J60" s="117"/>
      <c r="K60" s="117"/>
      <c r="L60" s="117"/>
      <c r="O60" s="117"/>
      <c r="Q60" s="117"/>
      <c r="R60" s="117"/>
      <c r="V60" s="225"/>
      <c r="W60" s="226"/>
      <c r="X60" s="196"/>
      <c r="Y60" s="196"/>
      <c r="Z60" s="117"/>
      <c r="AA60" s="117"/>
      <c r="AB60" s="117"/>
      <c r="AC60" s="117"/>
      <c r="AD60" s="117"/>
      <c r="AE60" s="117"/>
      <c r="AI60" s="117"/>
      <c r="AK60" s="217"/>
      <c r="AL60" s="117"/>
      <c r="AM60" s="117"/>
      <c r="AN60" s="117"/>
      <c r="AO60" s="108"/>
      <c r="AP60" s="108"/>
      <c r="AS60" s="117"/>
      <c r="AZ60" s="117"/>
      <c r="BA60" s="117"/>
      <c r="BB60" s="117"/>
      <c r="BC60" s="117"/>
      <c r="BD60" s="117"/>
      <c r="BE60" s="117"/>
      <c r="BF60" s="117"/>
      <c r="BG60" s="117"/>
      <c r="BK60" s="117"/>
    </row>
    <row r="61" spans="3:63" s="118" customFormat="1" hidden="1">
      <c r="C61" s="142"/>
      <c r="D61" s="142"/>
      <c r="H61" s="117"/>
      <c r="I61" s="142"/>
      <c r="J61" s="117"/>
      <c r="K61" s="117"/>
      <c r="L61" s="117"/>
      <c r="O61" s="117"/>
      <c r="Q61" s="117"/>
      <c r="R61" s="117"/>
      <c r="V61" s="225"/>
      <c r="W61" s="226"/>
      <c r="X61" s="196"/>
      <c r="Y61" s="196"/>
      <c r="Z61" s="117"/>
      <c r="AA61" s="117"/>
      <c r="AB61" s="117"/>
      <c r="AC61" s="117"/>
      <c r="AD61" s="117"/>
      <c r="AE61" s="117"/>
      <c r="AI61" s="117"/>
      <c r="AK61" s="217"/>
      <c r="AL61" s="117"/>
      <c r="AM61" s="117"/>
      <c r="AN61" s="117"/>
      <c r="AO61" s="108"/>
      <c r="AP61" s="108"/>
      <c r="AS61" s="117"/>
      <c r="AZ61" s="117"/>
      <c r="BA61" s="117"/>
      <c r="BB61" s="117"/>
      <c r="BC61" s="117"/>
      <c r="BD61" s="117"/>
      <c r="BE61" s="117"/>
      <c r="BF61" s="117"/>
      <c r="BG61" s="117"/>
      <c r="BK61" s="117"/>
    </row>
  </sheetData>
  <sortState ref="AP12:BK28">
    <sortCondition sortBy="icon" ref="BA12"/>
  </sortState>
  <mergeCells count="5">
    <mergeCell ref="F8:S8"/>
    <mergeCell ref="T8:AJ8"/>
    <mergeCell ref="AR8:BK8"/>
    <mergeCell ref="D52:E52"/>
    <mergeCell ref="D56:E56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BN61"/>
  <sheetViews>
    <sheetView zoomScale="80" zoomScaleNormal="80" zoomScaleSheetLayoutView="75" workbookViewId="0">
      <pane ySplit="9" topLeftCell="A10" activePane="bottomLeft" state="frozen"/>
      <selection pane="bottomLeft" activeCell="B1" sqref="B1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5" width="10.77734375" style="117" hidden="1" customWidth="1"/>
    <col min="56" max="59" width="9" style="117" hidden="1" customWidth="1"/>
    <col min="60" max="60" width="11.88671875" style="24" customWidth="1"/>
    <col min="61" max="62" width="10.21875" style="24" customWidth="1"/>
    <col min="63" max="63" width="14.44140625" style="30" customWidth="1"/>
    <col min="64" max="64" width="14.44140625" style="368" customWidth="1"/>
    <col min="65" max="65" width="12" style="367" customWidth="1"/>
    <col min="66" max="66" width="11.88671875" style="367" customWidth="1"/>
    <col min="67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6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  <c r="BL1" s="368"/>
      <c r="BM1" s="367"/>
      <c r="BN1" s="367"/>
    </row>
    <row r="2" spans="1:66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  <c r="BL2" s="368"/>
      <c r="BM2" s="367"/>
      <c r="BN2" s="367"/>
    </row>
    <row r="3" spans="1:66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  <c r="BL3" s="368"/>
      <c r="BM3" s="367"/>
      <c r="BN3" s="367"/>
    </row>
    <row r="4" spans="1:66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  <c r="BL4" s="368"/>
      <c r="BM4" s="367"/>
      <c r="BN4" s="367"/>
    </row>
    <row r="5" spans="1:66" s="162" customFormat="1" ht="16.149999999999999" customHeight="1">
      <c r="A5" s="161"/>
      <c r="B5" s="173" t="s">
        <v>192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  <c r="BL5" s="368"/>
      <c r="BM5" s="367"/>
      <c r="BN5" s="367"/>
    </row>
    <row r="6" spans="1:66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6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6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  <c r="BL8" s="582"/>
      <c r="BM8" s="582"/>
      <c r="BN8" s="582"/>
    </row>
    <row r="9" spans="1:66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  <c r="BL9" s="635" t="s">
        <v>216</v>
      </c>
      <c r="BM9" s="634" t="s">
        <v>217</v>
      </c>
      <c r="BN9" s="549" t="s">
        <v>218</v>
      </c>
    </row>
    <row r="10" spans="1:66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  <c r="BL10" s="530"/>
      <c r="BM10" s="516"/>
      <c r="BN10" s="516"/>
    </row>
    <row r="11" spans="1:66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7"/>
      <c r="BL11" s="629"/>
      <c r="BM11" s="630"/>
      <c r="BN11" s="630"/>
    </row>
    <row r="12" spans="1:66" s="82" customFormat="1" ht="16.149999999999999" customHeight="1">
      <c r="A12" s="616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66585.22</v>
      </c>
      <c r="G12" s="9">
        <v>0</v>
      </c>
      <c r="H12" s="617">
        <f t="shared" ref="H12:H28" si="0">F12+G12+P12</f>
        <v>66585.22</v>
      </c>
      <c r="I12" s="76">
        <f t="shared" ref="I12:I23" si="1">H12/(H$31-1575)</f>
        <v>1.7592139999999999E-2</v>
      </c>
      <c r="J12" s="618"/>
      <c r="K12" s="618">
        <f t="shared" ref="K12:L23" si="2">$I12*K$31</f>
        <v>0</v>
      </c>
      <c r="L12" s="618">
        <f t="shared" si="2"/>
        <v>85.69</v>
      </c>
      <c r="M12" s="9">
        <f t="shared" ref="M12:M28" si="3">K12+L12</f>
        <v>85.69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618">
        <f t="shared" ref="Q12:Q28" si="5">O12+P12</f>
        <v>0</v>
      </c>
      <c r="R12" s="9">
        <f t="shared" ref="R12:R28" si="6">F12+G12+M12+Q12</f>
        <v>66670.91</v>
      </c>
      <c r="S12" s="14">
        <f t="shared" ref="S12:S23" si="7">(R12/(R$31-1575)*(S$31-1575))</f>
        <v>79635.66</v>
      </c>
      <c r="T12" s="86">
        <v>24706.95</v>
      </c>
      <c r="U12" s="79">
        <f t="shared" ref="U12:U28" si="8">I12</f>
        <v>1.7592139999999999E-2</v>
      </c>
      <c r="V12" s="619"/>
      <c r="W12" s="620"/>
      <c r="X12" s="621">
        <f>$U12*X$31</f>
        <v>268.38</v>
      </c>
      <c r="Y12" s="622">
        <f>$U12*Y$31</f>
        <v>202.25</v>
      </c>
      <c r="Z12" s="623">
        <f t="shared" ref="Z12:Z28" si="9">X12+Y12</f>
        <v>470.63</v>
      </c>
      <c r="AA12" s="622">
        <f t="shared" ref="AA12:AE23" si="10">$U12*AA$31</f>
        <v>117.14</v>
      </c>
      <c r="AB12" s="621">
        <f t="shared" si="10"/>
        <v>-2.68</v>
      </c>
      <c r="AC12" s="622">
        <f t="shared" si="10"/>
        <v>-4.26</v>
      </c>
      <c r="AD12" s="621">
        <f t="shared" si="10"/>
        <v>-12.75</v>
      </c>
      <c r="AE12" s="622">
        <f t="shared" si="10"/>
        <v>-7</v>
      </c>
      <c r="AF12" s="7">
        <f t="shared" ref="AF12:AF28" si="11">SUM(Z12:AE12)</f>
        <v>561.08000000000004</v>
      </c>
      <c r="AG12" s="7">
        <f t="shared" ref="AG12:AG23" si="12">U12*AG$31</f>
        <v>-80.13</v>
      </c>
      <c r="AH12" s="7">
        <v>0</v>
      </c>
      <c r="AI12" s="623">
        <f t="shared" ref="AI12:AI28" si="13">AG12+AH12</f>
        <v>-80.13</v>
      </c>
      <c r="AJ12" s="14">
        <f t="shared" ref="AJ12:AJ28" si="14">T12+AF12+AI12</f>
        <v>25187.9</v>
      </c>
      <c r="AK12" s="624"/>
      <c r="AL12" s="625"/>
      <c r="AM12" s="33">
        <f t="shared" ref="AM12:AM28" si="15">R12+AJ12</f>
        <v>91858.81</v>
      </c>
      <c r="AN12" s="33">
        <f t="shared" ref="AN12:AN23" si="16">(S12+AJ12)+((AJ12/AJ$31)*AO$49)</f>
        <v>109304.89</v>
      </c>
      <c r="AO12" s="83"/>
      <c r="AP12" s="114">
        <v>65137.23</v>
      </c>
      <c r="AQ12" s="186">
        <v>88761.62</v>
      </c>
      <c r="AR12" s="192">
        <f>G12+'05.31.20'!AR12</f>
        <v>0</v>
      </c>
      <c r="AS12" s="114">
        <f>AN12-AQ12-AR12-AV12-AW12-AZ12-BA12-BH12-BK12</f>
        <v>-6178.31</v>
      </c>
      <c r="AT12" s="137">
        <f>K12+'05.31.20'!AT12</f>
        <v>0</v>
      </c>
      <c r="AU12" s="137">
        <f>L12+'05.31.20'!AU12</f>
        <v>1533.68</v>
      </c>
      <c r="AV12" s="84">
        <f t="shared" ref="AV12:AV17" si="17">AT12+AU12</f>
        <v>1533.68</v>
      </c>
      <c r="AW12" s="84">
        <f>N12+'05.31.20'!AW12</f>
        <v>0</v>
      </c>
      <c r="AX12" s="84">
        <f>O12+'05.31.20'!AX12</f>
        <v>0</v>
      </c>
      <c r="AY12" s="84">
        <f>P12+'05.31.20'!AY12</f>
        <v>0</v>
      </c>
      <c r="AZ12" s="84">
        <f t="shared" ref="AZ12:AZ17" si="18">AX12+AY12</f>
        <v>0</v>
      </c>
      <c r="BA12" s="224">
        <v>27434.37</v>
      </c>
      <c r="BB12" s="137">
        <f>Z12+'05.31.20'!BB12</f>
        <v>3424.27</v>
      </c>
      <c r="BC12" s="137">
        <f>AA12+'05.31.20'!BC12</f>
        <v>2054.5500000000002</v>
      </c>
      <c r="BD12" s="276">
        <f>AB12+'05.31.20'!BD12</f>
        <v>-34.380000000000003</v>
      </c>
      <c r="BE12" s="280">
        <f>AC12+'05.31.20'!BE12</f>
        <v>-89.36</v>
      </c>
      <c r="BF12" s="276">
        <f>AD12+'05.31.20'!BF12</f>
        <v>-28.97</v>
      </c>
      <c r="BG12" s="280">
        <f>AE12+'05.31.20'!BG12</f>
        <v>-16.89</v>
      </c>
      <c r="BH12" s="84">
        <f t="shared" ref="BH12:BH17" si="19">SUM(BB12:BG12)</f>
        <v>5309.22</v>
      </c>
      <c r="BI12" s="84">
        <f>AG12+'05.31.20'!BI12</f>
        <v>-955.85</v>
      </c>
      <c r="BJ12" s="84">
        <f>AH12+'05.31.20'!BJ12</f>
        <v>-6599.84</v>
      </c>
      <c r="BK12" s="628">
        <f t="shared" ref="BK12:BK17" si="20">BI12+BJ12</f>
        <v>-7555.69</v>
      </c>
      <c r="BL12" s="84">
        <f>AQ12+AR12+AS12+AV12+AW12+AZ12</f>
        <v>84116.99</v>
      </c>
      <c r="BM12" s="84">
        <f>BA12+BH12+BK12</f>
        <v>25187.9</v>
      </c>
      <c r="BN12" s="631">
        <f>BL12+BM12</f>
        <v>109304.89</v>
      </c>
    </row>
    <row r="13" spans="1:66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5261.68</v>
      </c>
      <c r="G13" s="9">
        <v>0</v>
      </c>
      <c r="H13" s="129">
        <f t="shared" si="0"/>
        <v>5261.68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6.77</v>
      </c>
      <c r="M13" s="9">
        <f t="shared" si="3"/>
        <v>6.77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5268.45</v>
      </c>
      <c r="S13" s="14">
        <f t="shared" si="7"/>
        <v>6292.95</v>
      </c>
      <c r="T13" s="86">
        <v>4032.69</v>
      </c>
      <c r="U13" s="79">
        <f t="shared" si="8"/>
        <v>1.3901600000000001E-3</v>
      </c>
      <c r="V13" s="203"/>
      <c r="W13" s="264"/>
      <c r="X13" s="204">
        <f>$U13*X$31</f>
        <v>21.21</v>
      </c>
      <c r="Y13" s="268">
        <f>$U13*Y$31</f>
        <v>15.98</v>
      </c>
      <c r="Z13" s="124">
        <f t="shared" si="9"/>
        <v>37.19</v>
      </c>
      <c r="AA13" s="268">
        <f t="shared" si="10"/>
        <v>9.26</v>
      </c>
      <c r="AB13" s="204">
        <f t="shared" si="10"/>
        <v>-0.21</v>
      </c>
      <c r="AC13" s="268">
        <f t="shared" si="10"/>
        <v>-0.34</v>
      </c>
      <c r="AD13" s="204">
        <f t="shared" si="10"/>
        <v>-1.01</v>
      </c>
      <c r="AE13" s="268">
        <f t="shared" si="10"/>
        <v>-0.55000000000000004</v>
      </c>
      <c r="AF13" s="7">
        <f t="shared" si="11"/>
        <v>44.34</v>
      </c>
      <c r="AG13" s="7">
        <f t="shared" si="12"/>
        <v>-6.33</v>
      </c>
      <c r="AH13" s="7">
        <v>0</v>
      </c>
      <c r="AI13" s="124">
        <f t="shared" si="13"/>
        <v>-6.33</v>
      </c>
      <c r="AJ13" s="14">
        <f t="shared" si="14"/>
        <v>4070.7</v>
      </c>
      <c r="AK13" s="233"/>
      <c r="AL13" s="236"/>
      <c r="AM13" s="33">
        <f t="shared" si="15"/>
        <v>9339.15</v>
      </c>
      <c r="AN13" s="33">
        <f t="shared" si="16"/>
        <v>11087.89</v>
      </c>
      <c r="AO13" s="83"/>
      <c r="AP13" s="114">
        <v>5147.26</v>
      </c>
      <c r="AQ13" s="186">
        <v>7395.82</v>
      </c>
      <c r="AR13" s="192">
        <f>G13+'05.31.20'!AR13</f>
        <v>0</v>
      </c>
      <c r="AS13" s="114">
        <f t="shared" ref="AS13:AS28" si="21">AN13-AQ13-AR13-AV13-AW13-AZ13-BA13-BH13-BK13</f>
        <v>-499.82</v>
      </c>
      <c r="AT13" s="137">
        <f>K13+'05.31.20'!AT13</f>
        <v>0</v>
      </c>
      <c r="AU13" s="137">
        <f>L13+'05.31.20'!AU13</f>
        <v>121.19</v>
      </c>
      <c r="AV13" s="84">
        <f t="shared" si="17"/>
        <v>121.19</v>
      </c>
      <c r="AW13" s="84">
        <f>N13+'05.31.20'!AW13</f>
        <v>0</v>
      </c>
      <c r="AX13" s="84">
        <f>O13+'05.31.20'!AX13</f>
        <v>0</v>
      </c>
      <c r="AY13" s="84">
        <f>P13+'05.31.20'!AY13</f>
        <v>0</v>
      </c>
      <c r="AZ13" s="84">
        <f t="shared" si="18"/>
        <v>0</v>
      </c>
      <c r="BA13" s="224">
        <v>3726.67</v>
      </c>
      <c r="BB13" s="137">
        <f>Z13+'05.31.20'!BB13</f>
        <v>270.58</v>
      </c>
      <c r="BC13" s="137">
        <f>AA13+'05.31.20'!BC13</f>
        <v>162.37</v>
      </c>
      <c r="BD13" s="276">
        <f>AB13+'05.31.20'!BD13</f>
        <v>-2.71</v>
      </c>
      <c r="BE13" s="280">
        <f>AC13+'05.31.20'!BE13</f>
        <v>-7.06</v>
      </c>
      <c r="BF13" s="276">
        <f>AD13+'05.31.20'!BF13</f>
        <v>-2.29</v>
      </c>
      <c r="BG13" s="280">
        <f>AE13+'05.31.20'!BG13</f>
        <v>-1.33</v>
      </c>
      <c r="BH13" s="84">
        <f t="shared" si="19"/>
        <v>419.56</v>
      </c>
      <c r="BI13" s="84">
        <f>AG13+'05.31.20'!BI13</f>
        <v>-75.53</v>
      </c>
      <c r="BJ13" s="84">
        <f>AH13+'05.31.20'!BJ13</f>
        <v>0</v>
      </c>
      <c r="BK13" s="628">
        <f t="shared" si="20"/>
        <v>-75.53</v>
      </c>
      <c r="BL13" s="84">
        <f t="shared" ref="BL13:BL28" si="22">AQ13+AR13+AS13+AV13+AW13+AZ13</f>
        <v>7017.19</v>
      </c>
      <c r="BM13" s="84">
        <f t="shared" ref="BM13:BM28" si="23">BA13+BH13+BK13</f>
        <v>4070.7</v>
      </c>
      <c r="BN13" s="631">
        <f t="shared" ref="BN13:BN28" si="24">AQ13+AR13+AS13+AV13+AW13+AZ13+BA13+BH13+BK13</f>
        <v>11087.89</v>
      </c>
    </row>
    <row r="14" spans="1:66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387204.96</v>
      </c>
      <c r="G14" s="9">
        <v>0</v>
      </c>
      <c r="H14" s="129">
        <f t="shared" si="0"/>
        <v>387204.96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498.3</v>
      </c>
      <c r="M14" s="9">
        <f t="shared" si="3"/>
        <v>498.3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387703.26</v>
      </c>
      <c r="S14" s="14">
        <f t="shared" si="7"/>
        <v>463095.59</v>
      </c>
      <c r="T14" s="86">
        <v>344158.7</v>
      </c>
      <c r="U14" s="79">
        <f t="shared" si="8"/>
        <v>0.10230141</v>
      </c>
      <c r="V14" s="304"/>
      <c r="W14" s="304"/>
      <c r="X14" s="204">
        <f>($U14*X$31)</f>
        <v>1560.66</v>
      </c>
      <c r="Y14" s="268">
        <f>($U14*Y$31)</f>
        <v>1176.1099999999999</v>
      </c>
      <c r="Z14" s="124">
        <f t="shared" si="9"/>
        <v>2736.77</v>
      </c>
      <c r="AA14" s="268">
        <f t="shared" si="10"/>
        <v>681.18</v>
      </c>
      <c r="AB14" s="204">
        <f t="shared" si="10"/>
        <v>-15.61</v>
      </c>
      <c r="AC14" s="268">
        <f t="shared" si="10"/>
        <v>-24.75</v>
      </c>
      <c r="AD14" s="204">
        <f t="shared" si="10"/>
        <v>-74.14</v>
      </c>
      <c r="AE14" s="268">
        <f t="shared" si="10"/>
        <v>-40.729999999999997</v>
      </c>
      <c r="AF14" s="7">
        <f t="shared" si="11"/>
        <v>3262.72</v>
      </c>
      <c r="AG14" s="7">
        <f t="shared" si="12"/>
        <v>-465.99</v>
      </c>
      <c r="AH14" s="7">
        <v>0</v>
      </c>
      <c r="AI14" s="124">
        <f t="shared" si="13"/>
        <v>-465.99</v>
      </c>
      <c r="AJ14" s="14">
        <f t="shared" si="14"/>
        <v>346955.43</v>
      </c>
      <c r="AK14" s="233"/>
      <c r="AL14" s="236"/>
      <c r="AM14" s="33">
        <f t="shared" si="15"/>
        <v>734658.69</v>
      </c>
      <c r="AN14" s="33">
        <f t="shared" si="16"/>
        <v>871779.98</v>
      </c>
      <c r="AO14" s="83"/>
      <c r="AP14" s="114">
        <v>378784.62</v>
      </c>
      <c r="AQ14" s="186">
        <v>555861.22</v>
      </c>
      <c r="AR14" s="192">
        <f>G14+'05.31.20'!AR14</f>
        <v>0</v>
      </c>
      <c r="AS14" s="114">
        <f t="shared" si="21"/>
        <v>-39955.31</v>
      </c>
      <c r="AT14" s="137">
        <f>K14+'05.31.20'!AT14</f>
        <v>0</v>
      </c>
      <c r="AU14" s="137">
        <f>L14+'05.31.20'!AU14</f>
        <v>8918.64</v>
      </c>
      <c r="AV14" s="84">
        <f t="shared" si="17"/>
        <v>8918.64</v>
      </c>
      <c r="AW14" s="84">
        <f>N14+'05.31.20'!AW14</f>
        <v>0</v>
      </c>
      <c r="AX14" s="84">
        <f>O14+'05.31.20'!AX14</f>
        <v>0</v>
      </c>
      <c r="AY14" s="84">
        <f>P14+'05.31.20'!AY14</f>
        <v>0</v>
      </c>
      <c r="AZ14" s="84">
        <f t="shared" si="18"/>
        <v>0</v>
      </c>
      <c r="BA14" s="224">
        <v>321639.82</v>
      </c>
      <c r="BB14" s="137">
        <f>Z14+'05.31.20'!BB14</f>
        <v>19912.73</v>
      </c>
      <c r="BC14" s="137">
        <f>AA14+'05.31.20'!BC14</f>
        <v>11947.54</v>
      </c>
      <c r="BD14" s="276">
        <f>AB14+'05.31.20'!BD14</f>
        <v>-199.93</v>
      </c>
      <c r="BE14" s="280">
        <f>AC14+'05.31.20'!BE14</f>
        <v>-519.63</v>
      </c>
      <c r="BF14" s="276">
        <f>AD14+'05.31.20'!BF14</f>
        <v>-168.46</v>
      </c>
      <c r="BG14" s="280">
        <f>AE14+'05.31.20'!BG14</f>
        <v>-98.22</v>
      </c>
      <c r="BH14" s="84">
        <f t="shared" si="19"/>
        <v>30874.03</v>
      </c>
      <c r="BI14" s="84">
        <f>AG14+'05.31.20'!BI14</f>
        <v>-5558.42</v>
      </c>
      <c r="BJ14" s="84">
        <f>AH14+'05.31.20'!BJ14</f>
        <v>0</v>
      </c>
      <c r="BK14" s="628">
        <f t="shared" si="20"/>
        <v>-5558.42</v>
      </c>
      <c r="BL14" s="84">
        <f t="shared" si="22"/>
        <v>524824.55000000005</v>
      </c>
      <c r="BM14" s="84">
        <f t="shared" si="23"/>
        <v>346955.43</v>
      </c>
      <c r="BN14" s="631">
        <f t="shared" si="24"/>
        <v>871779.98</v>
      </c>
    </row>
    <row r="15" spans="1:66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167696.26999999999</v>
      </c>
      <c r="G15" s="9">
        <v>0</v>
      </c>
      <c r="H15" s="129">
        <f t="shared" si="0"/>
        <v>167696.26999999999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215.81</v>
      </c>
      <c r="M15" s="9">
        <f t="shared" si="3"/>
        <v>215.81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167912.08</v>
      </c>
      <c r="S15" s="14">
        <f t="shared" si="7"/>
        <v>200564.07</v>
      </c>
      <c r="T15" s="86">
        <v>182476.41</v>
      </c>
      <c r="U15" s="79">
        <f t="shared" si="8"/>
        <v>4.4306159999999997E-2</v>
      </c>
      <c r="V15" s="203"/>
      <c r="W15" s="264"/>
      <c r="X15" s="204">
        <f t="shared" ref="X15:Y23" si="25">$U15*X$31</f>
        <v>675.91</v>
      </c>
      <c r="Y15" s="268">
        <f t="shared" si="25"/>
        <v>509.37</v>
      </c>
      <c r="Z15" s="124">
        <f t="shared" si="9"/>
        <v>1185.28</v>
      </c>
      <c r="AA15" s="268">
        <f t="shared" si="10"/>
        <v>295.01</v>
      </c>
      <c r="AB15" s="204">
        <f t="shared" si="10"/>
        <v>-6.76</v>
      </c>
      <c r="AC15" s="268">
        <f t="shared" si="10"/>
        <v>-10.72</v>
      </c>
      <c r="AD15" s="204">
        <f t="shared" si="10"/>
        <v>-32.11</v>
      </c>
      <c r="AE15" s="268">
        <f t="shared" si="10"/>
        <v>-17.64</v>
      </c>
      <c r="AF15" s="7">
        <f t="shared" si="11"/>
        <v>1413.06</v>
      </c>
      <c r="AG15" s="7">
        <f t="shared" si="12"/>
        <v>-201.82</v>
      </c>
      <c r="AH15" s="7">
        <v>0</v>
      </c>
      <c r="AI15" s="124">
        <f t="shared" si="13"/>
        <v>-201.82</v>
      </c>
      <c r="AJ15" s="14">
        <f t="shared" si="14"/>
        <v>183687.65</v>
      </c>
      <c r="AK15" s="233"/>
      <c r="AL15" s="236"/>
      <c r="AM15" s="33">
        <f t="shared" si="15"/>
        <v>351599.73</v>
      </c>
      <c r="AN15" s="33">
        <f t="shared" si="16"/>
        <v>416932.71</v>
      </c>
      <c r="AO15" s="83"/>
      <c r="AP15" s="114">
        <v>164049.47</v>
      </c>
      <c r="AQ15" s="186">
        <v>248925.14</v>
      </c>
      <c r="AR15" s="192">
        <f>G15+'05.31.20'!AR15</f>
        <v>0</v>
      </c>
      <c r="AS15" s="114">
        <f t="shared" si="21"/>
        <v>-19542.689999999999</v>
      </c>
      <c r="AT15" s="137">
        <f>K15+'05.31.20'!AT15</f>
        <v>0</v>
      </c>
      <c r="AU15" s="137">
        <f>L15+'05.31.20'!AU15</f>
        <v>3862.61</v>
      </c>
      <c r="AV15" s="84">
        <f t="shared" si="17"/>
        <v>3862.61</v>
      </c>
      <c r="AW15" s="84">
        <f>N15+'05.31.20'!AW15</f>
        <v>0</v>
      </c>
      <c r="AX15" s="84">
        <f>O15+'05.31.20'!AX15</f>
        <v>0</v>
      </c>
      <c r="AY15" s="84">
        <f>P15+'05.31.20'!AY15</f>
        <v>0</v>
      </c>
      <c r="AZ15" s="84">
        <f t="shared" si="18"/>
        <v>0</v>
      </c>
      <c r="BA15" s="224">
        <v>172723.67</v>
      </c>
      <c r="BB15" s="137">
        <f>Z15+'05.31.20'!BB15</f>
        <v>8624.0499999999993</v>
      </c>
      <c r="BC15" s="137">
        <f>AA15+'05.31.20'!BC15</f>
        <v>5174.41</v>
      </c>
      <c r="BD15" s="276">
        <f>AB15+'05.31.20'!BD15</f>
        <v>-86.59</v>
      </c>
      <c r="BE15" s="280">
        <f>AC15+'05.31.20'!BE15</f>
        <v>-225.06</v>
      </c>
      <c r="BF15" s="276">
        <f>AD15+'05.31.20'!BF15</f>
        <v>-72.97</v>
      </c>
      <c r="BG15" s="280">
        <f>AE15+'05.31.20'!BG15</f>
        <v>-42.54</v>
      </c>
      <c r="BH15" s="84">
        <f t="shared" si="19"/>
        <v>13371.3</v>
      </c>
      <c r="BI15" s="84">
        <f>AG15+'05.31.20'!BI15</f>
        <v>-2407.3200000000002</v>
      </c>
      <c r="BJ15" s="84">
        <f>AH15+'05.31.20'!BJ15</f>
        <v>0</v>
      </c>
      <c r="BK15" s="628">
        <f t="shared" si="20"/>
        <v>-2407.3200000000002</v>
      </c>
      <c r="BL15" s="84">
        <f t="shared" si="22"/>
        <v>233245.06</v>
      </c>
      <c r="BM15" s="84">
        <f t="shared" si="23"/>
        <v>183687.65</v>
      </c>
      <c r="BN15" s="631">
        <f t="shared" si="24"/>
        <v>416932.71</v>
      </c>
    </row>
    <row r="16" spans="1:66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10329.5</v>
      </c>
      <c r="G16" s="9">
        <v>0</v>
      </c>
      <c r="H16" s="129">
        <f t="shared" si="0"/>
        <v>10329.5</v>
      </c>
      <c r="I16" s="76">
        <f t="shared" si="1"/>
        <v>2.7290999999999999E-3</v>
      </c>
      <c r="J16" s="128"/>
      <c r="K16" s="128">
        <f t="shared" si="2"/>
        <v>0</v>
      </c>
      <c r="L16" s="128">
        <f t="shared" si="2"/>
        <v>13.29</v>
      </c>
      <c r="M16" s="9">
        <f t="shared" si="3"/>
        <v>13.29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10342.790000000001</v>
      </c>
      <c r="S16" s="14">
        <f t="shared" si="7"/>
        <v>12354.04</v>
      </c>
      <c r="T16" s="86">
        <v>7932.3</v>
      </c>
      <c r="U16" s="79">
        <f t="shared" si="8"/>
        <v>2.7290999999999999E-3</v>
      </c>
      <c r="V16" s="203" t="s">
        <v>108</v>
      </c>
      <c r="W16" s="264" t="s">
        <v>108</v>
      </c>
      <c r="X16" s="204">
        <f t="shared" si="25"/>
        <v>41.63</v>
      </c>
      <c r="Y16" s="268">
        <f t="shared" si="25"/>
        <v>31.38</v>
      </c>
      <c r="Z16" s="124">
        <f t="shared" si="9"/>
        <v>73.010000000000005</v>
      </c>
      <c r="AA16" s="268">
        <f t="shared" si="10"/>
        <v>18.170000000000002</v>
      </c>
      <c r="AB16" s="204">
        <f t="shared" si="10"/>
        <v>-0.42</v>
      </c>
      <c r="AC16" s="268">
        <f t="shared" si="10"/>
        <v>-0.66</v>
      </c>
      <c r="AD16" s="204">
        <f t="shared" si="10"/>
        <v>-1.98</v>
      </c>
      <c r="AE16" s="268">
        <f t="shared" si="10"/>
        <v>-1.0900000000000001</v>
      </c>
      <c r="AF16" s="7">
        <f t="shared" si="11"/>
        <v>87.03</v>
      </c>
      <c r="AG16" s="7">
        <f t="shared" si="12"/>
        <v>-12.43</v>
      </c>
      <c r="AH16" s="7">
        <v>0</v>
      </c>
      <c r="AI16" s="124">
        <f t="shared" si="13"/>
        <v>-12.43</v>
      </c>
      <c r="AJ16" s="14">
        <f t="shared" si="14"/>
        <v>8006.9</v>
      </c>
      <c r="AK16" s="233" t="s">
        <v>118</v>
      </c>
      <c r="AL16" s="236" t="s">
        <v>114</v>
      </c>
      <c r="AM16" s="33">
        <f t="shared" si="15"/>
        <v>18349.689999999999</v>
      </c>
      <c r="AN16" s="33">
        <f t="shared" si="16"/>
        <v>21785.5</v>
      </c>
      <c r="AO16" s="83"/>
      <c r="AP16" s="114">
        <v>10104.89</v>
      </c>
      <c r="AQ16" s="186">
        <v>14522.96</v>
      </c>
      <c r="AR16" s="192">
        <f>G16+'05.31.20'!AR16</f>
        <v>0</v>
      </c>
      <c r="AS16" s="114">
        <f t="shared" si="21"/>
        <v>-982.26</v>
      </c>
      <c r="AT16" s="137">
        <f>K16+'05.31.20'!AT16</f>
        <v>0</v>
      </c>
      <c r="AU16" s="137">
        <f>L16+'05.31.20'!AU16</f>
        <v>237.9</v>
      </c>
      <c r="AV16" s="84">
        <f t="shared" si="17"/>
        <v>237.9</v>
      </c>
      <c r="AW16" s="84">
        <f>N16+'05.31.20'!AW16</f>
        <v>0</v>
      </c>
      <c r="AX16" s="84">
        <f>O16+'05.31.20'!AX16</f>
        <v>0</v>
      </c>
      <c r="AY16" s="84">
        <f>P16+'05.31.20'!AY16</f>
        <v>0</v>
      </c>
      <c r="AZ16" s="84">
        <f t="shared" si="18"/>
        <v>0</v>
      </c>
      <c r="BA16" s="224">
        <v>7331.55</v>
      </c>
      <c r="BB16" s="137">
        <f>Z16+'05.31.20'!BB16</f>
        <v>531.22</v>
      </c>
      <c r="BC16" s="137">
        <f>AA16+'05.31.20'!BC16</f>
        <v>318.73</v>
      </c>
      <c r="BD16" s="276">
        <f>AB16+'05.31.20'!BD16</f>
        <v>-5.34</v>
      </c>
      <c r="BE16" s="280">
        <f>AC16+'05.31.20'!BE16</f>
        <v>-13.86</v>
      </c>
      <c r="BF16" s="276">
        <f>AD16+'05.31.20'!BF16</f>
        <v>-4.5</v>
      </c>
      <c r="BG16" s="280">
        <f>AE16+'05.31.20'!BG16</f>
        <v>-2.62</v>
      </c>
      <c r="BH16" s="84">
        <f t="shared" si="19"/>
        <v>823.63</v>
      </c>
      <c r="BI16" s="84">
        <f>AG16+'05.31.20'!BI16</f>
        <v>-148.28</v>
      </c>
      <c r="BJ16" s="84">
        <f>AH16+'05.31.20'!BJ16</f>
        <v>0</v>
      </c>
      <c r="BK16" s="628">
        <f t="shared" si="20"/>
        <v>-148.28</v>
      </c>
      <c r="BL16" s="84">
        <f t="shared" si="22"/>
        <v>13778.6</v>
      </c>
      <c r="BM16" s="84">
        <f t="shared" si="23"/>
        <v>8006.9</v>
      </c>
      <c r="BN16" s="631">
        <f t="shared" si="24"/>
        <v>21785.5</v>
      </c>
    </row>
    <row r="17" spans="1:66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900.18</v>
      </c>
      <c r="G17" s="9">
        <v>0</v>
      </c>
      <c r="H17" s="129">
        <f t="shared" si="0"/>
        <v>900.18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1.1599999999999999</v>
      </c>
      <c r="M17" s="9">
        <f t="shared" si="3"/>
        <v>1.1599999999999999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901.34</v>
      </c>
      <c r="S17" s="14">
        <f t="shared" si="7"/>
        <v>1076.6099999999999</v>
      </c>
      <c r="T17" s="86">
        <v>702.62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5"/>
        <v>3.63</v>
      </c>
      <c r="Y17" s="268">
        <f t="shared" si="25"/>
        <v>2.73</v>
      </c>
      <c r="Z17" s="124">
        <f t="shared" si="9"/>
        <v>6.36</v>
      </c>
      <c r="AA17" s="268">
        <f t="shared" si="10"/>
        <v>1.58</v>
      </c>
      <c r="AB17" s="204">
        <f t="shared" si="10"/>
        <v>-0.04</v>
      </c>
      <c r="AC17" s="268">
        <f t="shared" si="10"/>
        <v>-0.06</v>
      </c>
      <c r="AD17" s="204">
        <f t="shared" si="10"/>
        <v>-0.17</v>
      </c>
      <c r="AE17" s="268">
        <f t="shared" si="10"/>
        <v>-0.09</v>
      </c>
      <c r="AF17" s="7">
        <f t="shared" si="11"/>
        <v>7.58</v>
      </c>
      <c r="AG17" s="7">
        <f t="shared" si="12"/>
        <v>-1.08</v>
      </c>
      <c r="AH17" s="7">
        <v>0</v>
      </c>
      <c r="AI17" s="124">
        <f t="shared" si="13"/>
        <v>-1.08</v>
      </c>
      <c r="AJ17" s="14">
        <f t="shared" si="14"/>
        <v>709.12</v>
      </c>
      <c r="AK17" s="233" t="s">
        <v>129</v>
      </c>
      <c r="AL17" s="282" t="s">
        <v>128</v>
      </c>
      <c r="AM17" s="33">
        <f t="shared" si="15"/>
        <v>1610.46</v>
      </c>
      <c r="AN17" s="33">
        <f t="shared" si="16"/>
        <v>1911.89</v>
      </c>
      <c r="AO17" s="83"/>
      <c r="AP17" s="114">
        <v>880.59</v>
      </c>
      <c r="AQ17" s="186">
        <v>1268.3699999999999</v>
      </c>
      <c r="AR17" s="192">
        <f>G17+'05.31.20'!AR17</f>
        <v>0</v>
      </c>
      <c r="AS17" s="114">
        <f t="shared" si="21"/>
        <v>-86.35</v>
      </c>
      <c r="AT17" s="137">
        <f>K17+'05.31.20'!AT17</f>
        <v>0</v>
      </c>
      <c r="AU17" s="137">
        <f>L17+'05.31.20'!AU17</f>
        <v>20.75</v>
      </c>
      <c r="AV17" s="84">
        <f t="shared" si="17"/>
        <v>20.75</v>
      </c>
      <c r="AW17" s="84">
        <f>N17+'05.31.20'!AW17</f>
        <v>0</v>
      </c>
      <c r="AX17" s="84">
        <f>O17+'05.31.20'!AX17</f>
        <v>0</v>
      </c>
      <c r="AY17" s="84">
        <f>P17+'05.31.20'!AY17</f>
        <v>0</v>
      </c>
      <c r="AZ17" s="84">
        <f t="shared" si="18"/>
        <v>0</v>
      </c>
      <c r="BA17" s="224">
        <v>650.23</v>
      </c>
      <c r="BB17" s="137">
        <f>Z17+'05.31.20'!BB17</f>
        <v>46.31</v>
      </c>
      <c r="BC17" s="137">
        <f>AA17+'05.31.20'!BC17</f>
        <v>27.78</v>
      </c>
      <c r="BD17" s="276">
        <f>AB17+'05.31.20'!BD17</f>
        <v>-0.46</v>
      </c>
      <c r="BE17" s="280">
        <f>AC17+'05.31.20'!BE17</f>
        <v>-1.21</v>
      </c>
      <c r="BF17" s="276">
        <f>AD17+'05.31.20'!BF17</f>
        <v>-0.39</v>
      </c>
      <c r="BG17" s="280">
        <f>AE17+'05.31.20'!BG17</f>
        <v>-0.21</v>
      </c>
      <c r="BH17" s="84">
        <f t="shared" si="19"/>
        <v>71.819999999999993</v>
      </c>
      <c r="BI17" s="84">
        <f>AG17+'05.31.20'!BI17</f>
        <v>-12.93</v>
      </c>
      <c r="BJ17" s="84">
        <f>AH17+'05.31.20'!BJ17</f>
        <v>0</v>
      </c>
      <c r="BK17" s="628">
        <f t="shared" si="20"/>
        <v>-12.93</v>
      </c>
      <c r="BL17" s="84">
        <f t="shared" si="22"/>
        <v>1202.77</v>
      </c>
      <c r="BM17" s="84">
        <f t="shared" si="23"/>
        <v>709.12</v>
      </c>
      <c r="BN17" s="631">
        <f t="shared" si="24"/>
        <v>1911.89</v>
      </c>
    </row>
    <row r="18" spans="1:66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28374.47</v>
      </c>
      <c r="G18" s="9">
        <v>0</v>
      </c>
      <c r="H18" s="129">
        <f t="shared" si="0"/>
        <v>28374.47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36.520000000000003</v>
      </c>
      <c r="M18" s="9">
        <f t="shared" si="3"/>
        <v>36.520000000000003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28410.99</v>
      </c>
      <c r="S18" s="14">
        <f t="shared" si="7"/>
        <v>33935.760000000002</v>
      </c>
      <c r="T18" s="86">
        <v>8895.01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5"/>
        <v>114.37</v>
      </c>
      <c r="Y18" s="268">
        <f t="shared" si="25"/>
        <v>86.19</v>
      </c>
      <c r="Z18" s="124">
        <f t="shared" si="9"/>
        <v>200.56</v>
      </c>
      <c r="AA18" s="268">
        <f t="shared" si="10"/>
        <v>49.92</v>
      </c>
      <c r="AB18" s="204">
        <f t="shared" si="10"/>
        <v>-1.1399999999999999</v>
      </c>
      <c r="AC18" s="268">
        <f t="shared" si="10"/>
        <v>-1.81</v>
      </c>
      <c r="AD18" s="204">
        <f t="shared" si="10"/>
        <v>-5.43</v>
      </c>
      <c r="AE18" s="268">
        <f t="shared" si="10"/>
        <v>-2.98</v>
      </c>
      <c r="AF18" s="7">
        <f t="shared" si="11"/>
        <v>239.12</v>
      </c>
      <c r="AG18" s="7">
        <f t="shared" si="12"/>
        <v>-34.15</v>
      </c>
      <c r="AH18" s="7">
        <v>0</v>
      </c>
      <c r="AI18" s="124">
        <f t="shared" si="13"/>
        <v>-34.15</v>
      </c>
      <c r="AJ18" s="14">
        <f t="shared" si="14"/>
        <v>9099.98</v>
      </c>
      <c r="AK18" s="281"/>
      <c r="AL18" s="281"/>
      <c r="AM18" s="33">
        <f t="shared" si="15"/>
        <v>37510.97</v>
      </c>
      <c r="AN18" s="33">
        <f t="shared" si="16"/>
        <v>44654.77</v>
      </c>
      <c r="AO18" s="83"/>
      <c r="AP18" s="114">
        <v>27757.43</v>
      </c>
      <c r="AQ18" s="186">
        <v>36735.919999999998</v>
      </c>
      <c r="AR18" s="192">
        <f>G18+'05.31.20'!AR18</f>
        <v>0</v>
      </c>
      <c r="AS18" s="114">
        <f t="shared" si="21"/>
        <v>-1834.69</v>
      </c>
      <c r="AT18" s="137">
        <f>K18+'05.31.20'!AT18</f>
        <v>0</v>
      </c>
      <c r="AU18" s="137">
        <f>L18+'05.31.20'!AU18</f>
        <v>653.55999999999995</v>
      </c>
      <c r="AV18" s="84">
        <f t="shared" ref="AV18:AV28" si="26">AT18+AU18</f>
        <v>653.55999999999995</v>
      </c>
      <c r="AW18" s="84">
        <f>N18+'05.31.20'!AW18</f>
        <v>0</v>
      </c>
      <c r="AX18" s="84">
        <f>O18+'05.31.20'!AX18</f>
        <v>0</v>
      </c>
      <c r="AY18" s="84">
        <f>P18+'05.31.20'!AY18</f>
        <v>0</v>
      </c>
      <c r="AZ18" s="84">
        <f t="shared" ref="AZ18:AZ28" si="27">AX18+AY18</f>
        <v>0</v>
      </c>
      <c r="BA18" s="224">
        <v>7244.82</v>
      </c>
      <c r="BB18" s="137">
        <f>Z18+'05.31.20'!BB18</f>
        <v>1459.23</v>
      </c>
      <c r="BC18" s="137">
        <f>AA18+'05.31.20'!BC18</f>
        <v>875.53</v>
      </c>
      <c r="BD18" s="276">
        <f>AB18+'05.31.20'!BD18</f>
        <v>-14.66</v>
      </c>
      <c r="BE18" s="280">
        <f>AC18+'05.31.20'!BE18</f>
        <v>-38.08</v>
      </c>
      <c r="BF18" s="276">
        <f>AD18+'05.31.20'!BF18</f>
        <v>-12.34</v>
      </c>
      <c r="BG18" s="280">
        <f>AE18+'05.31.20'!BG18</f>
        <v>-7.2</v>
      </c>
      <c r="BH18" s="84">
        <f t="shared" ref="BH18:BH28" si="28">SUM(BB18:BG18)</f>
        <v>2262.48</v>
      </c>
      <c r="BI18" s="84">
        <f>AG18+'05.31.20'!BI18</f>
        <v>-407.32</v>
      </c>
      <c r="BJ18" s="84">
        <f>AH18+'05.31.20'!BJ18</f>
        <v>0</v>
      </c>
      <c r="BK18" s="628">
        <f t="shared" ref="BK18:BK28" si="29">BI18+BJ18</f>
        <v>-407.32</v>
      </c>
      <c r="BL18" s="84">
        <f t="shared" si="22"/>
        <v>35554.79</v>
      </c>
      <c r="BM18" s="84">
        <f t="shared" si="23"/>
        <v>9099.98</v>
      </c>
      <c r="BN18" s="631">
        <f t="shared" si="24"/>
        <v>44654.77</v>
      </c>
    </row>
    <row r="19" spans="1:66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95841.86</v>
      </c>
      <c r="G19" s="9">
        <v>0</v>
      </c>
      <c r="H19" s="129">
        <f t="shared" si="0"/>
        <v>95841.86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123.34</v>
      </c>
      <c r="M19" s="9">
        <f t="shared" si="3"/>
        <v>123.34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95965.2</v>
      </c>
      <c r="S19" s="14">
        <f t="shared" si="7"/>
        <v>114626.48</v>
      </c>
      <c r="T19" s="86">
        <v>73517.179999999993</v>
      </c>
      <c r="U19" s="79">
        <f t="shared" si="8"/>
        <v>2.5321880000000001E-2</v>
      </c>
      <c r="V19" s="203"/>
      <c r="W19" s="264"/>
      <c r="X19" s="204">
        <f t="shared" si="25"/>
        <v>386.3</v>
      </c>
      <c r="Y19" s="268">
        <f t="shared" si="25"/>
        <v>291.11</v>
      </c>
      <c r="Z19" s="124">
        <f t="shared" si="9"/>
        <v>677.41</v>
      </c>
      <c r="AA19" s="268">
        <f t="shared" si="10"/>
        <v>168.61</v>
      </c>
      <c r="AB19" s="204">
        <f t="shared" si="10"/>
        <v>-3.86</v>
      </c>
      <c r="AC19" s="268">
        <f t="shared" si="10"/>
        <v>-6.13</v>
      </c>
      <c r="AD19" s="204">
        <f t="shared" si="10"/>
        <v>-18.350000000000001</v>
      </c>
      <c r="AE19" s="268">
        <f t="shared" si="10"/>
        <v>-10.08</v>
      </c>
      <c r="AF19" s="7">
        <f t="shared" si="11"/>
        <v>807.6</v>
      </c>
      <c r="AG19" s="7">
        <f t="shared" si="12"/>
        <v>-115.34</v>
      </c>
      <c r="AH19" s="7">
        <v>0</v>
      </c>
      <c r="AI19" s="124">
        <f t="shared" si="13"/>
        <v>-115.34</v>
      </c>
      <c r="AJ19" s="14">
        <f t="shared" si="14"/>
        <v>74209.440000000002</v>
      </c>
      <c r="AK19" s="233"/>
      <c r="AL19" s="237"/>
      <c r="AM19" s="33">
        <f t="shared" si="15"/>
        <v>170174.64</v>
      </c>
      <c r="AN19" s="33">
        <f t="shared" si="16"/>
        <v>202038.97</v>
      </c>
      <c r="AO19" s="83"/>
      <c r="AP19" s="114">
        <v>93757.63</v>
      </c>
      <c r="AQ19" s="186">
        <v>134730.31</v>
      </c>
      <c r="AR19" s="192">
        <f>G19+'05.31.20'!AR19</f>
        <v>0</v>
      </c>
      <c r="AS19" s="114">
        <f t="shared" si="21"/>
        <v>-9108.35</v>
      </c>
      <c r="AT19" s="137">
        <f>K19+'05.31.20'!AT19</f>
        <v>0</v>
      </c>
      <c r="AU19" s="137">
        <f>L19+'05.31.20'!AU19</f>
        <v>2207.5700000000002</v>
      </c>
      <c r="AV19" s="84">
        <f t="shared" si="26"/>
        <v>2207.5700000000002</v>
      </c>
      <c r="AW19" s="84">
        <f>N19+'05.31.20'!AW19</f>
        <v>0</v>
      </c>
      <c r="AX19" s="84">
        <f>O19+'05.31.20'!AX19</f>
        <v>0</v>
      </c>
      <c r="AY19" s="84">
        <f>P19+'05.31.20'!AY19</f>
        <v>0</v>
      </c>
      <c r="AZ19" s="84">
        <f t="shared" si="27"/>
        <v>0</v>
      </c>
      <c r="BA19" s="224">
        <v>67943.259999999995</v>
      </c>
      <c r="BB19" s="137">
        <f>Z19+'05.31.20'!BB19</f>
        <v>4928.84</v>
      </c>
      <c r="BC19" s="137">
        <f>AA19+'05.31.20'!BC19</f>
        <v>2957.29</v>
      </c>
      <c r="BD19" s="276">
        <f>AB19+'05.31.20'!BD19</f>
        <v>-49.48</v>
      </c>
      <c r="BE19" s="280">
        <f>AC19+'05.31.20'!BE19</f>
        <v>-128.63</v>
      </c>
      <c r="BF19" s="276">
        <f>AD19+'05.31.20'!BF19</f>
        <v>-41.69</v>
      </c>
      <c r="BG19" s="280">
        <f>AE19+'05.31.20'!BG19</f>
        <v>-24.32</v>
      </c>
      <c r="BH19" s="84">
        <f t="shared" si="28"/>
        <v>7642.01</v>
      </c>
      <c r="BI19" s="84">
        <f>AG19+'05.31.20'!BI19</f>
        <v>-1375.83</v>
      </c>
      <c r="BJ19" s="84">
        <f>AH19+'05.31.20'!BJ19</f>
        <v>0</v>
      </c>
      <c r="BK19" s="628">
        <f t="shared" si="29"/>
        <v>-1375.83</v>
      </c>
      <c r="BL19" s="84">
        <f t="shared" si="22"/>
        <v>127829.53</v>
      </c>
      <c r="BM19" s="84">
        <f t="shared" si="23"/>
        <v>74209.440000000002</v>
      </c>
      <c r="BN19" s="631">
        <f t="shared" si="24"/>
        <v>202038.97</v>
      </c>
    </row>
    <row r="20" spans="1:66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35470.050000000003</v>
      </c>
      <c r="G20" s="9">
        <v>0</v>
      </c>
      <c r="H20" s="129">
        <f t="shared" si="0"/>
        <v>35470.050000000003</v>
      </c>
      <c r="I20" s="76">
        <f t="shared" si="1"/>
        <v>9.3713600000000005E-3</v>
      </c>
      <c r="J20" s="128"/>
      <c r="K20" s="128">
        <f t="shared" si="2"/>
        <v>0</v>
      </c>
      <c r="L20" s="128">
        <f t="shared" si="2"/>
        <v>45.65</v>
      </c>
      <c r="M20" s="9">
        <f t="shared" si="3"/>
        <v>45.65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35515.699999999997</v>
      </c>
      <c r="S20" s="14">
        <f t="shared" si="7"/>
        <v>42422.04</v>
      </c>
      <c r="T20" s="86">
        <v>20479.990000000002</v>
      </c>
      <c r="U20" s="79">
        <f t="shared" si="8"/>
        <v>9.3713600000000005E-3</v>
      </c>
      <c r="V20" s="315"/>
      <c r="W20" s="315"/>
      <c r="X20" s="204">
        <f t="shared" si="25"/>
        <v>142.96</v>
      </c>
      <c r="Y20" s="268">
        <f t="shared" si="25"/>
        <v>107.74</v>
      </c>
      <c r="Z20" s="124">
        <f t="shared" si="9"/>
        <v>250.7</v>
      </c>
      <c r="AA20" s="268">
        <f t="shared" si="10"/>
        <v>62.4</v>
      </c>
      <c r="AB20" s="204">
        <f t="shared" si="10"/>
        <v>-1.43</v>
      </c>
      <c r="AC20" s="268">
        <f t="shared" si="10"/>
        <v>-2.27</v>
      </c>
      <c r="AD20" s="204">
        <f t="shared" si="10"/>
        <v>-6.79</v>
      </c>
      <c r="AE20" s="268">
        <f t="shared" si="10"/>
        <v>-3.73</v>
      </c>
      <c r="AF20" s="7">
        <f t="shared" si="11"/>
        <v>298.88</v>
      </c>
      <c r="AG20" s="7">
        <f t="shared" si="12"/>
        <v>-42.69</v>
      </c>
      <c r="AH20" s="7">
        <v>0</v>
      </c>
      <c r="AI20" s="124">
        <f t="shared" si="13"/>
        <v>-42.69</v>
      </c>
      <c r="AJ20" s="14">
        <f t="shared" si="14"/>
        <v>20736.18</v>
      </c>
      <c r="AK20" s="283"/>
      <c r="AL20" s="284"/>
      <c r="AM20" s="33">
        <f t="shared" si="15"/>
        <v>56251.88</v>
      </c>
      <c r="AN20" s="33">
        <f t="shared" si="16"/>
        <v>66847.520000000004</v>
      </c>
      <c r="AO20" s="83"/>
      <c r="AP20" s="114">
        <v>34698.68</v>
      </c>
      <c r="AQ20" s="186">
        <v>48214.66</v>
      </c>
      <c r="AR20" s="192">
        <f>G20+'05.31.20'!AR20</f>
        <v>0</v>
      </c>
      <c r="AS20" s="114">
        <f t="shared" si="21"/>
        <v>-2920.34</v>
      </c>
      <c r="AT20" s="137">
        <f>K20+'05.31.20'!AT20</f>
        <v>0</v>
      </c>
      <c r="AU20" s="137">
        <f>L20+'05.31.20'!AU20</f>
        <v>817.02</v>
      </c>
      <c r="AV20" s="84">
        <f t="shared" si="26"/>
        <v>817.02</v>
      </c>
      <c r="AW20" s="84">
        <f>N20+'05.31.20'!AW20</f>
        <v>0</v>
      </c>
      <c r="AX20" s="84">
        <f>O20+'05.31.20'!AX20</f>
        <v>0</v>
      </c>
      <c r="AY20" s="84">
        <f>P20+'05.31.20'!AY20</f>
        <v>0</v>
      </c>
      <c r="AZ20" s="84">
        <f t="shared" si="27"/>
        <v>0</v>
      </c>
      <c r="BA20" s="224">
        <v>18417.12</v>
      </c>
      <c r="BB20" s="137">
        <f>Z20+'05.31.20'!BB20</f>
        <v>1824.11</v>
      </c>
      <c r="BC20" s="137">
        <f>AA20+'05.31.20'!BC20</f>
        <v>1094.47</v>
      </c>
      <c r="BD20" s="276">
        <f>AB20+'05.31.20'!BD20</f>
        <v>-18.309999999999999</v>
      </c>
      <c r="BE20" s="280">
        <f>AC20+'05.31.20'!BE20</f>
        <v>-47.6</v>
      </c>
      <c r="BF20" s="276">
        <f>AD20+'05.31.20'!BF20</f>
        <v>-15.43</v>
      </c>
      <c r="BG20" s="280">
        <f>AE20+'05.31.20'!BG20</f>
        <v>-9</v>
      </c>
      <c r="BH20" s="84">
        <f t="shared" si="28"/>
        <v>2828.24</v>
      </c>
      <c r="BI20" s="84">
        <f>AG20+'05.31.20'!BI20</f>
        <v>-509.18</v>
      </c>
      <c r="BJ20" s="84">
        <f>AH20+'05.31.20'!BJ20</f>
        <v>0</v>
      </c>
      <c r="BK20" s="628">
        <f t="shared" si="29"/>
        <v>-509.18</v>
      </c>
      <c r="BL20" s="84">
        <f t="shared" si="22"/>
        <v>46111.34</v>
      </c>
      <c r="BM20" s="84">
        <f t="shared" si="23"/>
        <v>20736.18</v>
      </c>
      <c r="BN20" s="631">
        <f t="shared" si="24"/>
        <v>66847.520000000004</v>
      </c>
    </row>
    <row r="21" spans="1:66" s="82" customFormat="1" ht="16.149999999999999" customHeight="1">
      <c r="A21" s="616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546873.81999999995</v>
      </c>
      <c r="G21" s="9">
        <v>0</v>
      </c>
      <c r="H21" s="617">
        <f t="shared" si="0"/>
        <v>546873.81999999995</v>
      </c>
      <c r="I21" s="76">
        <f t="shared" si="1"/>
        <v>0.14448669</v>
      </c>
      <c r="J21" s="618"/>
      <c r="K21" s="618">
        <f t="shared" si="2"/>
        <v>0</v>
      </c>
      <c r="L21" s="618">
        <f t="shared" si="2"/>
        <v>703.78</v>
      </c>
      <c r="M21" s="9">
        <f t="shared" si="3"/>
        <v>703.78</v>
      </c>
      <c r="N21" s="9">
        <f t="shared" si="4"/>
        <v>0</v>
      </c>
      <c r="O21" s="9">
        <f t="shared" si="4"/>
        <v>0</v>
      </c>
      <c r="P21" s="9">
        <v>0</v>
      </c>
      <c r="Q21" s="618">
        <f t="shared" si="5"/>
        <v>0</v>
      </c>
      <c r="R21" s="9">
        <f t="shared" si="6"/>
        <v>547577.59999999998</v>
      </c>
      <c r="S21" s="14">
        <f t="shared" si="7"/>
        <v>654058.91</v>
      </c>
      <c r="T21" s="86">
        <v>519513.13</v>
      </c>
      <c r="U21" s="79">
        <f t="shared" si="8"/>
        <v>0.14448669</v>
      </c>
      <c r="V21" s="619"/>
      <c r="W21" s="620"/>
      <c r="X21" s="621">
        <f t="shared" si="25"/>
        <v>2204.2199999999998</v>
      </c>
      <c r="Y21" s="622">
        <f t="shared" si="25"/>
        <v>1661.1</v>
      </c>
      <c r="Z21" s="623">
        <f t="shared" si="9"/>
        <v>3865.32</v>
      </c>
      <c r="AA21" s="622">
        <f t="shared" si="10"/>
        <v>962.07</v>
      </c>
      <c r="AB21" s="621">
        <f t="shared" si="10"/>
        <v>-22.04</v>
      </c>
      <c r="AC21" s="622">
        <f t="shared" si="10"/>
        <v>-34.96</v>
      </c>
      <c r="AD21" s="621">
        <f t="shared" si="10"/>
        <v>-104.72</v>
      </c>
      <c r="AE21" s="622">
        <f t="shared" si="10"/>
        <v>-57.53</v>
      </c>
      <c r="AF21" s="7">
        <f t="shared" si="11"/>
        <v>4608.1400000000003</v>
      </c>
      <c r="AG21" s="7">
        <f t="shared" si="12"/>
        <v>-658.15</v>
      </c>
      <c r="AH21" s="7">
        <f>-39.5-39.5-39.5</f>
        <v>-118.5</v>
      </c>
      <c r="AI21" s="623">
        <f t="shared" si="13"/>
        <v>-776.65</v>
      </c>
      <c r="AJ21" s="14">
        <f t="shared" si="14"/>
        <v>523344.62</v>
      </c>
      <c r="AK21" s="626"/>
      <c r="AL21" s="625"/>
      <c r="AM21" s="33">
        <f t="shared" si="15"/>
        <v>1070922.22</v>
      </c>
      <c r="AN21" s="33">
        <f t="shared" si="16"/>
        <v>1270514.96</v>
      </c>
      <c r="AO21" s="83"/>
      <c r="AP21" s="114">
        <v>534981.24</v>
      </c>
      <c r="AQ21" s="186">
        <v>794559.51</v>
      </c>
      <c r="AR21" s="192">
        <f>G21+'05.31.20'!AR21</f>
        <v>0</v>
      </c>
      <c r="AS21" s="114">
        <f t="shared" si="21"/>
        <v>-59985.53</v>
      </c>
      <c r="AT21" s="137">
        <f>K21+'05.31.20'!AT21</f>
        <v>0</v>
      </c>
      <c r="AU21" s="137">
        <f>L21+'05.31.20'!AU21</f>
        <v>12596.36</v>
      </c>
      <c r="AV21" s="84">
        <f t="shared" si="26"/>
        <v>12596.36</v>
      </c>
      <c r="AW21" s="84">
        <f>N21+'05.31.20'!AW21</f>
        <v>0</v>
      </c>
      <c r="AX21" s="84">
        <f>O21+'05.31.20'!AX21</f>
        <v>0</v>
      </c>
      <c r="AY21" s="84">
        <f>P21+'05.31.20'!AY21</f>
        <v>0</v>
      </c>
      <c r="AZ21" s="84">
        <f t="shared" si="27"/>
        <v>0</v>
      </c>
      <c r="BA21" s="224">
        <v>492992.17</v>
      </c>
      <c r="BB21" s="137">
        <f>Z21+'05.31.20'!BB21</f>
        <v>28124</v>
      </c>
      <c r="BC21" s="137">
        <f>AA21+'05.31.20'!BC21</f>
        <v>16874.25</v>
      </c>
      <c r="BD21" s="276">
        <f>AB21+'05.31.20'!BD21</f>
        <v>-282.37</v>
      </c>
      <c r="BE21" s="280">
        <f>AC21+'05.31.20'!BE21</f>
        <v>-733.9</v>
      </c>
      <c r="BF21" s="276">
        <f>AD21+'05.31.20'!BF21</f>
        <v>-237.94</v>
      </c>
      <c r="BG21" s="280">
        <f>AE21+'05.31.20'!BG21</f>
        <v>-138.71</v>
      </c>
      <c r="BH21" s="84">
        <f t="shared" si="28"/>
        <v>43605.33</v>
      </c>
      <c r="BI21" s="84">
        <f>AG21+'05.31.20'!BI21</f>
        <v>-7850.5</v>
      </c>
      <c r="BJ21" s="84">
        <f>AH21+'05.31.20'!BJ21</f>
        <v>-5402.38</v>
      </c>
      <c r="BK21" s="628">
        <f t="shared" si="29"/>
        <v>-13252.88</v>
      </c>
      <c r="BL21" s="84">
        <f t="shared" si="22"/>
        <v>747170.34</v>
      </c>
      <c r="BM21" s="84">
        <f t="shared" si="23"/>
        <v>523344.62</v>
      </c>
      <c r="BN21" s="631">
        <f t="shared" si="24"/>
        <v>1270514.96</v>
      </c>
    </row>
    <row r="22" spans="1:66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559720.36</v>
      </c>
      <c r="G22" s="9">
        <v>0</v>
      </c>
      <c r="H22" s="129">
        <f t="shared" si="0"/>
        <v>559720.36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720.31</v>
      </c>
      <c r="M22" s="9">
        <f t="shared" si="3"/>
        <v>720.31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560440.67000000004</v>
      </c>
      <c r="S22" s="14">
        <f t="shared" si="7"/>
        <v>669423.31999999995</v>
      </c>
      <c r="T22" s="86">
        <v>453840.79</v>
      </c>
      <c r="U22" s="79">
        <f t="shared" si="8"/>
        <v>0.14788081</v>
      </c>
      <c r="V22" s="316"/>
      <c r="W22" s="317"/>
      <c r="X22" s="204">
        <f t="shared" si="25"/>
        <v>2255.9899999999998</v>
      </c>
      <c r="Y22" s="268">
        <f t="shared" si="25"/>
        <v>1700.12</v>
      </c>
      <c r="Z22" s="124">
        <f t="shared" si="9"/>
        <v>3956.11</v>
      </c>
      <c r="AA22" s="268">
        <f t="shared" si="10"/>
        <v>984.67</v>
      </c>
      <c r="AB22" s="204">
        <f t="shared" si="10"/>
        <v>-22.56</v>
      </c>
      <c r="AC22" s="268">
        <f t="shared" si="10"/>
        <v>-35.78</v>
      </c>
      <c r="AD22" s="204">
        <f t="shared" si="10"/>
        <v>-107.18</v>
      </c>
      <c r="AE22" s="268">
        <f t="shared" si="10"/>
        <v>-58.88</v>
      </c>
      <c r="AF22" s="7">
        <f t="shared" si="11"/>
        <v>4716.38</v>
      </c>
      <c r="AG22" s="7">
        <f t="shared" si="12"/>
        <v>-673.61</v>
      </c>
      <c r="AH22" s="7">
        <v>0</v>
      </c>
      <c r="AI22" s="124">
        <f t="shared" si="13"/>
        <v>-673.61</v>
      </c>
      <c r="AJ22" s="14">
        <f t="shared" si="14"/>
        <v>457883.56</v>
      </c>
      <c r="AK22" s="283"/>
      <c r="AL22" s="284"/>
      <c r="AM22" s="33">
        <f t="shared" si="15"/>
        <v>1018324.23</v>
      </c>
      <c r="AN22" s="33">
        <f t="shared" si="16"/>
        <v>1208771.74</v>
      </c>
      <c r="AO22" s="83"/>
      <c r="AP22" s="114">
        <v>547548.41</v>
      </c>
      <c r="AQ22" s="186">
        <v>792829.52</v>
      </c>
      <c r="AR22" s="192">
        <f>G22+'05.31.20'!AR22</f>
        <v>0</v>
      </c>
      <c r="AS22" s="114">
        <f t="shared" si="21"/>
        <v>-54833.599999999999</v>
      </c>
      <c r="AT22" s="137">
        <f>K22+'05.31.20'!AT22</f>
        <v>0</v>
      </c>
      <c r="AU22" s="137">
        <f>L22+'05.31.20'!AU22</f>
        <v>12892.26</v>
      </c>
      <c r="AV22" s="84">
        <f t="shared" si="26"/>
        <v>12892.26</v>
      </c>
      <c r="AW22" s="84">
        <f>N22+'05.31.20'!AW22</f>
        <v>0</v>
      </c>
      <c r="AX22" s="84">
        <f>O22+'05.31.20'!AX22</f>
        <v>0</v>
      </c>
      <c r="AY22" s="84">
        <f>P22+'05.31.20'!AY22</f>
        <v>0</v>
      </c>
      <c r="AZ22" s="84">
        <f t="shared" si="27"/>
        <v>0</v>
      </c>
      <c r="BA22" s="224">
        <v>421288.81</v>
      </c>
      <c r="BB22" s="137">
        <f>Z22+'05.31.20'!BB22</f>
        <v>28784.65</v>
      </c>
      <c r="BC22" s="137">
        <f>AA22+'05.31.20'!BC22</f>
        <v>17270.64</v>
      </c>
      <c r="BD22" s="276">
        <f>AB22+'05.31.20'!BD22</f>
        <v>-289</v>
      </c>
      <c r="BE22" s="280">
        <f>AC22+'05.31.20'!BE22</f>
        <v>-751.13</v>
      </c>
      <c r="BF22" s="276">
        <f>AD22+'05.31.20'!BF22</f>
        <v>-243.53</v>
      </c>
      <c r="BG22" s="280">
        <f>AE22+'05.31.20'!BG22</f>
        <v>-141.97</v>
      </c>
      <c r="BH22" s="84">
        <f t="shared" si="28"/>
        <v>44629.66</v>
      </c>
      <c r="BI22" s="84">
        <f>AG22+'05.31.20'!BI22</f>
        <v>-8034.91</v>
      </c>
      <c r="BJ22" s="84">
        <f>AH22+'05.31.20'!BJ22</f>
        <v>0</v>
      </c>
      <c r="BK22" s="628">
        <f t="shared" si="29"/>
        <v>-8034.91</v>
      </c>
      <c r="BL22" s="84">
        <f t="shared" si="22"/>
        <v>750888.18</v>
      </c>
      <c r="BM22" s="84">
        <f t="shared" si="23"/>
        <v>457883.56</v>
      </c>
      <c r="BN22" s="631">
        <f t="shared" si="24"/>
        <v>1208771.74</v>
      </c>
    </row>
    <row r="23" spans="1:66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2894.94</v>
      </c>
      <c r="G23" s="9">
        <v>0</v>
      </c>
      <c r="H23" s="129">
        <f t="shared" si="0"/>
        <v>2894.94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3.73</v>
      </c>
      <c r="M23" s="9">
        <f t="shared" si="3"/>
        <v>3.73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2898.67</v>
      </c>
      <c r="S23" s="14">
        <f t="shared" si="7"/>
        <v>3462.34</v>
      </c>
      <c r="T23" s="86">
        <v>2179.5500000000002</v>
      </c>
      <c r="U23" s="79">
        <f t="shared" si="8"/>
        <v>7.6486000000000002E-4</v>
      </c>
      <c r="V23" s="203"/>
      <c r="W23" s="264"/>
      <c r="X23" s="204">
        <f t="shared" si="25"/>
        <v>11.67</v>
      </c>
      <c r="Y23" s="268">
        <f t="shared" si="25"/>
        <v>8.7899999999999991</v>
      </c>
      <c r="Z23" s="124">
        <f t="shared" si="9"/>
        <v>20.46</v>
      </c>
      <c r="AA23" s="268">
        <f t="shared" si="10"/>
        <v>5.09</v>
      </c>
      <c r="AB23" s="204">
        <f t="shared" si="10"/>
        <v>-0.12</v>
      </c>
      <c r="AC23" s="268">
        <f t="shared" si="10"/>
        <v>-0.19</v>
      </c>
      <c r="AD23" s="204">
        <f t="shared" si="10"/>
        <v>-0.55000000000000004</v>
      </c>
      <c r="AE23" s="268">
        <f t="shared" si="10"/>
        <v>-0.3</v>
      </c>
      <c r="AF23" s="7">
        <f t="shared" si="11"/>
        <v>24.39</v>
      </c>
      <c r="AG23" s="7">
        <f t="shared" si="12"/>
        <v>-3.48</v>
      </c>
      <c r="AH23" s="7">
        <v>0</v>
      </c>
      <c r="AI23" s="124">
        <f t="shared" si="13"/>
        <v>-3.48</v>
      </c>
      <c r="AJ23" s="14">
        <f t="shared" si="14"/>
        <v>2200.46</v>
      </c>
      <c r="AK23" s="285"/>
      <c r="AL23" s="236"/>
      <c r="AM23" s="33">
        <f t="shared" si="15"/>
        <v>5099.13</v>
      </c>
      <c r="AN23" s="33">
        <f t="shared" si="16"/>
        <v>6054.3</v>
      </c>
      <c r="AO23" s="83"/>
      <c r="AP23" s="114">
        <v>2831.99</v>
      </c>
      <c r="AQ23" s="186">
        <v>4059.53</v>
      </c>
      <c r="AR23" s="192">
        <f>G23+'05.31.20'!AR23</f>
        <v>0</v>
      </c>
      <c r="AS23" s="114">
        <f t="shared" si="21"/>
        <v>-272.37</v>
      </c>
      <c r="AT23" s="137">
        <f>K23+'05.31.20'!AT23</f>
        <v>0</v>
      </c>
      <c r="AU23" s="137">
        <f>L23+'05.31.20'!AU23</f>
        <v>66.680000000000007</v>
      </c>
      <c r="AV23" s="84">
        <f t="shared" si="26"/>
        <v>66.680000000000007</v>
      </c>
      <c r="AW23" s="84">
        <f>N23+'05.31.20'!AW23</f>
        <v>0</v>
      </c>
      <c r="AX23" s="84">
        <f>O23+'05.31.20'!AX23</f>
        <v>0</v>
      </c>
      <c r="AY23" s="84">
        <f>P23+'05.31.20'!AY23</f>
        <v>0</v>
      </c>
      <c r="AZ23" s="84">
        <f t="shared" si="27"/>
        <v>0</v>
      </c>
      <c r="BA23" s="224">
        <v>2011.18</v>
      </c>
      <c r="BB23" s="137">
        <f>Z23+'05.31.20'!BB23</f>
        <v>148.88</v>
      </c>
      <c r="BC23" s="137">
        <f>AA23+'05.31.20'!BC23</f>
        <v>89.34</v>
      </c>
      <c r="BD23" s="276">
        <f>AB23+'05.31.20'!BD23</f>
        <v>-1.5</v>
      </c>
      <c r="BE23" s="280">
        <f>AC23+'05.31.20'!BE23</f>
        <v>-3.89</v>
      </c>
      <c r="BF23" s="276">
        <f>AD23+'05.31.20'!BF23</f>
        <v>-1.26</v>
      </c>
      <c r="BG23" s="280">
        <f>AE23+'05.31.20'!BG23</f>
        <v>-0.73</v>
      </c>
      <c r="BH23" s="84">
        <f t="shared" si="28"/>
        <v>230.84</v>
      </c>
      <c r="BI23" s="84">
        <f>AG23+'05.31.20'!BI23</f>
        <v>-41.56</v>
      </c>
      <c r="BJ23" s="84">
        <f>AH23+'05.31.20'!BJ23</f>
        <v>0</v>
      </c>
      <c r="BK23" s="628">
        <f t="shared" si="29"/>
        <v>-41.56</v>
      </c>
      <c r="BL23" s="84">
        <f t="shared" si="22"/>
        <v>3853.84</v>
      </c>
      <c r="BM23" s="84">
        <f t="shared" si="23"/>
        <v>2200.46</v>
      </c>
      <c r="BN23" s="631">
        <f t="shared" si="24"/>
        <v>6054.3</v>
      </c>
    </row>
    <row r="24" spans="1:66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1519345.6</v>
      </c>
      <c r="G24" s="9">
        <v>0</v>
      </c>
      <c r="H24" s="129">
        <f t="shared" si="0"/>
        <v>1519345.6</v>
      </c>
      <c r="I24" s="76">
        <f>H24/(H$31-1575)+0.00000001</f>
        <v>0.40141842</v>
      </c>
      <c r="J24" s="128"/>
      <c r="K24" s="128">
        <f>$I24*K$31</f>
        <v>0</v>
      </c>
      <c r="L24" s="318">
        <f>($I24*L$31)-0.01</f>
        <v>1955.25</v>
      </c>
      <c r="M24" s="9">
        <f t="shared" si="3"/>
        <v>1955.25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1521300.85</v>
      </c>
      <c r="S24" s="14">
        <f>(R24/(R$31-1575)*(S$31-1575))</f>
        <v>1817131.27</v>
      </c>
      <c r="T24" s="86">
        <v>786302.16</v>
      </c>
      <c r="U24" s="79">
        <f t="shared" si="8"/>
        <v>0.40141842</v>
      </c>
      <c r="V24" s="203"/>
      <c r="W24" s="264"/>
      <c r="X24" s="320">
        <f>($U24*X$31)</f>
        <v>6123.83</v>
      </c>
      <c r="Y24" s="321">
        <f>($U24*Y$31)</f>
        <v>4614.93</v>
      </c>
      <c r="Z24" s="319">
        <f t="shared" si="9"/>
        <v>10738.76</v>
      </c>
      <c r="AA24" s="321">
        <f>($U24*AA$31)-0.01</f>
        <v>2672.84</v>
      </c>
      <c r="AB24" s="320">
        <f>($U24*AB$31)</f>
        <v>-61.24</v>
      </c>
      <c r="AC24" s="321">
        <f>($U24*AC$31)+0.03</f>
        <v>-97.09</v>
      </c>
      <c r="AD24" s="320">
        <f>($U24*AD$31)-0.01</f>
        <v>-290.93</v>
      </c>
      <c r="AE24" s="321">
        <f>($U24*AE$31)-0.03</f>
        <v>-159.86000000000001</v>
      </c>
      <c r="AF24" s="7">
        <f t="shared" si="11"/>
        <v>12802.48</v>
      </c>
      <c r="AG24" s="7">
        <f>(U24*AG$31)-0.01</f>
        <v>-1828.5</v>
      </c>
      <c r="AH24" s="7">
        <v>0</v>
      </c>
      <c r="AI24" s="319">
        <f t="shared" si="13"/>
        <v>-1828.5</v>
      </c>
      <c r="AJ24" s="14">
        <f t="shared" si="14"/>
        <v>797276.14</v>
      </c>
      <c r="AK24" s="285"/>
      <c r="AL24" s="236"/>
      <c r="AM24" s="33">
        <f t="shared" si="15"/>
        <v>2318576.9900000002</v>
      </c>
      <c r="AN24" s="33">
        <f>((S24+AJ24)+((AJ24/AJ$31)*AO$49))+0.01</f>
        <v>2756255.68</v>
      </c>
      <c r="AO24" s="83"/>
      <c r="AP24" s="114">
        <v>1486305.14</v>
      </c>
      <c r="AQ24" s="186">
        <v>2043070.99</v>
      </c>
      <c r="AR24" s="192">
        <f>G24+'05.31.20'!AR24</f>
        <v>0</v>
      </c>
      <c r="AS24" s="114">
        <f t="shared" si="21"/>
        <v>-119087.16</v>
      </c>
      <c r="AT24" s="137">
        <f>K24+'05.31.20'!AT24</f>
        <v>0</v>
      </c>
      <c r="AU24" s="137">
        <f>L24+'05.31.20'!AU24</f>
        <v>34995.71</v>
      </c>
      <c r="AV24" s="84">
        <f t="shared" si="26"/>
        <v>34995.71</v>
      </c>
      <c r="AW24" s="84">
        <f>N24+'05.31.20'!AW24</f>
        <v>0</v>
      </c>
      <c r="AX24" s="84">
        <f>O24+'05.31.20'!AX24</f>
        <v>0</v>
      </c>
      <c r="AY24" s="84">
        <f>P24+'05.31.20'!AY24</f>
        <v>0</v>
      </c>
      <c r="AZ24" s="84">
        <f t="shared" si="27"/>
        <v>0</v>
      </c>
      <c r="BA24" s="224">
        <v>698290.76</v>
      </c>
      <c r="BB24" s="137">
        <f>Z24+'05.31.20'!BB24</f>
        <v>78135.12</v>
      </c>
      <c r="BC24" s="137">
        <f>AA24+'05.31.20'!BC24</f>
        <v>46880.6</v>
      </c>
      <c r="BD24" s="276">
        <f>AB24+'05.31.20'!BD24</f>
        <v>-784.53</v>
      </c>
      <c r="BE24" s="280">
        <f>AC24+'05.31.20'!BE24</f>
        <v>-2038.89</v>
      </c>
      <c r="BF24" s="276">
        <f>AD24+'05.31.20'!BF24</f>
        <v>-661.05</v>
      </c>
      <c r="BG24" s="280">
        <f>AE24+'05.31.20'!BG24</f>
        <v>-385.36</v>
      </c>
      <c r="BH24" s="84">
        <f t="shared" si="28"/>
        <v>121145.89</v>
      </c>
      <c r="BI24" s="84">
        <f>AG24+'05.31.20'!BI24</f>
        <v>-21810.51</v>
      </c>
      <c r="BJ24" s="84">
        <f>AH24+'05.31.20'!BJ24</f>
        <v>-350</v>
      </c>
      <c r="BK24" s="628">
        <f t="shared" si="29"/>
        <v>-22160.51</v>
      </c>
      <c r="BL24" s="84">
        <f t="shared" si="22"/>
        <v>1958979.54</v>
      </c>
      <c r="BM24" s="84">
        <f t="shared" si="23"/>
        <v>797276.14</v>
      </c>
      <c r="BN24" s="631">
        <f t="shared" si="24"/>
        <v>2756255.68</v>
      </c>
    </row>
    <row r="25" spans="1:66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330901.32</v>
      </c>
      <c r="G25" s="9">
        <v>0</v>
      </c>
      <c r="H25" s="129">
        <f t="shared" si="0"/>
        <v>330901.32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425.84</v>
      </c>
      <c r="M25" s="9">
        <f t="shared" si="3"/>
        <v>425.84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331327.15999999997</v>
      </c>
      <c r="S25" s="14">
        <f>(R25/(R$31-1575)*(S$31-1575))</f>
        <v>395756.66</v>
      </c>
      <c r="T25" s="86">
        <v>202967.15</v>
      </c>
      <c r="U25" s="79">
        <f t="shared" si="8"/>
        <v>8.7425719999999998E-2</v>
      </c>
      <c r="V25" s="203"/>
      <c r="W25" s="264"/>
      <c r="X25" s="204">
        <f t="shared" ref="X25:Y28" si="30">$U25*X$31</f>
        <v>1333.72</v>
      </c>
      <c r="Y25" s="268">
        <f t="shared" si="30"/>
        <v>1005.1</v>
      </c>
      <c r="Z25" s="124">
        <f t="shared" si="9"/>
        <v>2338.8200000000002</v>
      </c>
      <c r="AA25" s="268">
        <f t="shared" ref="AA25:AE28" si="31">$U25*AA$31</f>
        <v>582.13</v>
      </c>
      <c r="AB25" s="204">
        <f t="shared" si="31"/>
        <v>-13.34</v>
      </c>
      <c r="AC25" s="268">
        <f t="shared" si="31"/>
        <v>-21.15</v>
      </c>
      <c r="AD25" s="204">
        <f t="shared" si="31"/>
        <v>-63.36</v>
      </c>
      <c r="AE25" s="268">
        <f t="shared" si="31"/>
        <v>-34.81</v>
      </c>
      <c r="AF25" s="7">
        <f t="shared" si="11"/>
        <v>2788.29</v>
      </c>
      <c r="AG25" s="7">
        <f>U25*AG$31</f>
        <v>-398.23</v>
      </c>
      <c r="AH25" s="7">
        <v>0</v>
      </c>
      <c r="AI25" s="124">
        <f t="shared" si="13"/>
        <v>-398.23</v>
      </c>
      <c r="AJ25" s="14">
        <f t="shared" si="14"/>
        <v>205357.21</v>
      </c>
      <c r="AK25" s="285"/>
      <c r="AL25" s="236"/>
      <c r="AM25" s="33">
        <f t="shared" si="15"/>
        <v>536684.37</v>
      </c>
      <c r="AN25" s="33">
        <f>(S25+AJ25)+((AJ25/AJ$31)*AO$49)</f>
        <v>637650.22</v>
      </c>
      <c r="AO25" s="83"/>
      <c r="AP25" s="114">
        <v>323705.38</v>
      </c>
      <c r="AQ25" s="186">
        <v>452712.77</v>
      </c>
      <c r="AR25" s="192">
        <f>G25+'05.31.20'!AR25</f>
        <v>0</v>
      </c>
      <c r="AS25" s="114">
        <f t="shared" si="21"/>
        <v>-28041.54</v>
      </c>
      <c r="AT25" s="137">
        <f>K25+'05.31.20'!AT25</f>
        <v>0</v>
      </c>
      <c r="AU25" s="137">
        <f>L25+'05.31.20'!AU25</f>
        <v>7621.78</v>
      </c>
      <c r="AV25" s="84">
        <f t="shared" si="26"/>
        <v>7621.78</v>
      </c>
      <c r="AW25" s="84">
        <f>N25+'05.31.20'!AW25</f>
        <v>0</v>
      </c>
      <c r="AX25" s="84">
        <f>O25+'05.31.20'!AX25</f>
        <v>0</v>
      </c>
      <c r="AY25" s="84">
        <f>P25+'05.31.20'!AY25</f>
        <v>0</v>
      </c>
      <c r="AZ25" s="84">
        <f t="shared" si="27"/>
        <v>0</v>
      </c>
      <c r="BA25" s="224">
        <v>183722.72</v>
      </c>
      <c r="BB25" s="137">
        <f>Z25+'05.31.20'!BB25</f>
        <v>17017.21</v>
      </c>
      <c r="BC25" s="137">
        <f>AA25+'05.31.20'!BC25</f>
        <v>10210.25</v>
      </c>
      <c r="BD25" s="276">
        <f>AB25+'05.31.20'!BD25</f>
        <v>-170.86</v>
      </c>
      <c r="BE25" s="280">
        <f>AC25+'05.31.20'!BE25</f>
        <v>-444.06</v>
      </c>
      <c r="BF25" s="276">
        <f>AD25+'05.31.20'!BF25</f>
        <v>-143.96</v>
      </c>
      <c r="BG25" s="280">
        <f>AE25+'05.31.20'!BG25</f>
        <v>-83.94</v>
      </c>
      <c r="BH25" s="84">
        <f t="shared" si="28"/>
        <v>26384.639999999999</v>
      </c>
      <c r="BI25" s="84">
        <f>AG25+'05.31.20'!BI25</f>
        <v>-4750.1499999999996</v>
      </c>
      <c r="BJ25" s="84">
        <f>AH25+'05.31.20'!BJ25</f>
        <v>0</v>
      </c>
      <c r="BK25" s="628">
        <f t="shared" si="29"/>
        <v>-4750.1499999999996</v>
      </c>
      <c r="BL25" s="84">
        <f t="shared" si="22"/>
        <v>432293.01</v>
      </c>
      <c r="BM25" s="84">
        <f t="shared" si="23"/>
        <v>205357.21</v>
      </c>
      <c r="BN25" s="631">
        <f t="shared" si="24"/>
        <v>637650.22</v>
      </c>
    </row>
    <row r="26" spans="1:66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13864.14</v>
      </c>
      <c r="G26" s="9">
        <v>0</v>
      </c>
      <c r="H26" s="129">
        <f t="shared" si="0"/>
        <v>13864.14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17.84</v>
      </c>
      <c r="M26" s="9">
        <f t="shared" si="3"/>
        <v>17.84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13881.98</v>
      </c>
      <c r="S26" s="14">
        <f>(R26/(R$31-1575)*(S$31-1575))</f>
        <v>16581.45</v>
      </c>
      <c r="T26" s="86">
        <v>10240.68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30"/>
        <v>55.88</v>
      </c>
      <c r="Y26" s="268">
        <f t="shared" si="30"/>
        <v>42.11</v>
      </c>
      <c r="Z26" s="124">
        <f t="shared" si="9"/>
        <v>97.99</v>
      </c>
      <c r="AA26" s="268">
        <f t="shared" si="31"/>
        <v>24.39</v>
      </c>
      <c r="AB26" s="204">
        <f t="shared" si="31"/>
        <v>-0.56000000000000005</v>
      </c>
      <c r="AC26" s="268">
        <f t="shared" si="31"/>
        <v>-0.89</v>
      </c>
      <c r="AD26" s="204">
        <f t="shared" si="31"/>
        <v>-2.65</v>
      </c>
      <c r="AE26" s="268">
        <f t="shared" si="31"/>
        <v>-1.46</v>
      </c>
      <c r="AF26" s="7">
        <f t="shared" si="11"/>
        <v>116.82</v>
      </c>
      <c r="AG26" s="7">
        <f>U26*AG$31</f>
        <v>-16.690000000000001</v>
      </c>
      <c r="AH26" s="7">
        <v>0</v>
      </c>
      <c r="AI26" s="124">
        <f t="shared" si="13"/>
        <v>-16.690000000000001</v>
      </c>
      <c r="AJ26" s="14">
        <f t="shared" si="14"/>
        <v>10340.81</v>
      </c>
      <c r="AK26" s="233"/>
      <c r="AL26" s="284"/>
      <c r="AM26" s="33">
        <f t="shared" si="15"/>
        <v>24222.79</v>
      </c>
      <c r="AN26" s="33">
        <f>(S26+AJ26)+((AJ26/AJ$31)*AO$49)</f>
        <v>28762.06</v>
      </c>
      <c r="AO26" s="83"/>
      <c r="AP26" s="114">
        <v>13562.64</v>
      </c>
      <c r="AQ26" s="186">
        <v>19486.439999999999</v>
      </c>
      <c r="AR26" s="192">
        <f>G26+'05.31.20'!AR26</f>
        <v>0</v>
      </c>
      <c r="AS26" s="114">
        <f t="shared" si="21"/>
        <v>-1384.53</v>
      </c>
      <c r="AT26" s="137">
        <f>K26+'05.31.20'!AT26</f>
        <v>0</v>
      </c>
      <c r="AU26" s="137">
        <f>L26+'05.31.20'!AU26</f>
        <v>319.33999999999997</v>
      </c>
      <c r="AV26" s="84">
        <f t="shared" si="26"/>
        <v>319.33999999999997</v>
      </c>
      <c r="AW26" s="84">
        <f>N26+'05.31.20'!AW26</f>
        <v>0</v>
      </c>
      <c r="AX26" s="84">
        <f>O26+'05.31.20'!AX26</f>
        <v>0</v>
      </c>
      <c r="AY26" s="84">
        <f>P26+'05.31.20'!AY26</f>
        <v>0</v>
      </c>
      <c r="AZ26" s="84">
        <f t="shared" si="27"/>
        <v>0</v>
      </c>
      <c r="BA26" s="224">
        <v>9815.51</v>
      </c>
      <c r="BB26" s="137">
        <f>Z26+'05.31.20'!BB26</f>
        <v>712.97</v>
      </c>
      <c r="BC26" s="137">
        <f>AA26+'05.31.20'!BC26</f>
        <v>427.8</v>
      </c>
      <c r="BD26" s="276">
        <f>AB26+'05.31.20'!BD26</f>
        <v>-7.17</v>
      </c>
      <c r="BE26" s="280">
        <f>AC26+'05.31.20'!BE26</f>
        <v>-18.61</v>
      </c>
      <c r="BF26" s="276">
        <f>AD26+'05.31.20'!BF26</f>
        <v>-6.03</v>
      </c>
      <c r="BG26" s="280">
        <f>AE26+'05.31.20'!BG26</f>
        <v>-3.52</v>
      </c>
      <c r="BH26" s="84">
        <f t="shared" si="28"/>
        <v>1105.44</v>
      </c>
      <c r="BI26" s="84">
        <f>AG26+'05.31.20'!BI26</f>
        <v>-199.03</v>
      </c>
      <c r="BJ26" s="84">
        <f>AH26+'05.31.20'!BJ26</f>
        <v>-381.11</v>
      </c>
      <c r="BK26" s="628">
        <f t="shared" si="29"/>
        <v>-580.14</v>
      </c>
      <c r="BL26" s="84">
        <f t="shared" si="22"/>
        <v>18421.25</v>
      </c>
      <c r="BM26" s="84">
        <f t="shared" si="23"/>
        <v>10340.81</v>
      </c>
      <c r="BN26" s="631">
        <f t="shared" si="24"/>
        <v>28762.06</v>
      </c>
    </row>
    <row r="27" spans="1:66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13678.1</v>
      </c>
      <c r="G27" s="9">
        <v>0</v>
      </c>
      <c r="H27" s="129">
        <f t="shared" si="0"/>
        <v>13678.1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17.600000000000001</v>
      </c>
      <c r="M27" s="9">
        <f t="shared" si="3"/>
        <v>17.600000000000001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13695.7</v>
      </c>
      <c r="S27" s="14">
        <f>(R27/(R$31-1575)*(S$31-1575))</f>
        <v>16358.95</v>
      </c>
      <c r="T27" s="86">
        <v>7575.88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30"/>
        <v>55.13</v>
      </c>
      <c r="Y27" s="268">
        <f t="shared" si="30"/>
        <v>41.55</v>
      </c>
      <c r="Z27" s="124">
        <f t="shared" si="9"/>
        <v>96.68</v>
      </c>
      <c r="AA27" s="268">
        <f t="shared" si="31"/>
        <v>24.06</v>
      </c>
      <c r="AB27" s="204">
        <f t="shared" si="31"/>
        <v>-0.55000000000000004</v>
      </c>
      <c r="AC27" s="268">
        <f t="shared" si="31"/>
        <v>-0.87</v>
      </c>
      <c r="AD27" s="204">
        <f t="shared" si="31"/>
        <v>-2.62</v>
      </c>
      <c r="AE27" s="268">
        <f t="shared" si="31"/>
        <v>-1.44</v>
      </c>
      <c r="AF27" s="7">
        <f t="shared" si="11"/>
        <v>115.26</v>
      </c>
      <c r="AG27" s="7">
        <f>U27*AG$31</f>
        <v>-16.46</v>
      </c>
      <c r="AH27" s="7">
        <v>0</v>
      </c>
      <c r="AI27" s="124">
        <f t="shared" si="13"/>
        <v>-16.46</v>
      </c>
      <c r="AJ27" s="14">
        <f t="shared" si="14"/>
        <v>7674.68</v>
      </c>
      <c r="AK27" s="233" t="s">
        <v>120</v>
      </c>
      <c r="AL27" s="236" t="s">
        <v>115</v>
      </c>
      <c r="AM27" s="33">
        <f t="shared" si="15"/>
        <v>21370.38</v>
      </c>
      <c r="AN27" s="33">
        <f>(S27+AJ27)+((AJ27/AJ$31)*AO$49)</f>
        <v>25399.08</v>
      </c>
      <c r="AO27" s="83"/>
      <c r="AP27" s="114">
        <v>13380.65</v>
      </c>
      <c r="AQ27" s="186">
        <v>18601.91</v>
      </c>
      <c r="AR27" s="192">
        <f>G27+'05.31.20'!AR27</f>
        <v>0</v>
      </c>
      <c r="AS27" s="114">
        <f t="shared" si="21"/>
        <v>-1192.56</v>
      </c>
      <c r="AT27" s="137">
        <f>K27+'05.31.20'!AT27</f>
        <v>0</v>
      </c>
      <c r="AU27" s="137">
        <f>L27+'05.31.20'!AU27</f>
        <v>315.05</v>
      </c>
      <c r="AV27" s="84">
        <f t="shared" si="26"/>
        <v>315.05</v>
      </c>
      <c r="AW27" s="84">
        <f>N27+'05.31.20'!AW27</f>
        <v>0</v>
      </c>
      <c r="AX27" s="84">
        <f>O27+'05.31.20'!AX27</f>
        <v>0</v>
      </c>
      <c r="AY27" s="84">
        <f>P27+'05.31.20'!AY27</f>
        <v>0</v>
      </c>
      <c r="AZ27" s="84">
        <f t="shared" si="27"/>
        <v>0</v>
      </c>
      <c r="BA27" s="224">
        <v>7139.55</v>
      </c>
      <c r="BB27" s="137">
        <f>Z27+'05.31.20'!BB27</f>
        <v>703.43</v>
      </c>
      <c r="BC27" s="137">
        <f>AA27+'05.31.20'!BC27</f>
        <v>422.04</v>
      </c>
      <c r="BD27" s="276">
        <f>AB27+'05.31.20'!BD27</f>
        <v>-7.06</v>
      </c>
      <c r="BE27" s="280">
        <f>AC27+'05.31.20'!BE27</f>
        <v>-18.36</v>
      </c>
      <c r="BF27" s="276">
        <f>AD27+'05.31.20'!BF27</f>
        <v>-5.95</v>
      </c>
      <c r="BG27" s="280">
        <f>AE27+'05.31.20'!BG27</f>
        <v>-3.49</v>
      </c>
      <c r="BH27" s="84">
        <f t="shared" si="28"/>
        <v>1090.6099999999999</v>
      </c>
      <c r="BI27" s="84">
        <f>AG27+'05.31.20'!BI27</f>
        <v>-196.35</v>
      </c>
      <c r="BJ27" s="84">
        <f>AH27+'05.31.20'!BJ27</f>
        <v>-359.13</v>
      </c>
      <c r="BK27" s="628">
        <f t="shared" si="29"/>
        <v>-555.48</v>
      </c>
      <c r="BL27" s="84">
        <f t="shared" si="22"/>
        <v>17724.400000000001</v>
      </c>
      <c r="BM27" s="84">
        <f t="shared" si="23"/>
        <v>7674.68</v>
      </c>
      <c r="BN27" s="631">
        <f t="shared" si="24"/>
        <v>25399.08</v>
      </c>
    </row>
    <row r="28" spans="1:66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30"/>
        <v>0</v>
      </c>
      <c r="Y28" s="268">
        <f t="shared" si="30"/>
        <v>0</v>
      </c>
      <c r="Z28" s="124">
        <f t="shared" si="9"/>
        <v>0</v>
      </c>
      <c r="AA28" s="268">
        <f t="shared" si="31"/>
        <v>0</v>
      </c>
      <c r="AB28" s="204">
        <f t="shared" si="31"/>
        <v>0</v>
      </c>
      <c r="AC28" s="268">
        <f t="shared" si="31"/>
        <v>0</v>
      </c>
      <c r="AD28" s="204">
        <f t="shared" si="31"/>
        <v>0</v>
      </c>
      <c r="AE28" s="268">
        <f t="shared" si="31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1575</v>
      </c>
      <c r="AR28" s="192">
        <f>G28+'05.31.20'!AR28</f>
        <v>0</v>
      </c>
      <c r="AS28" s="114">
        <f t="shared" si="21"/>
        <v>0</v>
      </c>
      <c r="AT28" s="137">
        <f>K28+'05.31.20'!AT28</f>
        <v>0</v>
      </c>
      <c r="AU28" s="137">
        <f>L28+'05.31.20'!AU28</f>
        <v>0</v>
      </c>
      <c r="AV28" s="84">
        <f t="shared" si="26"/>
        <v>0</v>
      </c>
      <c r="AW28" s="84">
        <f>N28+'05.31.20'!AW28</f>
        <v>0</v>
      </c>
      <c r="AX28" s="84">
        <f>O28+'05.31.20'!AX28</f>
        <v>0</v>
      </c>
      <c r="AY28" s="84">
        <f>P28+'05.31.20'!AY28</f>
        <v>0</v>
      </c>
      <c r="AZ28" s="84">
        <f t="shared" si="27"/>
        <v>0</v>
      </c>
      <c r="BA28" s="224">
        <v>0</v>
      </c>
      <c r="BB28" s="137">
        <f>Z28+'05.31.20'!BB28</f>
        <v>0</v>
      </c>
      <c r="BC28" s="137">
        <f>AA28+'05.31.20'!BC28</f>
        <v>0</v>
      </c>
      <c r="BD28" s="276">
        <f>AB28+'05.31.20'!BD28</f>
        <v>0</v>
      </c>
      <c r="BE28" s="280">
        <f>AC28+'05.31.20'!BE28</f>
        <v>0</v>
      </c>
      <c r="BF28" s="276">
        <f>AD28+'05.31.20'!BF28</f>
        <v>0</v>
      </c>
      <c r="BG28" s="280">
        <f>AE28+'05.31.20'!BG28</f>
        <v>0</v>
      </c>
      <c r="BH28" s="84">
        <f t="shared" si="28"/>
        <v>0</v>
      </c>
      <c r="BI28" s="84">
        <f>AG28+'05.31.20'!BI28</f>
        <v>0</v>
      </c>
      <c r="BJ28" s="84">
        <f>AH28+'05.31.20'!BJ28</f>
        <v>0</v>
      </c>
      <c r="BK28" s="628">
        <f t="shared" si="29"/>
        <v>0</v>
      </c>
      <c r="BL28" s="84">
        <f t="shared" si="22"/>
        <v>1575</v>
      </c>
      <c r="BM28" s="84">
        <f t="shared" si="23"/>
        <v>0</v>
      </c>
      <c r="BN28" s="631">
        <f t="shared" si="24"/>
        <v>1575</v>
      </c>
    </row>
    <row r="29" spans="1:66" s="82" customFormat="1" ht="16.149999999999999" customHeight="1" thickBo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628"/>
      <c r="BL29" s="632"/>
      <c r="BM29" s="633"/>
      <c r="BN29" s="633"/>
    </row>
    <row r="30" spans="1:66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  <c r="BL30" s="368"/>
      <c r="BM30" s="367"/>
      <c r="BN30" s="367"/>
    </row>
    <row r="31" spans="1:66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3786517.47</v>
      </c>
      <c r="G31" s="48">
        <f>SUM(G12:G29)</f>
        <v>0</v>
      </c>
      <c r="H31" s="130">
        <f>SUM(H12:H29)</f>
        <v>3786517.47</v>
      </c>
      <c r="I31" s="78">
        <f>SUM(I12:I30)</f>
        <v>1</v>
      </c>
      <c r="J31" s="115"/>
      <c r="K31" s="115">
        <v>0</v>
      </c>
      <c r="L31" s="115">
        <f>D57</f>
        <v>4870.88</v>
      </c>
      <c r="M31" s="48">
        <f>SUM(M12:M29)</f>
        <v>4870.88</v>
      </c>
      <c r="N31" s="48">
        <f>D51</f>
        <v>0</v>
      </c>
      <c r="O31" s="48">
        <f>D53</f>
        <v>0</v>
      </c>
      <c r="P31" s="48">
        <f>SUM(P12:P29)</f>
        <v>0</v>
      </c>
      <c r="Q31" s="115">
        <f>SUM(Q12:Q29)</f>
        <v>0</v>
      </c>
      <c r="R31" s="48">
        <f>SUM(R12:R29)</f>
        <v>3791388.35</v>
      </c>
      <c r="S31" s="49">
        <f>R31+AO45</f>
        <v>4528351.0999999996</v>
      </c>
      <c r="T31" s="50">
        <f>SUM(T12:T29)</f>
        <v>2649521.19</v>
      </c>
      <c r="U31" s="51">
        <f>SUM(U12:U30)</f>
        <v>1</v>
      </c>
      <c r="V31" s="206">
        <v>135.62</v>
      </c>
      <c r="W31" s="306">
        <v>2649385.5699999998</v>
      </c>
      <c r="X31" s="206">
        <f>D48+D49</f>
        <v>15255.49</v>
      </c>
      <c r="Y31" s="266">
        <f>E48+E49</f>
        <v>11496.56</v>
      </c>
      <c r="Z31" s="115">
        <f>SUM(Z12:Z29)</f>
        <v>26752.05</v>
      </c>
      <c r="AA31" s="272">
        <f>E57</f>
        <v>6658.52</v>
      </c>
      <c r="AB31" s="210">
        <f>D59</f>
        <v>-152.56</v>
      </c>
      <c r="AC31" s="272">
        <f>E59</f>
        <v>-241.93</v>
      </c>
      <c r="AD31" s="210">
        <f>D55</f>
        <v>-724.74</v>
      </c>
      <c r="AE31" s="272">
        <f>E55</f>
        <v>-398.17</v>
      </c>
      <c r="AF31" s="48">
        <f>SUM(AF12:AF29)</f>
        <v>31893.17</v>
      </c>
      <c r="AG31" s="48">
        <f>E53+E54</f>
        <v>-4555.08</v>
      </c>
      <c r="AH31" s="48">
        <f>SUM(AH12:AH30)</f>
        <v>-118.5</v>
      </c>
      <c r="AI31" s="115">
        <f>SUM(AI12:AI30)</f>
        <v>-4673.58</v>
      </c>
      <c r="AJ31" s="52">
        <f>SUM(AJ12:AJ30)</f>
        <v>2676740.7799999998</v>
      </c>
      <c r="AK31" s="210">
        <f>V31+X31+AB31+AD31+D50</f>
        <v>0</v>
      </c>
      <c r="AL31" s="305">
        <f>W31+Y31+AA31+AC31+AE31++AG31+AH31+E50</f>
        <v>2676740.7799999998</v>
      </c>
      <c r="AM31" s="35">
        <f>SUM(AM12:AM29)</f>
        <v>6468129.1299999999</v>
      </c>
      <c r="AN31" s="35">
        <f>D46+E46+1575</f>
        <v>7681327.1600000001</v>
      </c>
      <c r="AO31" s="53"/>
      <c r="AP31" s="177">
        <f>SUM(AP12:AP29)</f>
        <v>3704208.25</v>
      </c>
      <c r="AQ31" s="187">
        <f>SUM(AQ12:AQ29)</f>
        <v>5263311.6900000004</v>
      </c>
      <c r="AR31" s="47">
        <f>SUM(AR12:AR29)</f>
        <v>0</v>
      </c>
      <c r="AS31" s="115">
        <f t="shared" ref="AS31:BN31" si="32">SUM(AS12:AS29)</f>
        <v>-345905.41</v>
      </c>
      <c r="AT31" s="115">
        <v>0</v>
      </c>
      <c r="AU31" s="115">
        <f t="shared" si="32"/>
        <v>87180.1</v>
      </c>
      <c r="AV31" s="48">
        <f t="shared" si="32"/>
        <v>87180.1</v>
      </c>
      <c r="AW31" s="48">
        <f t="shared" si="32"/>
        <v>0</v>
      </c>
      <c r="AX31" s="48">
        <f t="shared" si="32"/>
        <v>0</v>
      </c>
      <c r="AY31" s="48">
        <f t="shared" si="32"/>
        <v>0</v>
      </c>
      <c r="AZ31" s="48">
        <f t="shared" si="32"/>
        <v>0</v>
      </c>
      <c r="BA31" s="200">
        <f t="shared" si="32"/>
        <v>2442372.21</v>
      </c>
      <c r="BB31" s="115">
        <f t="shared" si="32"/>
        <v>194647.6</v>
      </c>
      <c r="BC31" s="115">
        <f t="shared" si="32"/>
        <v>116787.59</v>
      </c>
      <c r="BD31" s="210">
        <f t="shared" si="32"/>
        <v>-1954.35</v>
      </c>
      <c r="BE31" s="272">
        <f t="shared" si="32"/>
        <v>-5079.33</v>
      </c>
      <c r="BF31" s="210">
        <f t="shared" si="32"/>
        <v>-1646.76</v>
      </c>
      <c r="BG31" s="272">
        <f t="shared" si="32"/>
        <v>-960.05</v>
      </c>
      <c r="BH31" s="48">
        <f t="shared" si="32"/>
        <v>301794.7</v>
      </c>
      <c r="BI31" s="48">
        <f t="shared" si="32"/>
        <v>-54333.67</v>
      </c>
      <c r="BJ31" s="48">
        <f t="shared" si="32"/>
        <v>-13092.46</v>
      </c>
      <c r="BK31" s="73">
        <f t="shared" si="32"/>
        <v>-67426.13</v>
      </c>
      <c r="BL31" s="436">
        <f t="shared" si="32"/>
        <v>5004586.38</v>
      </c>
      <c r="BM31" s="436">
        <f t="shared" si="32"/>
        <v>2676740.7799999998</v>
      </c>
      <c r="BN31" s="436">
        <f t="shared" si="32"/>
        <v>7681327.1600000001</v>
      </c>
    </row>
    <row r="32" spans="1:66" ht="16.149999999999999" customHeight="1">
      <c r="L32" s="117" t="s">
        <v>127</v>
      </c>
      <c r="M32" s="81"/>
      <c r="AQ32" s="117"/>
    </row>
    <row r="33" spans="1:66" s="240" customFormat="1" ht="26.25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589">
        <f>SUM(AQ12:AQ28)</f>
        <v>5263311.6900000004</v>
      </c>
      <c r="AS33" s="589">
        <f>SUM(AS12:AS28)</f>
        <v>-345905.41</v>
      </c>
      <c r="AT33" s="239"/>
      <c r="AU33" s="239"/>
      <c r="BA33" s="239"/>
      <c r="BB33" s="239"/>
      <c r="BC33" s="239"/>
      <c r="BD33" s="239"/>
      <c r="BE33" s="239"/>
      <c r="BF33" s="239"/>
      <c r="BG33" s="239"/>
      <c r="BL33" s="651">
        <v>-476235.28</v>
      </c>
      <c r="BM33" s="652" t="s">
        <v>219</v>
      </c>
      <c r="BN33" s="652"/>
    </row>
    <row r="34" spans="1:66" s="258" customFormat="1" ht="24" customHeight="1">
      <c r="A34" s="257"/>
      <c r="C34" s="260" t="s">
        <v>117</v>
      </c>
      <c r="E34" s="250"/>
      <c r="F34" s="259">
        <f>F31+F33</f>
        <v>3784942.47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3789813.35</v>
      </c>
      <c r="S34" s="259">
        <f>S31+S33</f>
        <v>4526776.0999999996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6466554.1299999999</v>
      </c>
      <c r="AN34" s="259">
        <f>AN31+AN33</f>
        <v>7679752.1600000001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  <c r="BL34" s="584">
        <f>BL31+BL33</f>
        <v>4528351.0999999996</v>
      </c>
      <c r="BM34" s="585"/>
      <c r="BN34" s="585"/>
    </row>
    <row r="35" spans="1:66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  <c r="BL35" s="583"/>
      <c r="BM35" s="583"/>
      <c r="BN35" s="583"/>
    </row>
    <row r="36" spans="1:66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6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  <c r="BL37" s="369"/>
      <c r="BM37" s="370"/>
      <c r="BN37" s="370"/>
    </row>
    <row r="38" spans="1:66" s="119" customFormat="1" ht="12.75" hidden="1">
      <c r="C38" s="143"/>
      <c r="D38" s="143"/>
      <c r="E38" s="156" t="s">
        <v>5</v>
      </c>
      <c r="F38" s="121">
        <f>'05.31.20'!R31</f>
        <v>3786517.47</v>
      </c>
      <c r="G38" s="121">
        <f>SUM(G12:G29)</f>
        <v>0</v>
      </c>
      <c r="H38" s="121">
        <f>F31+G31+P31</f>
        <v>3786517.47</v>
      </c>
      <c r="I38" s="144">
        <v>1</v>
      </c>
      <c r="J38" s="121"/>
      <c r="K38" s="121">
        <f>SUM(K12:K29)</f>
        <v>0</v>
      </c>
      <c r="L38" s="121">
        <f>SUM(L12:L29)</f>
        <v>4870.88</v>
      </c>
      <c r="M38" s="121">
        <f>K31+L31</f>
        <v>4870.88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3791388.35</v>
      </c>
      <c r="S38" s="121">
        <f>SUM(S12:S29)</f>
        <v>4528351.0999999996</v>
      </c>
      <c r="T38" s="121">
        <f>'05.31.20'!AJ31</f>
        <v>2649521.19</v>
      </c>
      <c r="U38" s="144">
        <v>1</v>
      </c>
      <c r="V38" s="229"/>
      <c r="W38" s="198"/>
      <c r="X38" s="121">
        <f t="shared" ref="X38:AE38" si="33">SUM(X12:X29)</f>
        <v>15255.49</v>
      </c>
      <c r="Y38" s="121">
        <f t="shared" si="33"/>
        <v>11496.56</v>
      </c>
      <c r="Z38" s="121">
        <f t="shared" si="33"/>
        <v>26752.05</v>
      </c>
      <c r="AA38" s="121">
        <f t="shared" si="33"/>
        <v>6658.52</v>
      </c>
      <c r="AB38" s="121">
        <f t="shared" si="33"/>
        <v>-152.56</v>
      </c>
      <c r="AC38" s="121">
        <f t="shared" si="33"/>
        <v>-241.93</v>
      </c>
      <c r="AD38" s="121">
        <f t="shared" si="33"/>
        <v>-724.74</v>
      </c>
      <c r="AE38" s="121">
        <f t="shared" si="33"/>
        <v>-398.17</v>
      </c>
      <c r="AF38" s="121">
        <f>SUM(Z31:AE31)</f>
        <v>31893.17</v>
      </c>
      <c r="AG38" s="121">
        <f>SUM(AG12:AG29)</f>
        <v>-4555.08</v>
      </c>
      <c r="AH38" s="121">
        <f>SUM(AH12:AH29)</f>
        <v>-118.5</v>
      </c>
      <c r="AI38" s="121">
        <f>AG38+AH38</f>
        <v>-4673.58</v>
      </c>
      <c r="AJ38" s="121">
        <f>T31+AF31+AI31</f>
        <v>2676740.7799999998</v>
      </c>
      <c r="AK38" s="149"/>
      <c r="AL38" s="121"/>
      <c r="AM38" s="121">
        <f>R31+AJ31</f>
        <v>6468129.1299999999</v>
      </c>
      <c r="AN38" s="121">
        <f>SUM(AN12:AN29)</f>
        <v>7681327.1600000001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4870.88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31893.17</v>
      </c>
      <c r="BI38" s="146">
        <f>AG31</f>
        <v>-4555.08</v>
      </c>
      <c r="BJ38" s="146">
        <f>AH31</f>
        <v>-118.5</v>
      </c>
      <c r="BK38" s="146">
        <f>AI31</f>
        <v>-4673.58</v>
      </c>
      <c r="BL38" s="586"/>
      <c r="BM38" s="408"/>
      <c r="BN38" s="408"/>
    </row>
    <row r="39" spans="1:66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  <c r="BL39" s="587"/>
      <c r="BM39" s="408"/>
      <c r="BN39" s="408"/>
    </row>
    <row r="40" spans="1:66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4">AV31-AV38</f>
        <v>82309.22</v>
      </c>
      <c r="AW40" s="149">
        <f t="shared" si="34"/>
        <v>0</v>
      </c>
      <c r="AX40" s="149">
        <f t="shared" si="34"/>
        <v>0</v>
      </c>
      <c r="AY40" s="149">
        <f t="shared" si="34"/>
        <v>0</v>
      </c>
      <c r="AZ40" s="149">
        <f t="shared" si="34"/>
        <v>0</v>
      </c>
      <c r="BH40" s="149">
        <f t="shared" ref="BH40:BK40" si="35">BH31-BH38</f>
        <v>269901.53000000003</v>
      </c>
      <c r="BI40" s="149">
        <f t="shared" si="35"/>
        <v>-49778.59</v>
      </c>
      <c r="BJ40" s="149">
        <f t="shared" si="35"/>
        <v>-12973.96</v>
      </c>
      <c r="BK40" s="149">
        <f t="shared" si="35"/>
        <v>-62752.55</v>
      </c>
      <c r="BL40" s="588"/>
      <c r="BM40" s="408"/>
      <c r="BN40" s="408"/>
    </row>
    <row r="41" spans="1:66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'05.31.20'!AR31</f>
        <v>0</v>
      </c>
      <c r="AS41" s="141"/>
      <c r="AT41" s="141"/>
      <c r="AU41" s="141"/>
      <c r="AV41" s="141">
        <f>'05.31.20'!AV31</f>
        <v>82309.22</v>
      </c>
      <c r="AW41" s="141">
        <f>'05.31.20'!AW31</f>
        <v>0</v>
      </c>
      <c r="AX41" s="141">
        <f>'05.31.20'!AX31</f>
        <v>0</v>
      </c>
      <c r="AY41" s="141">
        <f>'05.31.20'!AY31</f>
        <v>0</v>
      </c>
      <c r="AZ41" s="141">
        <f>'05.31.20'!AZ31</f>
        <v>0</v>
      </c>
      <c r="BA41" s="181"/>
      <c r="BB41" s="181"/>
      <c r="BC41" s="181"/>
      <c r="BD41" s="181"/>
      <c r="BE41" s="181"/>
      <c r="BF41" s="181"/>
      <c r="BG41" s="181"/>
      <c r="BH41" s="141">
        <f>'05.31.20'!BH31</f>
        <v>269901.53000000003</v>
      </c>
      <c r="BI41" s="141">
        <f>'05.31.20'!BI31</f>
        <v>-49778.59</v>
      </c>
      <c r="BJ41" s="141">
        <f>'05.31.20'!BJ31</f>
        <v>-12973.96</v>
      </c>
      <c r="BK41" s="141">
        <f>'05.31.20'!BK31</f>
        <v>-62752.55</v>
      </c>
      <c r="BL41" s="141"/>
      <c r="BM41" s="370"/>
      <c r="BN41" s="370"/>
    </row>
    <row r="42" spans="1:66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6">K31-K38</f>
        <v>0</v>
      </c>
      <c r="L42" s="298">
        <f t="shared" si="36"/>
        <v>0</v>
      </c>
      <c r="M42" s="298">
        <f t="shared" si="36"/>
        <v>0</v>
      </c>
      <c r="N42" s="298">
        <f t="shared" si="36"/>
        <v>0</v>
      </c>
      <c r="O42" s="298">
        <f t="shared" si="36"/>
        <v>0</v>
      </c>
      <c r="P42" s="298">
        <f t="shared" si="36"/>
        <v>0</v>
      </c>
      <c r="Q42" s="298">
        <f t="shared" si="36"/>
        <v>0</v>
      </c>
      <c r="R42" s="298">
        <f t="shared" si="36"/>
        <v>0</v>
      </c>
      <c r="S42" s="298">
        <f t="shared" si="36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7">X31-X38</f>
        <v>0</v>
      </c>
      <c r="Y42" s="298">
        <f t="shared" si="37"/>
        <v>0</v>
      </c>
      <c r="Z42" s="298">
        <f t="shared" si="37"/>
        <v>0</v>
      </c>
      <c r="AA42" s="298">
        <f t="shared" si="37"/>
        <v>0</v>
      </c>
      <c r="AB42" s="298">
        <f t="shared" si="37"/>
        <v>0</v>
      </c>
      <c r="AC42" s="298">
        <f t="shared" si="37"/>
        <v>0</v>
      </c>
      <c r="AD42" s="298">
        <f t="shared" si="37"/>
        <v>0</v>
      </c>
      <c r="AE42" s="298">
        <f t="shared" si="37"/>
        <v>0</v>
      </c>
      <c r="AF42" s="298">
        <f t="shared" si="37"/>
        <v>0</v>
      </c>
      <c r="AG42" s="298">
        <f>AG31-AG38</f>
        <v>0</v>
      </c>
      <c r="AH42" s="298">
        <f>AH31-AH38</f>
        <v>0</v>
      </c>
      <c r="AI42" s="298">
        <f t="shared" si="37"/>
        <v>0</v>
      </c>
      <c r="AJ42" s="298">
        <f t="shared" si="37"/>
        <v>0</v>
      </c>
      <c r="AK42" s="303"/>
      <c r="AL42" s="302"/>
      <c r="AM42" s="298">
        <f t="shared" si="37"/>
        <v>0</v>
      </c>
      <c r="AN42" s="298">
        <f t="shared" si="37"/>
        <v>0</v>
      </c>
      <c r="AO42" s="300" t="s">
        <v>6</v>
      </c>
      <c r="AR42" s="298">
        <f>AR40-AR41</f>
        <v>0</v>
      </c>
      <c r="AV42" s="298">
        <f t="shared" ref="AV42:AZ42" si="38">AV40-AV41</f>
        <v>0</v>
      </c>
      <c r="AW42" s="298">
        <f t="shared" si="38"/>
        <v>0</v>
      </c>
      <c r="AX42" s="298">
        <f t="shared" si="38"/>
        <v>0</v>
      </c>
      <c r="AY42" s="298">
        <f t="shared" si="38"/>
        <v>0</v>
      </c>
      <c r="AZ42" s="298">
        <f t="shared" si="38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9">BH40-BH41</f>
        <v>0</v>
      </c>
      <c r="BI42" s="298">
        <f t="shared" si="39"/>
        <v>0</v>
      </c>
      <c r="BJ42" s="298">
        <f t="shared" si="39"/>
        <v>0</v>
      </c>
      <c r="BK42" s="298">
        <f t="shared" si="39"/>
        <v>0</v>
      </c>
    </row>
    <row r="43" spans="1:66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6" s="118" customFormat="1" ht="17.25" hidden="1">
      <c r="C44" s="325" t="s">
        <v>174</v>
      </c>
      <c r="D44" s="326" t="s">
        <v>190</v>
      </c>
      <c r="E44" s="327" t="s">
        <v>189</v>
      </c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  <c r="BL44" s="369"/>
      <c r="BM44" s="370"/>
      <c r="BN44" s="370"/>
    </row>
    <row r="45" spans="1:66" s="118" customFormat="1" hidden="1">
      <c r="B45" s="131"/>
      <c r="C45" s="322"/>
      <c r="D45" s="32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3789813.35</v>
      </c>
      <c r="AM45" s="289"/>
      <c r="AN45" s="289">
        <v>4526776.0999999996</v>
      </c>
      <c r="AO45" s="307">
        <f>AN45-AL45</f>
        <v>736962.75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  <c r="BL45" s="369"/>
      <c r="BM45" s="370"/>
      <c r="BN45" s="370"/>
    </row>
    <row r="46" spans="1:66" s="118" customFormat="1" hidden="1">
      <c r="C46" s="323" t="s">
        <v>175</v>
      </c>
      <c r="D46" s="324">
        <v>4526776.0999999996</v>
      </c>
      <c r="E46" s="329">
        <v>3152976.06</v>
      </c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3789813.35</v>
      </c>
      <c r="AN46" s="289">
        <v>0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  <c r="BL46" s="369"/>
      <c r="BM46" s="370"/>
      <c r="BN46" s="370"/>
    </row>
    <row r="47" spans="1:66" s="118" customFormat="1" ht="15.75" hidden="1">
      <c r="C47" s="323" t="s">
        <v>176</v>
      </c>
      <c r="D47" s="324">
        <v>0</v>
      </c>
      <c r="E47" s="329">
        <v>0</v>
      </c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  <c r="BL47" s="369"/>
      <c r="BM47" s="370"/>
      <c r="BN47" s="370"/>
    </row>
    <row r="48" spans="1:66" s="118" customFormat="1" hidden="1">
      <c r="C48" s="323" t="s">
        <v>177</v>
      </c>
      <c r="D48" s="324">
        <v>4941.53</v>
      </c>
      <c r="E48" s="329">
        <v>4590</v>
      </c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2674350.35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  <c r="BL48" s="369"/>
      <c r="BM48" s="370"/>
      <c r="BN48" s="370"/>
    </row>
    <row r="49" spans="3:66" s="118" customFormat="1" hidden="1">
      <c r="C49" s="323" t="s">
        <v>178</v>
      </c>
      <c r="D49" s="324">
        <v>10313.959999999999</v>
      </c>
      <c r="E49" s="329">
        <v>6906.56</v>
      </c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2390.4299999999998</v>
      </c>
      <c r="AM49" s="290">
        <f>AL48+AL49</f>
        <v>2676740.7799999998</v>
      </c>
      <c r="AN49" s="290">
        <v>3152976.06</v>
      </c>
      <c r="AO49" s="307">
        <f>AN49-AM49</f>
        <v>476235.28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  <c r="BL49" s="369"/>
      <c r="BM49" s="370"/>
      <c r="BN49" s="370"/>
    </row>
    <row r="50" spans="3:66" s="118" customFormat="1" hidden="1">
      <c r="C50" s="323" t="s">
        <v>191</v>
      </c>
      <c r="D50" s="324">
        <f>-15238.55-D55</f>
        <v>-14513.81</v>
      </c>
      <c r="E50" s="329">
        <v>14513.81</v>
      </c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88"/>
      <c r="AL50" s="328"/>
      <c r="AM50" s="290"/>
      <c r="AN50" s="290"/>
      <c r="AO50" s="30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  <c r="BL50" s="369"/>
      <c r="BM50" s="370"/>
      <c r="BN50" s="370"/>
    </row>
    <row r="51" spans="3:66" s="118" customFormat="1" ht="15.75" hidden="1">
      <c r="C51" s="323" t="s">
        <v>179</v>
      </c>
      <c r="D51" s="324">
        <v>0</v>
      </c>
      <c r="E51" s="329">
        <v>0</v>
      </c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92"/>
      <c r="AM51" s="117"/>
      <c r="AN51" s="117"/>
      <c r="AO51" s="217"/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  <c r="BL51" s="369"/>
      <c r="BM51" s="370"/>
      <c r="BN51" s="370"/>
    </row>
    <row r="52" spans="3:66" s="118" customFormat="1" hidden="1">
      <c r="C52" s="323" t="s">
        <v>180</v>
      </c>
      <c r="D52" s="664" t="s">
        <v>181</v>
      </c>
      <c r="E52" s="664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88" t="s">
        <v>126</v>
      </c>
      <c r="AL52" s="159"/>
      <c r="AM52" s="296">
        <f>AM46+AM49</f>
        <v>6466554.1299999999</v>
      </c>
      <c r="AN52" s="296">
        <f>AN45+AN46+AN49</f>
        <v>7679752.1600000001</v>
      </c>
      <c r="AO52" s="308">
        <f>AO45+AO46+AO49</f>
        <v>1213198.03</v>
      </c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  <c r="BL52" s="369"/>
      <c r="BM52" s="370"/>
      <c r="BN52" s="370"/>
    </row>
    <row r="53" spans="3:66" s="118" customFormat="1" hidden="1">
      <c r="C53" s="323" t="s">
        <v>182</v>
      </c>
      <c r="D53" s="324">
        <v>0</v>
      </c>
      <c r="E53" s="329">
        <v>-2687.26</v>
      </c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95" t="s">
        <v>6</v>
      </c>
      <c r="AL53" s="159"/>
      <c r="AM53" s="297">
        <f>AM34-AM52</f>
        <v>0</v>
      </c>
      <c r="AN53" s="297">
        <f>AN34-AN52</f>
        <v>0</v>
      </c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  <c r="BL53" s="369"/>
      <c r="BM53" s="370"/>
      <c r="BN53" s="370"/>
    </row>
    <row r="54" spans="3:66" s="118" customFormat="1" hidden="1">
      <c r="C54" s="323" t="s">
        <v>183</v>
      </c>
      <c r="D54" s="324">
        <v>0</v>
      </c>
      <c r="E54" s="329">
        <v>-1867.82</v>
      </c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  <c r="BL54" s="369"/>
      <c r="BM54" s="370"/>
      <c r="BN54" s="370"/>
    </row>
    <row r="55" spans="3:66" s="118" customFormat="1" hidden="1">
      <c r="C55" s="323" t="s">
        <v>184</v>
      </c>
      <c r="D55" s="324">
        <f>-71.68-639.86-13.2</f>
        <v>-724.74</v>
      </c>
      <c r="E55" s="329">
        <f>-37.01-353.86-7.3</f>
        <v>-398.17</v>
      </c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86"/>
      <c r="AL55" s="159"/>
      <c r="AM55" s="159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  <c r="BL55" s="369"/>
      <c r="BM55" s="370"/>
      <c r="BN55" s="370"/>
    </row>
    <row r="56" spans="3:66" s="118" customFormat="1" hidden="1">
      <c r="C56" s="323" t="s">
        <v>185</v>
      </c>
      <c r="D56" s="664" t="s">
        <v>181</v>
      </c>
      <c r="E56" s="664"/>
      <c r="H56" s="117"/>
      <c r="I56" s="142"/>
      <c r="J56" s="117"/>
      <c r="K56" s="117"/>
      <c r="L56" s="117"/>
      <c r="O56" s="117"/>
      <c r="Q56" s="117"/>
      <c r="R56" s="117"/>
      <c r="V56" s="225"/>
      <c r="W56" s="226"/>
      <c r="X56" s="196"/>
      <c r="Y56" s="196"/>
      <c r="Z56" s="117"/>
      <c r="AA56" s="117"/>
      <c r="AB56" s="117"/>
      <c r="AC56" s="117"/>
      <c r="AD56" s="117"/>
      <c r="AE56" s="117"/>
      <c r="AI56" s="117"/>
      <c r="AK56" s="217"/>
      <c r="AL56" s="117"/>
      <c r="AM56" s="117"/>
      <c r="AN56" s="117"/>
      <c r="AO56" s="108"/>
      <c r="AP56" s="108"/>
      <c r="AS56" s="117"/>
      <c r="AZ56" s="117"/>
      <c r="BA56" s="117"/>
      <c r="BB56" s="117"/>
      <c r="BC56" s="117"/>
      <c r="BD56" s="117"/>
      <c r="BE56" s="117"/>
      <c r="BF56" s="117"/>
      <c r="BG56" s="117"/>
      <c r="BK56" s="117"/>
      <c r="BL56" s="369"/>
      <c r="BM56" s="370"/>
      <c r="BN56" s="370"/>
    </row>
    <row r="57" spans="3:66" s="118" customFormat="1" hidden="1">
      <c r="C57" s="323" t="s">
        <v>186</v>
      </c>
      <c r="D57" s="324">
        <v>4870.88</v>
      </c>
      <c r="E57" s="329">
        <v>6658.52</v>
      </c>
      <c r="H57" s="117"/>
      <c r="I57" s="142"/>
      <c r="J57" s="117"/>
      <c r="K57" s="117"/>
      <c r="L57" s="117"/>
      <c r="O57" s="117"/>
      <c r="Q57" s="117"/>
      <c r="R57" s="117"/>
      <c r="V57" s="225"/>
      <c r="W57" s="226"/>
      <c r="X57" s="196"/>
      <c r="Y57" s="196"/>
      <c r="Z57" s="117"/>
      <c r="AA57" s="117"/>
      <c r="AB57" s="117"/>
      <c r="AC57" s="117"/>
      <c r="AD57" s="117"/>
      <c r="AE57" s="117"/>
      <c r="AI57" s="117"/>
      <c r="AK57" s="217"/>
      <c r="AL57" s="117"/>
      <c r="AM57" s="117"/>
      <c r="AN57" s="117"/>
      <c r="AO57" s="108"/>
      <c r="AP57" s="108"/>
      <c r="AS57" s="117"/>
      <c r="AZ57" s="117"/>
      <c r="BA57" s="117"/>
      <c r="BB57" s="117"/>
      <c r="BC57" s="117"/>
      <c r="BD57" s="117"/>
      <c r="BE57" s="117"/>
      <c r="BF57" s="117"/>
      <c r="BG57" s="117"/>
      <c r="BK57" s="117"/>
      <c r="BL57" s="369"/>
      <c r="BM57" s="370"/>
      <c r="BN57" s="370"/>
    </row>
    <row r="58" spans="3:66" s="118" customFormat="1" hidden="1">
      <c r="C58" s="323" t="s">
        <v>187</v>
      </c>
      <c r="D58" s="324">
        <v>0</v>
      </c>
      <c r="E58" s="329">
        <v>0</v>
      </c>
      <c r="H58" s="117"/>
      <c r="I58" s="142"/>
      <c r="J58" s="117"/>
      <c r="K58" s="117"/>
      <c r="L58" s="117"/>
      <c r="O58" s="117"/>
      <c r="Q58" s="117"/>
      <c r="R58" s="117"/>
      <c r="V58" s="225"/>
      <c r="W58" s="226"/>
      <c r="X58" s="196"/>
      <c r="Y58" s="196"/>
      <c r="Z58" s="117"/>
      <c r="AA58" s="117"/>
      <c r="AB58" s="117"/>
      <c r="AC58" s="117"/>
      <c r="AD58" s="117"/>
      <c r="AE58" s="117"/>
      <c r="AI58" s="117"/>
      <c r="AK58" s="217"/>
      <c r="AL58" s="117"/>
      <c r="AM58" s="117"/>
      <c r="AN58" s="117"/>
      <c r="AO58" s="108"/>
      <c r="AP58" s="108"/>
      <c r="AS58" s="117"/>
      <c r="AZ58" s="117"/>
      <c r="BA58" s="117"/>
      <c r="BB58" s="117"/>
      <c r="BC58" s="117"/>
      <c r="BD58" s="117"/>
      <c r="BE58" s="117"/>
      <c r="BF58" s="117"/>
      <c r="BG58" s="117"/>
      <c r="BK58" s="117"/>
      <c r="BL58" s="369"/>
      <c r="BM58" s="370"/>
      <c r="BN58" s="370"/>
    </row>
    <row r="59" spans="3:66" s="118" customFormat="1" hidden="1">
      <c r="C59" s="323" t="s">
        <v>188</v>
      </c>
      <c r="D59" s="324">
        <v>-152.56</v>
      </c>
      <c r="E59" s="329">
        <v>-241.93</v>
      </c>
      <c r="H59" s="117"/>
      <c r="I59" s="142"/>
      <c r="J59" s="117"/>
      <c r="K59" s="117"/>
      <c r="L59" s="117"/>
      <c r="O59" s="117"/>
      <c r="Q59" s="117"/>
      <c r="R59" s="117"/>
      <c r="V59" s="225"/>
      <c r="W59" s="226"/>
      <c r="X59" s="196"/>
      <c r="Y59" s="196"/>
      <c r="Z59" s="117"/>
      <c r="AA59" s="117"/>
      <c r="AB59" s="117"/>
      <c r="AC59" s="117"/>
      <c r="AD59" s="117"/>
      <c r="AE59" s="117"/>
      <c r="AI59" s="117"/>
      <c r="AK59" s="217"/>
      <c r="AL59" s="117"/>
      <c r="AM59" s="117"/>
      <c r="AN59" s="117"/>
      <c r="AO59" s="108"/>
      <c r="AP59" s="108"/>
      <c r="AS59" s="117"/>
      <c r="AZ59" s="117"/>
      <c r="BA59" s="117"/>
      <c r="BB59" s="117"/>
      <c r="BC59" s="117"/>
      <c r="BD59" s="117"/>
      <c r="BE59" s="117"/>
      <c r="BF59" s="117"/>
      <c r="BG59" s="117"/>
      <c r="BK59" s="117"/>
      <c r="BL59" s="369"/>
      <c r="BM59" s="370"/>
      <c r="BN59" s="370"/>
    </row>
    <row r="60" spans="3:66" s="118" customFormat="1" hidden="1">
      <c r="C60" s="322"/>
      <c r="D60" s="322"/>
      <c r="H60" s="117"/>
      <c r="I60" s="142"/>
      <c r="J60" s="117"/>
      <c r="K60" s="117"/>
      <c r="L60" s="117"/>
      <c r="O60" s="117"/>
      <c r="Q60" s="117"/>
      <c r="R60" s="117"/>
      <c r="V60" s="225"/>
      <c r="W60" s="226"/>
      <c r="X60" s="196"/>
      <c r="Y60" s="196"/>
      <c r="Z60" s="117"/>
      <c r="AA60" s="117"/>
      <c r="AB60" s="117"/>
      <c r="AC60" s="117"/>
      <c r="AD60" s="117"/>
      <c r="AE60" s="117"/>
      <c r="AI60" s="117"/>
      <c r="AK60" s="217"/>
      <c r="AL60" s="117"/>
      <c r="AM60" s="117"/>
      <c r="AN60" s="117"/>
      <c r="AO60" s="108"/>
      <c r="AP60" s="108"/>
      <c r="AS60" s="117"/>
      <c r="AZ60" s="117"/>
      <c r="BA60" s="117"/>
      <c r="BB60" s="117"/>
      <c r="BC60" s="117"/>
      <c r="BD60" s="117"/>
      <c r="BE60" s="117"/>
      <c r="BF60" s="117"/>
      <c r="BG60" s="117"/>
      <c r="BK60" s="117"/>
      <c r="BL60" s="369"/>
      <c r="BM60" s="370"/>
      <c r="BN60" s="370"/>
    </row>
    <row r="61" spans="3:66" s="118" customFormat="1" hidden="1">
      <c r="C61" s="142"/>
      <c r="D61" s="142"/>
      <c r="H61" s="117"/>
      <c r="I61" s="142"/>
      <c r="J61" s="117"/>
      <c r="K61" s="117"/>
      <c r="L61" s="117"/>
      <c r="O61" s="117"/>
      <c r="Q61" s="117"/>
      <c r="R61" s="117"/>
      <c r="V61" s="225"/>
      <c r="W61" s="226"/>
      <c r="X61" s="196"/>
      <c r="Y61" s="196"/>
      <c r="Z61" s="117"/>
      <c r="AA61" s="117"/>
      <c r="AB61" s="117"/>
      <c r="AC61" s="117"/>
      <c r="AD61" s="117"/>
      <c r="AE61" s="117"/>
      <c r="AI61" s="117"/>
      <c r="AK61" s="217"/>
      <c r="AL61" s="117"/>
      <c r="AM61" s="117"/>
      <c r="AN61" s="117"/>
      <c r="AO61" s="108"/>
      <c r="AP61" s="108"/>
      <c r="AS61" s="117"/>
      <c r="AZ61" s="117"/>
      <c r="BA61" s="117"/>
      <c r="BB61" s="117"/>
      <c r="BC61" s="117"/>
      <c r="BD61" s="117"/>
      <c r="BE61" s="117"/>
      <c r="BF61" s="117"/>
      <c r="BG61" s="117"/>
      <c r="BK61" s="117"/>
      <c r="BL61" s="369"/>
      <c r="BM61" s="370"/>
      <c r="BN61" s="370"/>
    </row>
  </sheetData>
  <mergeCells count="5">
    <mergeCell ref="F8:S8"/>
    <mergeCell ref="T8:AJ8"/>
    <mergeCell ref="AR8:BK8"/>
    <mergeCell ref="D52:E52"/>
    <mergeCell ref="D56:E56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216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F5" sqref="F5"/>
    </sheetView>
  </sheetViews>
  <sheetFormatPr defaultColWidth="9" defaultRowHeight="15"/>
  <cols>
    <col min="1" max="1" width="13.6640625" style="370" hidden="1" customWidth="1"/>
    <col min="2" max="2" width="42.77734375" style="367" customWidth="1"/>
    <col min="3" max="3" width="19.109375" style="373" customWidth="1"/>
    <col min="4" max="4" width="17" style="373" customWidth="1"/>
    <col min="5" max="6" width="12.77734375" style="367" customWidth="1"/>
    <col min="7" max="7" width="16.21875" style="367" customWidth="1"/>
    <col min="8" max="8" width="13.6640625" style="367" customWidth="1"/>
    <col min="9" max="9" width="17.77734375" style="370" hidden="1" customWidth="1"/>
    <col min="10" max="10" width="14" style="373" customWidth="1"/>
    <col min="11" max="12" width="13.6640625" style="369" hidden="1" customWidth="1"/>
    <col min="13" max="13" width="12.77734375" style="369" hidden="1" customWidth="1"/>
    <col min="14" max="14" width="14.21875" style="367" customWidth="1"/>
    <col min="15" max="15" width="14.88671875" style="367" customWidth="1"/>
    <col min="16" max="16" width="10.77734375" style="368" customWidth="1"/>
    <col min="17" max="17" width="12.77734375" style="367" customWidth="1"/>
    <col min="18" max="18" width="12.77734375" style="369" hidden="1" customWidth="1"/>
    <col min="19" max="19" width="17" style="368" customWidth="1"/>
    <col min="20" max="20" width="16.88671875" style="367" customWidth="1"/>
    <col min="21" max="21" width="14" style="367" customWidth="1"/>
    <col min="22" max="22" width="12.77734375" style="367" customWidth="1"/>
    <col min="23" max="27" width="9.44140625" style="369" hidden="1" customWidth="1"/>
    <col min="28" max="28" width="9.44140625" style="367" customWidth="1"/>
    <col min="29" max="31" width="10.77734375" style="367" customWidth="1"/>
    <col min="32" max="32" width="11.88671875" style="367" customWidth="1"/>
    <col min="33" max="33" width="11.88671875" style="369" hidden="1" customWidth="1"/>
    <col min="34" max="34" width="13.6640625" style="367" customWidth="1"/>
    <col min="35" max="36" width="15.88671875" style="368" customWidth="1"/>
    <col min="37" max="37" width="12.21875" style="372" customWidth="1"/>
    <col min="38" max="38" width="14" style="371" hidden="1" customWidth="1"/>
    <col min="39" max="39" width="15.77734375" style="367" customWidth="1"/>
    <col min="40" max="40" width="11.44140625" style="367" customWidth="1"/>
    <col min="41" max="41" width="12.44140625" style="369" hidden="1" customWidth="1"/>
    <col min="42" max="43" width="11.109375" style="370" hidden="1" customWidth="1"/>
    <col min="44" max="45" width="14.44140625" style="367" customWidth="1"/>
    <col min="46" max="46" width="10.21875" style="367" customWidth="1"/>
    <col min="47" max="47" width="13.77734375" style="367" customWidth="1"/>
    <col min="48" max="48" width="14.6640625" style="368" customWidth="1"/>
    <col min="49" max="49" width="11.77734375" style="368" customWidth="1"/>
    <col min="50" max="54" width="9" style="369" hidden="1" customWidth="1"/>
    <col min="55" max="55" width="10.77734375" style="367" customWidth="1"/>
    <col min="56" max="56" width="9" style="367"/>
    <col min="57" max="57" width="9.21875" style="367" bestFit="1" customWidth="1"/>
    <col min="58" max="58" width="14.44140625" style="368" customWidth="1"/>
    <col min="59" max="59" width="13.33203125" style="367" customWidth="1"/>
    <col min="60" max="60" width="14.21875" style="367" customWidth="1"/>
    <col min="61" max="61" width="15.21875" style="367" customWidth="1"/>
    <col min="62" max="274" width="9" style="367"/>
    <col min="275" max="275" width="27.88671875" style="367" customWidth="1"/>
    <col min="276" max="276" width="10.109375" style="367" customWidth="1"/>
    <col min="277" max="277" width="12.109375" style="367" customWidth="1"/>
    <col min="278" max="278" width="8.88671875" style="367" customWidth="1"/>
    <col min="279" max="280" width="13.6640625" style="367" customWidth="1"/>
    <col min="281" max="281" width="11.88671875" style="367" customWidth="1"/>
    <col min="282" max="282" width="12.6640625" style="367" customWidth="1"/>
    <col min="283" max="283" width="13.6640625" style="367" customWidth="1"/>
    <col min="284" max="284" width="14.6640625" style="367" customWidth="1"/>
    <col min="285" max="285" width="9.44140625" style="367" customWidth="1"/>
    <col min="286" max="286" width="11.33203125" style="367" customWidth="1"/>
    <col min="287" max="287" width="11.88671875" style="367" customWidth="1"/>
    <col min="288" max="288" width="11.109375" style="367" customWidth="1"/>
    <col min="289" max="289" width="11.88671875" style="367" customWidth="1"/>
    <col min="290" max="290" width="15.88671875" style="367" customWidth="1"/>
    <col min="291" max="291" width="9.88671875" style="367" customWidth="1"/>
    <col min="292" max="292" width="10.109375" style="367" customWidth="1"/>
    <col min="293" max="293" width="9.109375" style="367" customWidth="1"/>
    <col min="294" max="530" width="9" style="367"/>
    <col min="531" max="531" width="27.88671875" style="367" customWidth="1"/>
    <col min="532" max="532" width="10.109375" style="367" customWidth="1"/>
    <col min="533" max="533" width="12.109375" style="367" customWidth="1"/>
    <col min="534" max="534" width="8.88671875" style="367" customWidth="1"/>
    <col min="535" max="536" width="13.6640625" style="367" customWidth="1"/>
    <col min="537" max="537" width="11.88671875" style="367" customWidth="1"/>
    <col min="538" max="538" width="12.6640625" style="367" customWidth="1"/>
    <col min="539" max="539" width="13.6640625" style="367" customWidth="1"/>
    <col min="540" max="540" width="14.6640625" style="367" customWidth="1"/>
    <col min="541" max="541" width="9.44140625" style="367" customWidth="1"/>
    <col min="542" max="542" width="11.33203125" style="367" customWidth="1"/>
    <col min="543" max="543" width="11.88671875" style="367" customWidth="1"/>
    <col min="544" max="544" width="11.109375" style="367" customWidth="1"/>
    <col min="545" max="545" width="11.88671875" style="367" customWidth="1"/>
    <col min="546" max="546" width="15.88671875" style="367" customWidth="1"/>
    <col min="547" max="547" width="9.88671875" style="367" customWidth="1"/>
    <col min="548" max="548" width="10.109375" style="367" customWidth="1"/>
    <col min="549" max="549" width="9.109375" style="367" customWidth="1"/>
    <col min="550" max="786" width="9" style="367"/>
    <col min="787" max="787" width="27.88671875" style="367" customWidth="1"/>
    <col min="788" max="788" width="10.109375" style="367" customWidth="1"/>
    <col min="789" max="789" width="12.109375" style="367" customWidth="1"/>
    <col min="790" max="790" width="8.88671875" style="367" customWidth="1"/>
    <col min="791" max="792" width="13.6640625" style="367" customWidth="1"/>
    <col min="793" max="793" width="11.88671875" style="367" customWidth="1"/>
    <col min="794" max="794" width="12.6640625" style="367" customWidth="1"/>
    <col min="795" max="795" width="13.6640625" style="367" customWidth="1"/>
    <col min="796" max="796" width="14.6640625" style="367" customWidth="1"/>
    <col min="797" max="797" width="9.44140625" style="367" customWidth="1"/>
    <col min="798" max="798" width="11.33203125" style="367" customWidth="1"/>
    <col min="799" max="799" width="11.88671875" style="367" customWidth="1"/>
    <col min="800" max="800" width="11.109375" style="367" customWidth="1"/>
    <col min="801" max="801" width="11.88671875" style="367" customWidth="1"/>
    <col min="802" max="802" width="15.88671875" style="367" customWidth="1"/>
    <col min="803" max="803" width="9.88671875" style="367" customWidth="1"/>
    <col min="804" max="804" width="10.109375" style="367" customWidth="1"/>
    <col min="805" max="805" width="9.109375" style="367" customWidth="1"/>
    <col min="806" max="1042" width="9" style="367"/>
    <col min="1043" max="1043" width="27.88671875" style="367" customWidth="1"/>
    <col min="1044" max="1044" width="10.109375" style="367" customWidth="1"/>
    <col min="1045" max="1045" width="12.109375" style="367" customWidth="1"/>
    <col min="1046" max="1046" width="8.88671875" style="367" customWidth="1"/>
    <col min="1047" max="1048" width="13.6640625" style="367" customWidth="1"/>
    <col min="1049" max="1049" width="11.88671875" style="367" customWidth="1"/>
    <col min="1050" max="1050" width="12.6640625" style="367" customWidth="1"/>
    <col min="1051" max="1051" width="13.6640625" style="367" customWidth="1"/>
    <col min="1052" max="1052" width="14.6640625" style="367" customWidth="1"/>
    <col min="1053" max="1053" width="9.44140625" style="367" customWidth="1"/>
    <col min="1054" max="1054" width="11.33203125" style="367" customWidth="1"/>
    <col min="1055" max="1055" width="11.88671875" style="367" customWidth="1"/>
    <col min="1056" max="1056" width="11.109375" style="367" customWidth="1"/>
    <col min="1057" max="1057" width="11.88671875" style="367" customWidth="1"/>
    <col min="1058" max="1058" width="15.88671875" style="367" customWidth="1"/>
    <col min="1059" max="1059" width="9.88671875" style="367" customWidth="1"/>
    <col min="1060" max="1060" width="10.109375" style="367" customWidth="1"/>
    <col min="1061" max="1061" width="9.109375" style="367" customWidth="1"/>
    <col min="1062" max="1298" width="9" style="367"/>
    <col min="1299" max="1299" width="27.88671875" style="367" customWidth="1"/>
    <col min="1300" max="1300" width="10.109375" style="367" customWidth="1"/>
    <col min="1301" max="1301" width="12.109375" style="367" customWidth="1"/>
    <col min="1302" max="1302" width="8.88671875" style="367" customWidth="1"/>
    <col min="1303" max="1304" width="13.6640625" style="367" customWidth="1"/>
    <col min="1305" max="1305" width="11.88671875" style="367" customWidth="1"/>
    <col min="1306" max="1306" width="12.6640625" style="367" customWidth="1"/>
    <col min="1307" max="1307" width="13.6640625" style="367" customWidth="1"/>
    <col min="1308" max="1308" width="14.6640625" style="367" customWidth="1"/>
    <col min="1309" max="1309" width="9.44140625" style="367" customWidth="1"/>
    <col min="1310" max="1310" width="11.33203125" style="367" customWidth="1"/>
    <col min="1311" max="1311" width="11.88671875" style="367" customWidth="1"/>
    <col min="1312" max="1312" width="11.109375" style="367" customWidth="1"/>
    <col min="1313" max="1313" width="11.88671875" style="367" customWidth="1"/>
    <col min="1314" max="1314" width="15.88671875" style="367" customWidth="1"/>
    <col min="1315" max="1315" width="9.88671875" style="367" customWidth="1"/>
    <col min="1316" max="1316" width="10.109375" style="367" customWidth="1"/>
    <col min="1317" max="1317" width="9.109375" style="367" customWidth="1"/>
    <col min="1318" max="1554" width="9" style="367"/>
    <col min="1555" max="1555" width="27.88671875" style="367" customWidth="1"/>
    <col min="1556" max="1556" width="10.109375" style="367" customWidth="1"/>
    <col min="1557" max="1557" width="12.109375" style="367" customWidth="1"/>
    <col min="1558" max="1558" width="8.88671875" style="367" customWidth="1"/>
    <col min="1559" max="1560" width="13.6640625" style="367" customWidth="1"/>
    <col min="1561" max="1561" width="11.88671875" style="367" customWidth="1"/>
    <col min="1562" max="1562" width="12.6640625" style="367" customWidth="1"/>
    <col min="1563" max="1563" width="13.6640625" style="367" customWidth="1"/>
    <col min="1564" max="1564" width="14.6640625" style="367" customWidth="1"/>
    <col min="1565" max="1565" width="9.44140625" style="367" customWidth="1"/>
    <col min="1566" max="1566" width="11.33203125" style="367" customWidth="1"/>
    <col min="1567" max="1567" width="11.88671875" style="367" customWidth="1"/>
    <col min="1568" max="1568" width="11.109375" style="367" customWidth="1"/>
    <col min="1569" max="1569" width="11.88671875" style="367" customWidth="1"/>
    <col min="1570" max="1570" width="15.88671875" style="367" customWidth="1"/>
    <col min="1571" max="1571" width="9.88671875" style="367" customWidth="1"/>
    <col min="1572" max="1572" width="10.109375" style="367" customWidth="1"/>
    <col min="1573" max="1573" width="9.109375" style="367" customWidth="1"/>
    <col min="1574" max="1810" width="9" style="367"/>
    <col min="1811" max="1811" width="27.88671875" style="367" customWidth="1"/>
    <col min="1812" max="1812" width="10.109375" style="367" customWidth="1"/>
    <col min="1813" max="1813" width="12.109375" style="367" customWidth="1"/>
    <col min="1814" max="1814" width="8.88671875" style="367" customWidth="1"/>
    <col min="1815" max="1816" width="13.6640625" style="367" customWidth="1"/>
    <col min="1817" max="1817" width="11.88671875" style="367" customWidth="1"/>
    <col min="1818" max="1818" width="12.6640625" style="367" customWidth="1"/>
    <col min="1819" max="1819" width="13.6640625" style="367" customWidth="1"/>
    <col min="1820" max="1820" width="14.6640625" style="367" customWidth="1"/>
    <col min="1821" max="1821" width="9.44140625" style="367" customWidth="1"/>
    <col min="1822" max="1822" width="11.33203125" style="367" customWidth="1"/>
    <col min="1823" max="1823" width="11.88671875" style="367" customWidth="1"/>
    <col min="1824" max="1824" width="11.109375" style="367" customWidth="1"/>
    <col min="1825" max="1825" width="11.88671875" style="367" customWidth="1"/>
    <col min="1826" max="1826" width="15.88671875" style="367" customWidth="1"/>
    <col min="1827" max="1827" width="9.88671875" style="367" customWidth="1"/>
    <col min="1828" max="1828" width="10.109375" style="367" customWidth="1"/>
    <col min="1829" max="1829" width="9.109375" style="367" customWidth="1"/>
    <col min="1830" max="2066" width="9" style="367"/>
    <col min="2067" max="2067" width="27.88671875" style="367" customWidth="1"/>
    <col min="2068" max="2068" width="10.109375" style="367" customWidth="1"/>
    <col min="2069" max="2069" width="12.109375" style="367" customWidth="1"/>
    <col min="2070" max="2070" width="8.88671875" style="367" customWidth="1"/>
    <col min="2071" max="2072" width="13.6640625" style="367" customWidth="1"/>
    <col min="2073" max="2073" width="11.88671875" style="367" customWidth="1"/>
    <col min="2074" max="2074" width="12.6640625" style="367" customWidth="1"/>
    <col min="2075" max="2075" width="13.6640625" style="367" customWidth="1"/>
    <col min="2076" max="2076" width="14.6640625" style="367" customWidth="1"/>
    <col min="2077" max="2077" width="9.44140625" style="367" customWidth="1"/>
    <col min="2078" max="2078" width="11.33203125" style="367" customWidth="1"/>
    <col min="2079" max="2079" width="11.88671875" style="367" customWidth="1"/>
    <col min="2080" max="2080" width="11.109375" style="367" customWidth="1"/>
    <col min="2081" max="2081" width="11.88671875" style="367" customWidth="1"/>
    <col min="2082" max="2082" width="15.88671875" style="367" customWidth="1"/>
    <col min="2083" max="2083" width="9.88671875" style="367" customWidth="1"/>
    <col min="2084" max="2084" width="10.109375" style="367" customWidth="1"/>
    <col min="2085" max="2085" width="9.109375" style="367" customWidth="1"/>
    <col min="2086" max="2322" width="9" style="367"/>
    <col min="2323" max="2323" width="27.88671875" style="367" customWidth="1"/>
    <col min="2324" max="2324" width="10.109375" style="367" customWidth="1"/>
    <col min="2325" max="2325" width="12.109375" style="367" customWidth="1"/>
    <col min="2326" max="2326" width="8.88671875" style="367" customWidth="1"/>
    <col min="2327" max="2328" width="13.6640625" style="367" customWidth="1"/>
    <col min="2329" max="2329" width="11.88671875" style="367" customWidth="1"/>
    <col min="2330" max="2330" width="12.6640625" style="367" customWidth="1"/>
    <col min="2331" max="2331" width="13.6640625" style="367" customWidth="1"/>
    <col min="2332" max="2332" width="14.6640625" style="367" customWidth="1"/>
    <col min="2333" max="2333" width="9.44140625" style="367" customWidth="1"/>
    <col min="2334" max="2334" width="11.33203125" style="367" customWidth="1"/>
    <col min="2335" max="2335" width="11.88671875" style="367" customWidth="1"/>
    <col min="2336" max="2336" width="11.109375" style="367" customWidth="1"/>
    <col min="2337" max="2337" width="11.88671875" style="367" customWidth="1"/>
    <col min="2338" max="2338" width="15.88671875" style="367" customWidth="1"/>
    <col min="2339" max="2339" width="9.88671875" style="367" customWidth="1"/>
    <col min="2340" max="2340" width="10.109375" style="367" customWidth="1"/>
    <col min="2341" max="2341" width="9.109375" style="367" customWidth="1"/>
    <col min="2342" max="2578" width="9" style="367"/>
    <col min="2579" max="2579" width="27.88671875" style="367" customWidth="1"/>
    <col min="2580" max="2580" width="10.109375" style="367" customWidth="1"/>
    <col min="2581" max="2581" width="12.109375" style="367" customWidth="1"/>
    <col min="2582" max="2582" width="8.88671875" style="367" customWidth="1"/>
    <col min="2583" max="2584" width="13.6640625" style="367" customWidth="1"/>
    <col min="2585" max="2585" width="11.88671875" style="367" customWidth="1"/>
    <col min="2586" max="2586" width="12.6640625" style="367" customWidth="1"/>
    <col min="2587" max="2587" width="13.6640625" style="367" customWidth="1"/>
    <col min="2588" max="2588" width="14.6640625" style="367" customWidth="1"/>
    <col min="2589" max="2589" width="9.44140625" style="367" customWidth="1"/>
    <col min="2590" max="2590" width="11.33203125" style="367" customWidth="1"/>
    <col min="2591" max="2591" width="11.88671875" style="367" customWidth="1"/>
    <col min="2592" max="2592" width="11.109375" style="367" customWidth="1"/>
    <col min="2593" max="2593" width="11.88671875" style="367" customWidth="1"/>
    <col min="2594" max="2594" width="15.88671875" style="367" customWidth="1"/>
    <col min="2595" max="2595" width="9.88671875" style="367" customWidth="1"/>
    <col min="2596" max="2596" width="10.109375" style="367" customWidth="1"/>
    <col min="2597" max="2597" width="9.109375" style="367" customWidth="1"/>
    <col min="2598" max="2834" width="9" style="367"/>
    <col min="2835" max="2835" width="27.88671875" style="367" customWidth="1"/>
    <col min="2836" max="2836" width="10.109375" style="367" customWidth="1"/>
    <col min="2837" max="2837" width="12.109375" style="367" customWidth="1"/>
    <col min="2838" max="2838" width="8.88671875" style="367" customWidth="1"/>
    <col min="2839" max="2840" width="13.6640625" style="367" customWidth="1"/>
    <col min="2841" max="2841" width="11.88671875" style="367" customWidth="1"/>
    <col min="2842" max="2842" width="12.6640625" style="367" customWidth="1"/>
    <col min="2843" max="2843" width="13.6640625" style="367" customWidth="1"/>
    <col min="2844" max="2844" width="14.6640625" style="367" customWidth="1"/>
    <col min="2845" max="2845" width="9.44140625" style="367" customWidth="1"/>
    <col min="2846" max="2846" width="11.33203125" style="367" customWidth="1"/>
    <col min="2847" max="2847" width="11.88671875" style="367" customWidth="1"/>
    <col min="2848" max="2848" width="11.109375" style="367" customWidth="1"/>
    <col min="2849" max="2849" width="11.88671875" style="367" customWidth="1"/>
    <col min="2850" max="2850" width="15.88671875" style="367" customWidth="1"/>
    <col min="2851" max="2851" width="9.88671875" style="367" customWidth="1"/>
    <col min="2852" max="2852" width="10.109375" style="367" customWidth="1"/>
    <col min="2853" max="2853" width="9.109375" style="367" customWidth="1"/>
    <col min="2854" max="3090" width="9" style="367"/>
    <col min="3091" max="3091" width="27.88671875" style="367" customWidth="1"/>
    <col min="3092" max="3092" width="10.109375" style="367" customWidth="1"/>
    <col min="3093" max="3093" width="12.109375" style="367" customWidth="1"/>
    <col min="3094" max="3094" width="8.88671875" style="367" customWidth="1"/>
    <col min="3095" max="3096" width="13.6640625" style="367" customWidth="1"/>
    <col min="3097" max="3097" width="11.88671875" style="367" customWidth="1"/>
    <col min="3098" max="3098" width="12.6640625" style="367" customWidth="1"/>
    <col min="3099" max="3099" width="13.6640625" style="367" customWidth="1"/>
    <col min="3100" max="3100" width="14.6640625" style="367" customWidth="1"/>
    <col min="3101" max="3101" width="9.44140625" style="367" customWidth="1"/>
    <col min="3102" max="3102" width="11.33203125" style="367" customWidth="1"/>
    <col min="3103" max="3103" width="11.88671875" style="367" customWidth="1"/>
    <col min="3104" max="3104" width="11.109375" style="367" customWidth="1"/>
    <col min="3105" max="3105" width="11.88671875" style="367" customWidth="1"/>
    <col min="3106" max="3106" width="15.88671875" style="367" customWidth="1"/>
    <col min="3107" max="3107" width="9.88671875" style="367" customWidth="1"/>
    <col min="3108" max="3108" width="10.109375" style="367" customWidth="1"/>
    <col min="3109" max="3109" width="9.109375" style="367" customWidth="1"/>
    <col min="3110" max="3346" width="9" style="367"/>
    <col min="3347" max="3347" width="27.88671875" style="367" customWidth="1"/>
    <col min="3348" max="3348" width="10.109375" style="367" customWidth="1"/>
    <col min="3349" max="3349" width="12.109375" style="367" customWidth="1"/>
    <col min="3350" max="3350" width="8.88671875" style="367" customWidth="1"/>
    <col min="3351" max="3352" width="13.6640625" style="367" customWidth="1"/>
    <col min="3353" max="3353" width="11.88671875" style="367" customWidth="1"/>
    <col min="3354" max="3354" width="12.6640625" style="367" customWidth="1"/>
    <col min="3355" max="3355" width="13.6640625" style="367" customWidth="1"/>
    <col min="3356" max="3356" width="14.6640625" style="367" customWidth="1"/>
    <col min="3357" max="3357" width="9.44140625" style="367" customWidth="1"/>
    <col min="3358" max="3358" width="11.33203125" style="367" customWidth="1"/>
    <col min="3359" max="3359" width="11.88671875" style="367" customWidth="1"/>
    <col min="3360" max="3360" width="11.109375" style="367" customWidth="1"/>
    <col min="3361" max="3361" width="11.88671875" style="367" customWidth="1"/>
    <col min="3362" max="3362" width="15.88671875" style="367" customWidth="1"/>
    <col min="3363" max="3363" width="9.88671875" style="367" customWidth="1"/>
    <col min="3364" max="3364" width="10.109375" style="367" customWidth="1"/>
    <col min="3365" max="3365" width="9.109375" style="367" customWidth="1"/>
    <col min="3366" max="3602" width="9" style="367"/>
    <col min="3603" max="3603" width="27.88671875" style="367" customWidth="1"/>
    <col min="3604" max="3604" width="10.109375" style="367" customWidth="1"/>
    <col min="3605" max="3605" width="12.109375" style="367" customWidth="1"/>
    <col min="3606" max="3606" width="8.88671875" style="367" customWidth="1"/>
    <col min="3607" max="3608" width="13.6640625" style="367" customWidth="1"/>
    <col min="3609" max="3609" width="11.88671875" style="367" customWidth="1"/>
    <col min="3610" max="3610" width="12.6640625" style="367" customWidth="1"/>
    <col min="3611" max="3611" width="13.6640625" style="367" customWidth="1"/>
    <col min="3612" max="3612" width="14.6640625" style="367" customWidth="1"/>
    <col min="3613" max="3613" width="9.44140625" style="367" customWidth="1"/>
    <col min="3614" max="3614" width="11.33203125" style="367" customWidth="1"/>
    <col min="3615" max="3615" width="11.88671875" style="367" customWidth="1"/>
    <col min="3616" max="3616" width="11.109375" style="367" customWidth="1"/>
    <col min="3617" max="3617" width="11.88671875" style="367" customWidth="1"/>
    <col min="3618" max="3618" width="15.88671875" style="367" customWidth="1"/>
    <col min="3619" max="3619" width="9.88671875" style="367" customWidth="1"/>
    <col min="3620" max="3620" width="10.109375" style="367" customWidth="1"/>
    <col min="3621" max="3621" width="9.109375" style="367" customWidth="1"/>
    <col min="3622" max="3858" width="9" style="367"/>
    <col min="3859" max="3859" width="27.88671875" style="367" customWidth="1"/>
    <col min="3860" max="3860" width="10.109375" style="367" customWidth="1"/>
    <col min="3861" max="3861" width="12.109375" style="367" customWidth="1"/>
    <col min="3862" max="3862" width="8.88671875" style="367" customWidth="1"/>
    <col min="3863" max="3864" width="13.6640625" style="367" customWidth="1"/>
    <col min="3865" max="3865" width="11.88671875" style="367" customWidth="1"/>
    <col min="3866" max="3866" width="12.6640625" style="367" customWidth="1"/>
    <col min="3867" max="3867" width="13.6640625" style="367" customWidth="1"/>
    <col min="3868" max="3868" width="14.6640625" style="367" customWidth="1"/>
    <col min="3869" max="3869" width="9.44140625" style="367" customWidth="1"/>
    <col min="3870" max="3870" width="11.33203125" style="367" customWidth="1"/>
    <col min="3871" max="3871" width="11.88671875" style="367" customWidth="1"/>
    <col min="3872" max="3872" width="11.109375" style="367" customWidth="1"/>
    <col min="3873" max="3873" width="11.88671875" style="367" customWidth="1"/>
    <col min="3874" max="3874" width="15.88671875" style="367" customWidth="1"/>
    <col min="3875" max="3875" width="9.88671875" style="367" customWidth="1"/>
    <col min="3876" max="3876" width="10.109375" style="367" customWidth="1"/>
    <col min="3877" max="3877" width="9.109375" style="367" customWidth="1"/>
    <col min="3878" max="4114" width="9" style="367"/>
    <col min="4115" max="4115" width="27.88671875" style="367" customWidth="1"/>
    <col min="4116" max="4116" width="10.109375" style="367" customWidth="1"/>
    <col min="4117" max="4117" width="12.109375" style="367" customWidth="1"/>
    <col min="4118" max="4118" width="8.88671875" style="367" customWidth="1"/>
    <col min="4119" max="4120" width="13.6640625" style="367" customWidth="1"/>
    <col min="4121" max="4121" width="11.88671875" style="367" customWidth="1"/>
    <col min="4122" max="4122" width="12.6640625" style="367" customWidth="1"/>
    <col min="4123" max="4123" width="13.6640625" style="367" customWidth="1"/>
    <col min="4124" max="4124" width="14.6640625" style="367" customWidth="1"/>
    <col min="4125" max="4125" width="9.44140625" style="367" customWidth="1"/>
    <col min="4126" max="4126" width="11.33203125" style="367" customWidth="1"/>
    <col min="4127" max="4127" width="11.88671875" style="367" customWidth="1"/>
    <col min="4128" max="4128" width="11.109375" style="367" customWidth="1"/>
    <col min="4129" max="4129" width="11.88671875" style="367" customWidth="1"/>
    <col min="4130" max="4130" width="15.88671875" style="367" customWidth="1"/>
    <col min="4131" max="4131" width="9.88671875" style="367" customWidth="1"/>
    <col min="4132" max="4132" width="10.109375" style="367" customWidth="1"/>
    <col min="4133" max="4133" width="9.109375" style="367" customWidth="1"/>
    <col min="4134" max="4370" width="9" style="367"/>
    <col min="4371" max="4371" width="27.88671875" style="367" customWidth="1"/>
    <col min="4372" max="4372" width="10.109375" style="367" customWidth="1"/>
    <col min="4373" max="4373" width="12.109375" style="367" customWidth="1"/>
    <col min="4374" max="4374" width="8.88671875" style="367" customWidth="1"/>
    <col min="4375" max="4376" width="13.6640625" style="367" customWidth="1"/>
    <col min="4377" max="4377" width="11.88671875" style="367" customWidth="1"/>
    <col min="4378" max="4378" width="12.6640625" style="367" customWidth="1"/>
    <col min="4379" max="4379" width="13.6640625" style="367" customWidth="1"/>
    <col min="4380" max="4380" width="14.6640625" style="367" customWidth="1"/>
    <col min="4381" max="4381" width="9.44140625" style="367" customWidth="1"/>
    <col min="4382" max="4382" width="11.33203125" style="367" customWidth="1"/>
    <col min="4383" max="4383" width="11.88671875" style="367" customWidth="1"/>
    <col min="4384" max="4384" width="11.109375" style="367" customWidth="1"/>
    <col min="4385" max="4385" width="11.88671875" style="367" customWidth="1"/>
    <col min="4386" max="4386" width="15.88671875" style="367" customWidth="1"/>
    <col min="4387" max="4387" width="9.88671875" style="367" customWidth="1"/>
    <col min="4388" max="4388" width="10.109375" style="367" customWidth="1"/>
    <col min="4389" max="4389" width="9.109375" style="367" customWidth="1"/>
    <col min="4390" max="4626" width="9" style="367"/>
    <col min="4627" max="4627" width="27.88671875" style="367" customWidth="1"/>
    <col min="4628" max="4628" width="10.109375" style="367" customWidth="1"/>
    <col min="4629" max="4629" width="12.109375" style="367" customWidth="1"/>
    <col min="4630" max="4630" width="8.88671875" style="367" customWidth="1"/>
    <col min="4631" max="4632" width="13.6640625" style="367" customWidth="1"/>
    <col min="4633" max="4633" width="11.88671875" style="367" customWidth="1"/>
    <col min="4634" max="4634" width="12.6640625" style="367" customWidth="1"/>
    <col min="4635" max="4635" width="13.6640625" style="367" customWidth="1"/>
    <col min="4636" max="4636" width="14.6640625" style="367" customWidth="1"/>
    <col min="4637" max="4637" width="9.44140625" style="367" customWidth="1"/>
    <col min="4638" max="4638" width="11.33203125" style="367" customWidth="1"/>
    <col min="4639" max="4639" width="11.88671875" style="367" customWidth="1"/>
    <col min="4640" max="4640" width="11.109375" style="367" customWidth="1"/>
    <col min="4641" max="4641" width="11.88671875" style="367" customWidth="1"/>
    <col min="4642" max="4642" width="15.88671875" style="367" customWidth="1"/>
    <col min="4643" max="4643" width="9.88671875" style="367" customWidth="1"/>
    <col min="4644" max="4644" width="10.109375" style="367" customWidth="1"/>
    <col min="4645" max="4645" width="9.109375" style="367" customWidth="1"/>
    <col min="4646" max="4882" width="9" style="367"/>
    <col min="4883" max="4883" width="27.88671875" style="367" customWidth="1"/>
    <col min="4884" max="4884" width="10.109375" style="367" customWidth="1"/>
    <col min="4885" max="4885" width="12.109375" style="367" customWidth="1"/>
    <col min="4886" max="4886" width="8.88671875" style="367" customWidth="1"/>
    <col min="4887" max="4888" width="13.6640625" style="367" customWidth="1"/>
    <col min="4889" max="4889" width="11.88671875" style="367" customWidth="1"/>
    <col min="4890" max="4890" width="12.6640625" style="367" customWidth="1"/>
    <col min="4891" max="4891" width="13.6640625" style="367" customWidth="1"/>
    <col min="4892" max="4892" width="14.6640625" style="367" customWidth="1"/>
    <col min="4893" max="4893" width="9.44140625" style="367" customWidth="1"/>
    <col min="4894" max="4894" width="11.33203125" style="367" customWidth="1"/>
    <col min="4895" max="4895" width="11.88671875" style="367" customWidth="1"/>
    <col min="4896" max="4896" width="11.109375" style="367" customWidth="1"/>
    <col min="4897" max="4897" width="11.88671875" style="367" customWidth="1"/>
    <col min="4898" max="4898" width="15.88671875" style="367" customWidth="1"/>
    <col min="4899" max="4899" width="9.88671875" style="367" customWidth="1"/>
    <col min="4900" max="4900" width="10.109375" style="367" customWidth="1"/>
    <col min="4901" max="4901" width="9.109375" style="367" customWidth="1"/>
    <col min="4902" max="5138" width="9" style="367"/>
    <col min="5139" max="5139" width="27.88671875" style="367" customWidth="1"/>
    <col min="5140" max="5140" width="10.109375" style="367" customWidth="1"/>
    <col min="5141" max="5141" width="12.109375" style="367" customWidth="1"/>
    <col min="5142" max="5142" width="8.88671875" style="367" customWidth="1"/>
    <col min="5143" max="5144" width="13.6640625" style="367" customWidth="1"/>
    <col min="5145" max="5145" width="11.88671875" style="367" customWidth="1"/>
    <col min="5146" max="5146" width="12.6640625" style="367" customWidth="1"/>
    <col min="5147" max="5147" width="13.6640625" style="367" customWidth="1"/>
    <col min="5148" max="5148" width="14.6640625" style="367" customWidth="1"/>
    <col min="5149" max="5149" width="9.44140625" style="367" customWidth="1"/>
    <col min="5150" max="5150" width="11.33203125" style="367" customWidth="1"/>
    <col min="5151" max="5151" width="11.88671875" style="367" customWidth="1"/>
    <col min="5152" max="5152" width="11.109375" style="367" customWidth="1"/>
    <col min="5153" max="5153" width="11.88671875" style="367" customWidth="1"/>
    <col min="5154" max="5154" width="15.88671875" style="367" customWidth="1"/>
    <col min="5155" max="5155" width="9.88671875" style="367" customWidth="1"/>
    <col min="5156" max="5156" width="10.109375" style="367" customWidth="1"/>
    <col min="5157" max="5157" width="9.109375" style="367" customWidth="1"/>
    <col min="5158" max="5394" width="9" style="367"/>
    <col min="5395" max="5395" width="27.88671875" style="367" customWidth="1"/>
    <col min="5396" max="5396" width="10.109375" style="367" customWidth="1"/>
    <col min="5397" max="5397" width="12.109375" style="367" customWidth="1"/>
    <col min="5398" max="5398" width="8.88671875" style="367" customWidth="1"/>
    <col min="5399" max="5400" width="13.6640625" style="367" customWidth="1"/>
    <col min="5401" max="5401" width="11.88671875" style="367" customWidth="1"/>
    <col min="5402" max="5402" width="12.6640625" style="367" customWidth="1"/>
    <col min="5403" max="5403" width="13.6640625" style="367" customWidth="1"/>
    <col min="5404" max="5404" width="14.6640625" style="367" customWidth="1"/>
    <col min="5405" max="5405" width="9.44140625" style="367" customWidth="1"/>
    <col min="5406" max="5406" width="11.33203125" style="367" customWidth="1"/>
    <col min="5407" max="5407" width="11.88671875" style="367" customWidth="1"/>
    <col min="5408" max="5408" width="11.109375" style="367" customWidth="1"/>
    <col min="5409" max="5409" width="11.88671875" style="367" customWidth="1"/>
    <col min="5410" max="5410" width="15.88671875" style="367" customWidth="1"/>
    <col min="5411" max="5411" width="9.88671875" style="367" customWidth="1"/>
    <col min="5412" max="5412" width="10.109375" style="367" customWidth="1"/>
    <col min="5413" max="5413" width="9.109375" style="367" customWidth="1"/>
    <col min="5414" max="5650" width="9" style="367"/>
    <col min="5651" max="5651" width="27.88671875" style="367" customWidth="1"/>
    <col min="5652" max="5652" width="10.109375" style="367" customWidth="1"/>
    <col min="5653" max="5653" width="12.109375" style="367" customWidth="1"/>
    <col min="5654" max="5654" width="8.88671875" style="367" customWidth="1"/>
    <col min="5655" max="5656" width="13.6640625" style="367" customWidth="1"/>
    <col min="5657" max="5657" width="11.88671875" style="367" customWidth="1"/>
    <col min="5658" max="5658" width="12.6640625" style="367" customWidth="1"/>
    <col min="5659" max="5659" width="13.6640625" style="367" customWidth="1"/>
    <col min="5660" max="5660" width="14.6640625" style="367" customWidth="1"/>
    <col min="5661" max="5661" width="9.44140625" style="367" customWidth="1"/>
    <col min="5662" max="5662" width="11.33203125" style="367" customWidth="1"/>
    <col min="5663" max="5663" width="11.88671875" style="367" customWidth="1"/>
    <col min="5664" max="5664" width="11.109375" style="367" customWidth="1"/>
    <col min="5665" max="5665" width="11.88671875" style="367" customWidth="1"/>
    <col min="5666" max="5666" width="15.88671875" style="367" customWidth="1"/>
    <col min="5667" max="5667" width="9.88671875" style="367" customWidth="1"/>
    <col min="5668" max="5668" width="10.109375" style="367" customWidth="1"/>
    <col min="5669" max="5669" width="9.109375" style="367" customWidth="1"/>
    <col min="5670" max="5906" width="9" style="367"/>
    <col min="5907" max="5907" width="27.88671875" style="367" customWidth="1"/>
    <col min="5908" max="5908" width="10.109375" style="367" customWidth="1"/>
    <col min="5909" max="5909" width="12.109375" style="367" customWidth="1"/>
    <col min="5910" max="5910" width="8.88671875" style="367" customWidth="1"/>
    <col min="5911" max="5912" width="13.6640625" style="367" customWidth="1"/>
    <col min="5913" max="5913" width="11.88671875" style="367" customWidth="1"/>
    <col min="5914" max="5914" width="12.6640625" style="367" customWidth="1"/>
    <col min="5915" max="5915" width="13.6640625" style="367" customWidth="1"/>
    <col min="5916" max="5916" width="14.6640625" style="367" customWidth="1"/>
    <col min="5917" max="5917" width="9.44140625" style="367" customWidth="1"/>
    <col min="5918" max="5918" width="11.33203125" style="367" customWidth="1"/>
    <col min="5919" max="5919" width="11.88671875" style="367" customWidth="1"/>
    <col min="5920" max="5920" width="11.109375" style="367" customWidth="1"/>
    <col min="5921" max="5921" width="11.88671875" style="367" customWidth="1"/>
    <col min="5922" max="5922" width="15.88671875" style="367" customWidth="1"/>
    <col min="5923" max="5923" width="9.88671875" style="367" customWidth="1"/>
    <col min="5924" max="5924" width="10.109375" style="367" customWidth="1"/>
    <col min="5925" max="5925" width="9.109375" style="367" customWidth="1"/>
    <col min="5926" max="6162" width="9" style="367"/>
    <col min="6163" max="6163" width="27.88671875" style="367" customWidth="1"/>
    <col min="6164" max="6164" width="10.109375" style="367" customWidth="1"/>
    <col min="6165" max="6165" width="12.109375" style="367" customWidth="1"/>
    <col min="6166" max="6166" width="8.88671875" style="367" customWidth="1"/>
    <col min="6167" max="6168" width="13.6640625" style="367" customWidth="1"/>
    <col min="6169" max="6169" width="11.88671875" style="367" customWidth="1"/>
    <col min="6170" max="6170" width="12.6640625" style="367" customWidth="1"/>
    <col min="6171" max="6171" width="13.6640625" style="367" customWidth="1"/>
    <col min="6172" max="6172" width="14.6640625" style="367" customWidth="1"/>
    <col min="6173" max="6173" width="9.44140625" style="367" customWidth="1"/>
    <col min="6174" max="6174" width="11.33203125" style="367" customWidth="1"/>
    <col min="6175" max="6175" width="11.88671875" style="367" customWidth="1"/>
    <col min="6176" max="6176" width="11.109375" style="367" customWidth="1"/>
    <col min="6177" max="6177" width="11.88671875" style="367" customWidth="1"/>
    <col min="6178" max="6178" width="15.88671875" style="367" customWidth="1"/>
    <col min="6179" max="6179" width="9.88671875" style="367" customWidth="1"/>
    <col min="6180" max="6180" width="10.109375" style="367" customWidth="1"/>
    <col min="6181" max="6181" width="9.109375" style="367" customWidth="1"/>
    <col min="6182" max="6418" width="9" style="367"/>
    <col min="6419" max="6419" width="27.88671875" style="367" customWidth="1"/>
    <col min="6420" max="6420" width="10.109375" style="367" customWidth="1"/>
    <col min="6421" max="6421" width="12.109375" style="367" customWidth="1"/>
    <col min="6422" max="6422" width="8.88671875" style="367" customWidth="1"/>
    <col min="6423" max="6424" width="13.6640625" style="367" customWidth="1"/>
    <col min="6425" max="6425" width="11.88671875" style="367" customWidth="1"/>
    <col min="6426" max="6426" width="12.6640625" style="367" customWidth="1"/>
    <col min="6427" max="6427" width="13.6640625" style="367" customWidth="1"/>
    <col min="6428" max="6428" width="14.6640625" style="367" customWidth="1"/>
    <col min="6429" max="6429" width="9.44140625" style="367" customWidth="1"/>
    <col min="6430" max="6430" width="11.33203125" style="367" customWidth="1"/>
    <col min="6431" max="6431" width="11.88671875" style="367" customWidth="1"/>
    <col min="6432" max="6432" width="11.109375" style="367" customWidth="1"/>
    <col min="6433" max="6433" width="11.88671875" style="367" customWidth="1"/>
    <col min="6434" max="6434" width="15.88671875" style="367" customWidth="1"/>
    <col min="6435" max="6435" width="9.88671875" style="367" customWidth="1"/>
    <col min="6436" max="6436" width="10.109375" style="367" customWidth="1"/>
    <col min="6437" max="6437" width="9.109375" style="367" customWidth="1"/>
    <col min="6438" max="6674" width="9" style="367"/>
    <col min="6675" max="6675" width="27.88671875" style="367" customWidth="1"/>
    <col min="6676" max="6676" width="10.109375" style="367" customWidth="1"/>
    <col min="6677" max="6677" width="12.109375" style="367" customWidth="1"/>
    <col min="6678" max="6678" width="8.88671875" style="367" customWidth="1"/>
    <col min="6679" max="6680" width="13.6640625" style="367" customWidth="1"/>
    <col min="6681" max="6681" width="11.88671875" style="367" customWidth="1"/>
    <col min="6682" max="6682" width="12.6640625" style="367" customWidth="1"/>
    <col min="6683" max="6683" width="13.6640625" style="367" customWidth="1"/>
    <col min="6684" max="6684" width="14.6640625" style="367" customWidth="1"/>
    <col min="6685" max="6685" width="9.44140625" style="367" customWidth="1"/>
    <col min="6686" max="6686" width="11.33203125" style="367" customWidth="1"/>
    <col min="6687" max="6687" width="11.88671875" style="367" customWidth="1"/>
    <col min="6688" max="6688" width="11.109375" style="367" customWidth="1"/>
    <col min="6689" max="6689" width="11.88671875" style="367" customWidth="1"/>
    <col min="6690" max="6690" width="15.88671875" style="367" customWidth="1"/>
    <col min="6691" max="6691" width="9.88671875" style="367" customWidth="1"/>
    <col min="6692" max="6692" width="10.109375" style="367" customWidth="1"/>
    <col min="6693" max="6693" width="9.109375" style="367" customWidth="1"/>
    <col min="6694" max="6930" width="9" style="367"/>
    <col min="6931" max="6931" width="27.88671875" style="367" customWidth="1"/>
    <col min="6932" max="6932" width="10.109375" style="367" customWidth="1"/>
    <col min="6933" max="6933" width="12.109375" style="367" customWidth="1"/>
    <col min="6934" max="6934" width="8.88671875" style="367" customWidth="1"/>
    <col min="6935" max="6936" width="13.6640625" style="367" customWidth="1"/>
    <col min="6937" max="6937" width="11.88671875" style="367" customWidth="1"/>
    <col min="6938" max="6938" width="12.6640625" style="367" customWidth="1"/>
    <col min="6939" max="6939" width="13.6640625" style="367" customWidth="1"/>
    <col min="6940" max="6940" width="14.6640625" style="367" customWidth="1"/>
    <col min="6941" max="6941" width="9.44140625" style="367" customWidth="1"/>
    <col min="6942" max="6942" width="11.33203125" style="367" customWidth="1"/>
    <col min="6943" max="6943" width="11.88671875" style="367" customWidth="1"/>
    <col min="6944" max="6944" width="11.109375" style="367" customWidth="1"/>
    <col min="6945" max="6945" width="11.88671875" style="367" customWidth="1"/>
    <col min="6946" max="6946" width="15.88671875" style="367" customWidth="1"/>
    <col min="6947" max="6947" width="9.88671875" style="367" customWidth="1"/>
    <col min="6948" max="6948" width="10.109375" style="367" customWidth="1"/>
    <col min="6949" max="6949" width="9.109375" style="367" customWidth="1"/>
    <col min="6950" max="7186" width="9" style="367"/>
    <col min="7187" max="7187" width="27.88671875" style="367" customWidth="1"/>
    <col min="7188" max="7188" width="10.109375" style="367" customWidth="1"/>
    <col min="7189" max="7189" width="12.109375" style="367" customWidth="1"/>
    <col min="7190" max="7190" width="8.88671875" style="367" customWidth="1"/>
    <col min="7191" max="7192" width="13.6640625" style="367" customWidth="1"/>
    <col min="7193" max="7193" width="11.88671875" style="367" customWidth="1"/>
    <col min="7194" max="7194" width="12.6640625" style="367" customWidth="1"/>
    <col min="7195" max="7195" width="13.6640625" style="367" customWidth="1"/>
    <col min="7196" max="7196" width="14.6640625" style="367" customWidth="1"/>
    <col min="7197" max="7197" width="9.44140625" style="367" customWidth="1"/>
    <col min="7198" max="7198" width="11.33203125" style="367" customWidth="1"/>
    <col min="7199" max="7199" width="11.88671875" style="367" customWidth="1"/>
    <col min="7200" max="7200" width="11.109375" style="367" customWidth="1"/>
    <col min="7201" max="7201" width="11.88671875" style="367" customWidth="1"/>
    <col min="7202" max="7202" width="15.88671875" style="367" customWidth="1"/>
    <col min="7203" max="7203" width="9.88671875" style="367" customWidth="1"/>
    <col min="7204" max="7204" width="10.109375" style="367" customWidth="1"/>
    <col min="7205" max="7205" width="9.109375" style="367" customWidth="1"/>
    <col min="7206" max="7442" width="9" style="367"/>
    <col min="7443" max="7443" width="27.88671875" style="367" customWidth="1"/>
    <col min="7444" max="7444" width="10.109375" style="367" customWidth="1"/>
    <col min="7445" max="7445" width="12.109375" style="367" customWidth="1"/>
    <col min="7446" max="7446" width="8.88671875" style="367" customWidth="1"/>
    <col min="7447" max="7448" width="13.6640625" style="367" customWidth="1"/>
    <col min="7449" max="7449" width="11.88671875" style="367" customWidth="1"/>
    <col min="7450" max="7450" width="12.6640625" style="367" customWidth="1"/>
    <col min="7451" max="7451" width="13.6640625" style="367" customWidth="1"/>
    <col min="7452" max="7452" width="14.6640625" style="367" customWidth="1"/>
    <col min="7453" max="7453" width="9.44140625" style="367" customWidth="1"/>
    <col min="7454" max="7454" width="11.33203125" style="367" customWidth="1"/>
    <col min="7455" max="7455" width="11.88671875" style="367" customWidth="1"/>
    <col min="7456" max="7456" width="11.109375" style="367" customWidth="1"/>
    <col min="7457" max="7457" width="11.88671875" style="367" customWidth="1"/>
    <col min="7458" max="7458" width="15.88671875" style="367" customWidth="1"/>
    <col min="7459" max="7459" width="9.88671875" style="367" customWidth="1"/>
    <col min="7460" max="7460" width="10.109375" style="367" customWidth="1"/>
    <col min="7461" max="7461" width="9.109375" style="367" customWidth="1"/>
    <col min="7462" max="7698" width="9" style="367"/>
    <col min="7699" max="7699" width="27.88671875" style="367" customWidth="1"/>
    <col min="7700" max="7700" width="10.109375" style="367" customWidth="1"/>
    <col min="7701" max="7701" width="12.109375" style="367" customWidth="1"/>
    <col min="7702" max="7702" width="8.88671875" style="367" customWidth="1"/>
    <col min="7703" max="7704" width="13.6640625" style="367" customWidth="1"/>
    <col min="7705" max="7705" width="11.88671875" style="367" customWidth="1"/>
    <col min="7706" max="7706" width="12.6640625" style="367" customWidth="1"/>
    <col min="7707" max="7707" width="13.6640625" style="367" customWidth="1"/>
    <col min="7708" max="7708" width="14.6640625" style="367" customWidth="1"/>
    <col min="7709" max="7709" width="9.44140625" style="367" customWidth="1"/>
    <col min="7710" max="7710" width="11.33203125" style="367" customWidth="1"/>
    <col min="7711" max="7711" width="11.88671875" style="367" customWidth="1"/>
    <col min="7712" max="7712" width="11.109375" style="367" customWidth="1"/>
    <col min="7713" max="7713" width="11.88671875" style="367" customWidth="1"/>
    <col min="7714" max="7714" width="15.88671875" style="367" customWidth="1"/>
    <col min="7715" max="7715" width="9.88671875" style="367" customWidth="1"/>
    <col min="7716" max="7716" width="10.109375" style="367" customWidth="1"/>
    <col min="7717" max="7717" width="9.109375" style="367" customWidth="1"/>
    <col min="7718" max="7954" width="9" style="367"/>
    <col min="7955" max="7955" width="27.88671875" style="367" customWidth="1"/>
    <col min="7956" max="7956" width="10.109375" style="367" customWidth="1"/>
    <col min="7957" max="7957" width="12.109375" style="367" customWidth="1"/>
    <col min="7958" max="7958" width="8.88671875" style="367" customWidth="1"/>
    <col min="7959" max="7960" width="13.6640625" style="367" customWidth="1"/>
    <col min="7961" max="7961" width="11.88671875" style="367" customWidth="1"/>
    <col min="7962" max="7962" width="12.6640625" style="367" customWidth="1"/>
    <col min="7963" max="7963" width="13.6640625" style="367" customWidth="1"/>
    <col min="7964" max="7964" width="14.6640625" style="367" customWidth="1"/>
    <col min="7965" max="7965" width="9.44140625" style="367" customWidth="1"/>
    <col min="7966" max="7966" width="11.33203125" style="367" customWidth="1"/>
    <col min="7967" max="7967" width="11.88671875" style="367" customWidth="1"/>
    <col min="7968" max="7968" width="11.109375" style="367" customWidth="1"/>
    <col min="7969" max="7969" width="11.88671875" style="367" customWidth="1"/>
    <col min="7970" max="7970" width="15.88671875" style="367" customWidth="1"/>
    <col min="7971" max="7971" width="9.88671875" style="367" customWidth="1"/>
    <col min="7972" max="7972" width="10.109375" style="367" customWidth="1"/>
    <col min="7973" max="7973" width="9.109375" style="367" customWidth="1"/>
    <col min="7974" max="8210" width="9" style="367"/>
    <col min="8211" max="8211" width="27.88671875" style="367" customWidth="1"/>
    <col min="8212" max="8212" width="10.109375" style="367" customWidth="1"/>
    <col min="8213" max="8213" width="12.109375" style="367" customWidth="1"/>
    <col min="8214" max="8214" width="8.88671875" style="367" customWidth="1"/>
    <col min="8215" max="8216" width="13.6640625" style="367" customWidth="1"/>
    <col min="8217" max="8217" width="11.88671875" style="367" customWidth="1"/>
    <col min="8218" max="8218" width="12.6640625" style="367" customWidth="1"/>
    <col min="8219" max="8219" width="13.6640625" style="367" customWidth="1"/>
    <col min="8220" max="8220" width="14.6640625" style="367" customWidth="1"/>
    <col min="8221" max="8221" width="9.44140625" style="367" customWidth="1"/>
    <col min="8222" max="8222" width="11.33203125" style="367" customWidth="1"/>
    <col min="8223" max="8223" width="11.88671875" style="367" customWidth="1"/>
    <col min="8224" max="8224" width="11.109375" style="367" customWidth="1"/>
    <col min="8225" max="8225" width="11.88671875" style="367" customWidth="1"/>
    <col min="8226" max="8226" width="15.88671875" style="367" customWidth="1"/>
    <col min="8227" max="8227" width="9.88671875" style="367" customWidth="1"/>
    <col min="8228" max="8228" width="10.109375" style="367" customWidth="1"/>
    <col min="8229" max="8229" width="9.109375" style="367" customWidth="1"/>
    <col min="8230" max="8466" width="9" style="367"/>
    <col min="8467" max="8467" width="27.88671875" style="367" customWidth="1"/>
    <col min="8468" max="8468" width="10.109375" style="367" customWidth="1"/>
    <col min="8469" max="8469" width="12.109375" style="367" customWidth="1"/>
    <col min="8470" max="8470" width="8.88671875" style="367" customWidth="1"/>
    <col min="8471" max="8472" width="13.6640625" style="367" customWidth="1"/>
    <col min="8473" max="8473" width="11.88671875" style="367" customWidth="1"/>
    <col min="8474" max="8474" width="12.6640625" style="367" customWidth="1"/>
    <col min="8475" max="8475" width="13.6640625" style="367" customWidth="1"/>
    <col min="8476" max="8476" width="14.6640625" style="367" customWidth="1"/>
    <col min="8477" max="8477" width="9.44140625" style="367" customWidth="1"/>
    <col min="8478" max="8478" width="11.33203125" style="367" customWidth="1"/>
    <col min="8479" max="8479" width="11.88671875" style="367" customWidth="1"/>
    <col min="8480" max="8480" width="11.109375" style="367" customWidth="1"/>
    <col min="8481" max="8481" width="11.88671875" style="367" customWidth="1"/>
    <col min="8482" max="8482" width="15.88671875" style="367" customWidth="1"/>
    <col min="8483" max="8483" width="9.88671875" style="367" customWidth="1"/>
    <col min="8484" max="8484" width="10.109375" style="367" customWidth="1"/>
    <col min="8485" max="8485" width="9.109375" style="367" customWidth="1"/>
    <col min="8486" max="8722" width="9" style="367"/>
    <col min="8723" max="8723" width="27.88671875" style="367" customWidth="1"/>
    <col min="8724" max="8724" width="10.109375" style="367" customWidth="1"/>
    <col min="8725" max="8725" width="12.109375" style="367" customWidth="1"/>
    <col min="8726" max="8726" width="8.88671875" style="367" customWidth="1"/>
    <col min="8727" max="8728" width="13.6640625" style="367" customWidth="1"/>
    <col min="8729" max="8729" width="11.88671875" style="367" customWidth="1"/>
    <col min="8730" max="8730" width="12.6640625" style="367" customWidth="1"/>
    <col min="8731" max="8731" width="13.6640625" style="367" customWidth="1"/>
    <col min="8732" max="8732" width="14.6640625" style="367" customWidth="1"/>
    <col min="8733" max="8733" width="9.44140625" style="367" customWidth="1"/>
    <col min="8734" max="8734" width="11.33203125" style="367" customWidth="1"/>
    <col min="8735" max="8735" width="11.88671875" style="367" customWidth="1"/>
    <col min="8736" max="8736" width="11.109375" style="367" customWidth="1"/>
    <col min="8737" max="8737" width="11.88671875" style="367" customWidth="1"/>
    <col min="8738" max="8738" width="15.88671875" style="367" customWidth="1"/>
    <col min="8739" max="8739" width="9.88671875" style="367" customWidth="1"/>
    <col min="8740" max="8740" width="10.109375" style="367" customWidth="1"/>
    <col min="8741" max="8741" width="9.109375" style="367" customWidth="1"/>
    <col min="8742" max="8978" width="9" style="367"/>
    <col min="8979" max="8979" width="27.88671875" style="367" customWidth="1"/>
    <col min="8980" max="8980" width="10.109375" style="367" customWidth="1"/>
    <col min="8981" max="8981" width="12.109375" style="367" customWidth="1"/>
    <col min="8982" max="8982" width="8.88671875" style="367" customWidth="1"/>
    <col min="8983" max="8984" width="13.6640625" style="367" customWidth="1"/>
    <col min="8985" max="8985" width="11.88671875" style="367" customWidth="1"/>
    <col min="8986" max="8986" width="12.6640625" style="367" customWidth="1"/>
    <col min="8987" max="8987" width="13.6640625" style="367" customWidth="1"/>
    <col min="8988" max="8988" width="14.6640625" style="367" customWidth="1"/>
    <col min="8989" max="8989" width="9.44140625" style="367" customWidth="1"/>
    <col min="8990" max="8990" width="11.33203125" style="367" customWidth="1"/>
    <col min="8991" max="8991" width="11.88671875" style="367" customWidth="1"/>
    <col min="8992" max="8992" width="11.109375" style="367" customWidth="1"/>
    <col min="8993" max="8993" width="11.88671875" style="367" customWidth="1"/>
    <col min="8994" max="8994" width="15.88671875" style="367" customWidth="1"/>
    <col min="8995" max="8995" width="9.88671875" style="367" customWidth="1"/>
    <col min="8996" max="8996" width="10.109375" style="367" customWidth="1"/>
    <col min="8997" max="8997" width="9.109375" style="367" customWidth="1"/>
    <col min="8998" max="9234" width="9" style="367"/>
    <col min="9235" max="9235" width="27.88671875" style="367" customWidth="1"/>
    <col min="9236" max="9236" width="10.109375" style="367" customWidth="1"/>
    <col min="9237" max="9237" width="12.109375" style="367" customWidth="1"/>
    <col min="9238" max="9238" width="8.88671875" style="367" customWidth="1"/>
    <col min="9239" max="9240" width="13.6640625" style="367" customWidth="1"/>
    <col min="9241" max="9241" width="11.88671875" style="367" customWidth="1"/>
    <col min="9242" max="9242" width="12.6640625" style="367" customWidth="1"/>
    <col min="9243" max="9243" width="13.6640625" style="367" customWidth="1"/>
    <col min="9244" max="9244" width="14.6640625" style="367" customWidth="1"/>
    <col min="9245" max="9245" width="9.44140625" style="367" customWidth="1"/>
    <col min="9246" max="9246" width="11.33203125" style="367" customWidth="1"/>
    <col min="9247" max="9247" width="11.88671875" style="367" customWidth="1"/>
    <col min="9248" max="9248" width="11.109375" style="367" customWidth="1"/>
    <col min="9249" max="9249" width="11.88671875" style="367" customWidth="1"/>
    <col min="9250" max="9250" width="15.88671875" style="367" customWidth="1"/>
    <col min="9251" max="9251" width="9.88671875" style="367" customWidth="1"/>
    <col min="9252" max="9252" width="10.109375" style="367" customWidth="1"/>
    <col min="9253" max="9253" width="9.109375" style="367" customWidth="1"/>
    <col min="9254" max="9490" width="9" style="367"/>
    <col min="9491" max="9491" width="27.88671875" style="367" customWidth="1"/>
    <col min="9492" max="9492" width="10.109375" style="367" customWidth="1"/>
    <col min="9493" max="9493" width="12.109375" style="367" customWidth="1"/>
    <col min="9494" max="9494" width="8.88671875" style="367" customWidth="1"/>
    <col min="9495" max="9496" width="13.6640625" style="367" customWidth="1"/>
    <col min="9497" max="9497" width="11.88671875" style="367" customWidth="1"/>
    <col min="9498" max="9498" width="12.6640625" style="367" customWidth="1"/>
    <col min="9499" max="9499" width="13.6640625" style="367" customWidth="1"/>
    <col min="9500" max="9500" width="14.6640625" style="367" customWidth="1"/>
    <col min="9501" max="9501" width="9.44140625" style="367" customWidth="1"/>
    <col min="9502" max="9502" width="11.33203125" style="367" customWidth="1"/>
    <col min="9503" max="9503" width="11.88671875" style="367" customWidth="1"/>
    <col min="9504" max="9504" width="11.109375" style="367" customWidth="1"/>
    <col min="9505" max="9505" width="11.88671875" style="367" customWidth="1"/>
    <col min="9506" max="9506" width="15.88671875" style="367" customWidth="1"/>
    <col min="9507" max="9507" width="9.88671875" style="367" customWidth="1"/>
    <col min="9508" max="9508" width="10.109375" style="367" customWidth="1"/>
    <col min="9509" max="9509" width="9.109375" style="367" customWidth="1"/>
    <col min="9510" max="9746" width="9" style="367"/>
    <col min="9747" max="9747" width="27.88671875" style="367" customWidth="1"/>
    <col min="9748" max="9748" width="10.109375" style="367" customWidth="1"/>
    <col min="9749" max="9749" width="12.109375" style="367" customWidth="1"/>
    <col min="9750" max="9750" width="8.88671875" style="367" customWidth="1"/>
    <col min="9751" max="9752" width="13.6640625" style="367" customWidth="1"/>
    <col min="9753" max="9753" width="11.88671875" style="367" customWidth="1"/>
    <col min="9754" max="9754" width="12.6640625" style="367" customWidth="1"/>
    <col min="9755" max="9755" width="13.6640625" style="367" customWidth="1"/>
    <col min="9756" max="9756" width="14.6640625" style="367" customWidth="1"/>
    <col min="9757" max="9757" width="9.44140625" style="367" customWidth="1"/>
    <col min="9758" max="9758" width="11.33203125" style="367" customWidth="1"/>
    <col min="9759" max="9759" width="11.88671875" style="367" customWidth="1"/>
    <col min="9760" max="9760" width="11.109375" style="367" customWidth="1"/>
    <col min="9761" max="9761" width="11.88671875" style="367" customWidth="1"/>
    <col min="9762" max="9762" width="15.88671875" style="367" customWidth="1"/>
    <col min="9763" max="9763" width="9.88671875" style="367" customWidth="1"/>
    <col min="9764" max="9764" width="10.109375" style="367" customWidth="1"/>
    <col min="9765" max="9765" width="9.109375" style="367" customWidth="1"/>
    <col min="9766" max="10002" width="9" style="367"/>
    <col min="10003" max="10003" width="27.88671875" style="367" customWidth="1"/>
    <col min="10004" max="10004" width="10.109375" style="367" customWidth="1"/>
    <col min="10005" max="10005" width="12.109375" style="367" customWidth="1"/>
    <col min="10006" max="10006" width="8.88671875" style="367" customWidth="1"/>
    <col min="10007" max="10008" width="13.6640625" style="367" customWidth="1"/>
    <col min="10009" max="10009" width="11.88671875" style="367" customWidth="1"/>
    <col min="10010" max="10010" width="12.6640625" style="367" customWidth="1"/>
    <col min="10011" max="10011" width="13.6640625" style="367" customWidth="1"/>
    <col min="10012" max="10012" width="14.6640625" style="367" customWidth="1"/>
    <col min="10013" max="10013" width="9.44140625" style="367" customWidth="1"/>
    <col min="10014" max="10014" width="11.33203125" style="367" customWidth="1"/>
    <col min="10015" max="10015" width="11.88671875" style="367" customWidth="1"/>
    <col min="10016" max="10016" width="11.109375" style="367" customWidth="1"/>
    <col min="10017" max="10017" width="11.88671875" style="367" customWidth="1"/>
    <col min="10018" max="10018" width="15.88671875" style="367" customWidth="1"/>
    <col min="10019" max="10019" width="9.88671875" style="367" customWidth="1"/>
    <col min="10020" max="10020" width="10.109375" style="367" customWidth="1"/>
    <col min="10021" max="10021" width="9.109375" style="367" customWidth="1"/>
    <col min="10022" max="10258" width="9" style="367"/>
    <col min="10259" max="10259" width="27.88671875" style="367" customWidth="1"/>
    <col min="10260" max="10260" width="10.109375" style="367" customWidth="1"/>
    <col min="10261" max="10261" width="12.109375" style="367" customWidth="1"/>
    <col min="10262" max="10262" width="8.88671875" style="367" customWidth="1"/>
    <col min="10263" max="10264" width="13.6640625" style="367" customWidth="1"/>
    <col min="10265" max="10265" width="11.88671875" style="367" customWidth="1"/>
    <col min="10266" max="10266" width="12.6640625" style="367" customWidth="1"/>
    <col min="10267" max="10267" width="13.6640625" style="367" customWidth="1"/>
    <col min="10268" max="10268" width="14.6640625" style="367" customWidth="1"/>
    <col min="10269" max="10269" width="9.44140625" style="367" customWidth="1"/>
    <col min="10270" max="10270" width="11.33203125" style="367" customWidth="1"/>
    <col min="10271" max="10271" width="11.88671875" style="367" customWidth="1"/>
    <col min="10272" max="10272" width="11.109375" style="367" customWidth="1"/>
    <col min="10273" max="10273" width="11.88671875" style="367" customWidth="1"/>
    <col min="10274" max="10274" width="15.88671875" style="367" customWidth="1"/>
    <col min="10275" max="10275" width="9.88671875" style="367" customWidth="1"/>
    <col min="10276" max="10276" width="10.109375" style="367" customWidth="1"/>
    <col min="10277" max="10277" width="9.109375" style="367" customWidth="1"/>
    <col min="10278" max="10514" width="9" style="367"/>
    <col min="10515" max="10515" width="27.88671875" style="367" customWidth="1"/>
    <col min="10516" max="10516" width="10.109375" style="367" customWidth="1"/>
    <col min="10517" max="10517" width="12.109375" style="367" customWidth="1"/>
    <col min="10518" max="10518" width="8.88671875" style="367" customWidth="1"/>
    <col min="10519" max="10520" width="13.6640625" style="367" customWidth="1"/>
    <col min="10521" max="10521" width="11.88671875" style="367" customWidth="1"/>
    <col min="10522" max="10522" width="12.6640625" style="367" customWidth="1"/>
    <col min="10523" max="10523" width="13.6640625" style="367" customWidth="1"/>
    <col min="10524" max="10524" width="14.6640625" style="367" customWidth="1"/>
    <col min="10525" max="10525" width="9.44140625" style="367" customWidth="1"/>
    <col min="10526" max="10526" width="11.33203125" style="367" customWidth="1"/>
    <col min="10527" max="10527" width="11.88671875" style="367" customWidth="1"/>
    <col min="10528" max="10528" width="11.109375" style="367" customWidth="1"/>
    <col min="10529" max="10529" width="11.88671875" style="367" customWidth="1"/>
    <col min="10530" max="10530" width="15.88671875" style="367" customWidth="1"/>
    <col min="10531" max="10531" width="9.88671875" style="367" customWidth="1"/>
    <col min="10532" max="10532" width="10.109375" style="367" customWidth="1"/>
    <col min="10533" max="10533" width="9.109375" style="367" customWidth="1"/>
    <col min="10534" max="10770" width="9" style="367"/>
    <col min="10771" max="10771" width="27.88671875" style="367" customWidth="1"/>
    <col min="10772" max="10772" width="10.109375" style="367" customWidth="1"/>
    <col min="10773" max="10773" width="12.109375" style="367" customWidth="1"/>
    <col min="10774" max="10774" width="8.88671875" style="367" customWidth="1"/>
    <col min="10775" max="10776" width="13.6640625" style="367" customWidth="1"/>
    <col min="10777" max="10777" width="11.88671875" style="367" customWidth="1"/>
    <col min="10778" max="10778" width="12.6640625" style="367" customWidth="1"/>
    <col min="10779" max="10779" width="13.6640625" style="367" customWidth="1"/>
    <col min="10780" max="10780" width="14.6640625" style="367" customWidth="1"/>
    <col min="10781" max="10781" width="9.44140625" style="367" customWidth="1"/>
    <col min="10782" max="10782" width="11.33203125" style="367" customWidth="1"/>
    <col min="10783" max="10783" width="11.88671875" style="367" customWidth="1"/>
    <col min="10784" max="10784" width="11.109375" style="367" customWidth="1"/>
    <col min="10785" max="10785" width="11.88671875" style="367" customWidth="1"/>
    <col min="10786" max="10786" width="15.88671875" style="367" customWidth="1"/>
    <col min="10787" max="10787" width="9.88671875" style="367" customWidth="1"/>
    <col min="10788" max="10788" width="10.109375" style="367" customWidth="1"/>
    <col min="10789" max="10789" width="9.109375" style="367" customWidth="1"/>
    <col min="10790" max="11026" width="9" style="367"/>
    <col min="11027" max="11027" width="27.88671875" style="367" customWidth="1"/>
    <col min="11028" max="11028" width="10.109375" style="367" customWidth="1"/>
    <col min="11029" max="11029" width="12.109375" style="367" customWidth="1"/>
    <col min="11030" max="11030" width="8.88671875" style="367" customWidth="1"/>
    <col min="11031" max="11032" width="13.6640625" style="367" customWidth="1"/>
    <col min="11033" max="11033" width="11.88671875" style="367" customWidth="1"/>
    <col min="11034" max="11034" width="12.6640625" style="367" customWidth="1"/>
    <col min="11035" max="11035" width="13.6640625" style="367" customWidth="1"/>
    <col min="11036" max="11036" width="14.6640625" style="367" customWidth="1"/>
    <col min="11037" max="11037" width="9.44140625" style="367" customWidth="1"/>
    <col min="11038" max="11038" width="11.33203125" style="367" customWidth="1"/>
    <col min="11039" max="11039" width="11.88671875" style="367" customWidth="1"/>
    <col min="11040" max="11040" width="11.109375" style="367" customWidth="1"/>
    <col min="11041" max="11041" width="11.88671875" style="367" customWidth="1"/>
    <col min="11042" max="11042" width="15.88671875" style="367" customWidth="1"/>
    <col min="11043" max="11043" width="9.88671875" style="367" customWidth="1"/>
    <col min="11044" max="11044" width="10.109375" style="367" customWidth="1"/>
    <col min="11045" max="11045" width="9.109375" style="367" customWidth="1"/>
    <col min="11046" max="11282" width="9" style="367"/>
    <col min="11283" max="11283" width="27.88671875" style="367" customWidth="1"/>
    <col min="11284" max="11284" width="10.109375" style="367" customWidth="1"/>
    <col min="11285" max="11285" width="12.109375" style="367" customWidth="1"/>
    <col min="11286" max="11286" width="8.88671875" style="367" customWidth="1"/>
    <col min="11287" max="11288" width="13.6640625" style="367" customWidth="1"/>
    <col min="11289" max="11289" width="11.88671875" style="367" customWidth="1"/>
    <col min="11290" max="11290" width="12.6640625" style="367" customWidth="1"/>
    <col min="11291" max="11291" width="13.6640625" style="367" customWidth="1"/>
    <col min="11292" max="11292" width="14.6640625" style="367" customWidth="1"/>
    <col min="11293" max="11293" width="9.44140625" style="367" customWidth="1"/>
    <col min="11294" max="11294" width="11.33203125" style="367" customWidth="1"/>
    <col min="11295" max="11295" width="11.88671875" style="367" customWidth="1"/>
    <col min="11296" max="11296" width="11.109375" style="367" customWidth="1"/>
    <col min="11297" max="11297" width="11.88671875" style="367" customWidth="1"/>
    <col min="11298" max="11298" width="15.88671875" style="367" customWidth="1"/>
    <col min="11299" max="11299" width="9.88671875" style="367" customWidth="1"/>
    <col min="11300" max="11300" width="10.109375" style="367" customWidth="1"/>
    <col min="11301" max="11301" width="9.109375" style="367" customWidth="1"/>
    <col min="11302" max="11538" width="9" style="367"/>
    <col min="11539" max="11539" width="27.88671875" style="367" customWidth="1"/>
    <col min="11540" max="11540" width="10.109375" style="367" customWidth="1"/>
    <col min="11541" max="11541" width="12.109375" style="367" customWidth="1"/>
    <col min="11542" max="11542" width="8.88671875" style="367" customWidth="1"/>
    <col min="11543" max="11544" width="13.6640625" style="367" customWidth="1"/>
    <col min="11545" max="11545" width="11.88671875" style="367" customWidth="1"/>
    <col min="11546" max="11546" width="12.6640625" style="367" customWidth="1"/>
    <col min="11547" max="11547" width="13.6640625" style="367" customWidth="1"/>
    <col min="11548" max="11548" width="14.6640625" style="367" customWidth="1"/>
    <col min="11549" max="11549" width="9.44140625" style="367" customWidth="1"/>
    <col min="11550" max="11550" width="11.33203125" style="367" customWidth="1"/>
    <col min="11551" max="11551" width="11.88671875" style="367" customWidth="1"/>
    <col min="11552" max="11552" width="11.109375" style="367" customWidth="1"/>
    <col min="11553" max="11553" width="11.88671875" style="367" customWidth="1"/>
    <col min="11554" max="11554" width="15.88671875" style="367" customWidth="1"/>
    <col min="11555" max="11555" width="9.88671875" style="367" customWidth="1"/>
    <col min="11556" max="11556" width="10.109375" style="367" customWidth="1"/>
    <col min="11557" max="11557" width="9.109375" style="367" customWidth="1"/>
    <col min="11558" max="11794" width="9" style="367"/>
    <col min="11795" max="11795" width="27.88671875" style="367" customWidth="1"/>
    <col min="11796" max="11796" width="10.109375" style="367" customWidth="1"/>
    <col min="11797" max="11797" width="12.109375" style="367" customWidth="1"/>
    <col min="11798" max="11798" width="8.88671875" style="367" customWidth="1"/>
    <col min="11799" max="11800" width="13.6640625" style="367" customWidth="1"/>
    <col min="11801" max="11801" width="11.88671875" style="367" customWidth="1"/>
    <col min="11802" max="11802" width="12.6640625" style="367" customWidth="1"/>
    <col min="11803" max="11803" width="13.6640625" style="367" customWidth="1"/>
    <col min="11804" max="11804" width="14.6640625" style="367" customWidth="1"/>
    <col min="11805" max="11805" width="9.44140625" style="367" customWidth="1"/>
    <col min="11806" max="11806" width="11.33203125" style="367" customWidth="1"/>
    <col min="11807" max="11807" width="11.88671875" style="367" customWidth="1"/>
    <col min="11808" max="11808" width="11.109375" style="367" customWidth="1"/>
    <col min="11809" max="11809" width="11.88671875" style="367" customWidth="1"/>
    <col min="11810" max="11810" width="15.88671875" style="367" customWidth="1"/>
    <col min="11811" max="11811" width="9.88671875" style="367" customWidth="1"/>
    <col min="11812" max="11812" width="10.109375" style="367" customWidth="1"/>
    <col min="11813" max="11813" width="9.109375" style="367" customWidth="1"/>
    <col min="11814" max="12050" width="9" style="367"/>
    <col min="12051" max="12051" width="27.88671875" style="367" customWidth="1"/>
    <col min="12052" max="12052" width="10.109375" style="367" customWidth="1"/>
    <col min="12053" max="12053" width="12.109375" style="367" customWidth="1"/>
    <col min="12054" max="12054" width="8.88671875" style="367" customWidth="1"/>
    <col min="12055" max="12056" width="13.6640625" style="367" customWidth="1"/>
    <col min="12057" max="12057" width="11.88671875" style="367" customWidth="1"/>
    <col min="12058" max="12058" width="12.6640625" style="367" customWidth="1"/>
    <col min="12059" max="12059" width="13.6640625" style="367" customWidth="1"/>
    <col min="12060" max="12060" width="14.6640625" style="367" customWidth="1"/>
    <col min="12061" max="12061" width="9.44140625" style="367" customWidth="1"/>
    <col min="12062" max="12062" width="11.33203125" style="367" customWidth="1"/>
    <col min="12063" max="12063" width="11.88671875" style="367" customWidth="1"/>
    <col min="12064" max="12064" width="11.109375" style="367" customWidth="1"/>
    <col min="12065" max="12065" width="11.88671875" style="367" customWidth="1"/>
    <col min="12066" max="12066" width="15.88671875" style="367" customWidth="1"/>
    <col min="12067" max="12067" width="9.88671875" style="367" customWidth="1"/>
    <col min="12068" max="12068" width="10.109375" style="367" customWidth="1"/>
    <col min="12069" max="12069" width="9.109375" style="367" customWidth="1"/>
    <col min="12070" max="12306" width="9" style="367"/>
    <col min="12307" max="12307" width="27.88671875" style="367" customWidth="1"/>
    <col min="12308" max="12308" width="10.109375" style="367" customWidth="1"/>
    <col min="12309" max="12309" width="12.109375" style="367" customWidth="1"/>
    <col min="12310" max="12310" width="8.88671875" style="367" customWidth="1"/>
    <col min="12311" max="12312" width="13.6640625" style="367" customWidth="1"/>
    <col min="12313" max="12313" width="11.88671875" style="367" customWidth="1"/>
    <col min="12314" max="12314" width="12.6640625" style="367" customWidth="1"/>
    <col min="12315" max="12315" width="13.6640625" style="367" customWidth="1"/>
    <col min="12316" max="12316" width="14.6640625" style="367" customWidth="1"/>
    <col min="12317" max="12317" width="9.44140625" style="367" customWidth="1"/>
    <col min="12318" max="12318" width="11.33203125" style="367" customWidth="1"/>
    <col min="12319" max="12319" width="11.88671875" style="367" customWidth="1"/>
    <col min="12320" max="12320" width="11.109375" style="367" customWidth="1"/>
    <col min="12321" max="12321" width="11.88671875" style="367" customWidth="1"/>
    <col min="12322" max="12322" width="15.88671875" style="367" customWidth="1"/>
    <col min="12323" max="12323" width="9.88671875" style="367" customWidth="1"/>
    <col min="12324" max="12324" width="10.109375" style="367" customWidth="1"/>
    <col min="12325" max="12325" width="9.109375" style="367" customWidth="1"/>
    <col min="12326" max="12562" width="9" style="367"/>
    <col min="12563" max="12563" width="27.88671875" style="367" customWidth="1"/>
    <col min="12564" max="12564" width="10.109375" style="367" customWidth="1"/>
    <col min="12565" max="12565" width="12.109375" style="367" customWidth="1"/>
    <col min="12566" max="12566" width="8.88671875" style="367" customWidth="1"/>
    <col min="12567" max="12568" width="13.6640625" style="367" customWidth="1"/>
    <col min="12569" max="12569" width="11.88671875" style="367" customWidth="1"/>
    <col min="12570" max="12570" width="12.6640625" style="367" customWidth="1"/>
    <col min="12571" max="12571" width="13.6640625" style="367" customWidth="1"/>
    <col min="12572" max="12572" width="14.6640625" style="367" customWidth="1"/>
    <col min="12573" max="12573" width="9.44140625" style="367" customWidth="1"/>
    <col min="12574" max="12574" width="11.33203125" style="367" customWidth="1"/>
    <col min="12575" max="12575" width="11.88671875" style="367" customWidth="1"/>
    <col min="12576" max="12576" width="11.109375" style="367" customWidth="1"/>
    <col min="12577" max="12577" width="11.88671875" style="367" customWidth="1"/>
    <col min="12578" max="12578" width="15.88671875" style="367" customWidth="1"/>
    <col min="12579" max="12579" width="9.88671875" style="367" customWidth="1"/>
    <col min="12580" max="12580" width="10.109375" style="367" customWidth="1"/>
    <col min="12581" max="12581" width="9.109375" style="367" customWidth="1"/>
    <col min="12582" max="12818" width="9" style="367"/>
    <col min="12819" max="12819" width="27.88671875" style="367" customWidth="1"/>
    <col min="12820" max="12820" width="10.109375" style="367" customWidth="1"/>
    <col min="12821" max="12821" width="12.109375" style="367" customWidth="1"/>
    <col min="12822" max="12822" width="8.88671875" style="367" customWidth="1"/>
    <col min="12823" max="12824" width="13.6640625" style="367" customWidth="1"/>
    <col min="12825" max="12825" width="11.88671875" style="367" customWidth="1"/>
    <col min="12826" max="12826" width="12.6640625" style="367" customWidth="1"/>
    <col min="12827" max="12827" width="13.6640625" style="367" customWidth="1"/>
    <col min="12828" max="12828" width="14.6640625" style="367" customWidth="1"/>
    <col min="12829" max="12829" width="9.44140625" style="367" customWidth="1"/>
    <col min="12830" max="12830" width="11.33203125" style="367" customWidth="1"/>
    <col min="12831" max="12831" width="11.88671875" style="367" customWidth="1"/>
    <col min="12832" max="12832" width="11.109375" style="367" customWidth="1"/>
    <col min="12833" max="12833" width="11.88671875" style="367" customWidth="1"/>
    <col min="12834" max="12834" width="15.88671875" style="367" customWidth="1"/>
    <col min="12835" max="12835" width="9.88671875" style="367" customWidth="1"/>
    <col min="12836" max="12836" width="10.109375" style="367" customWidth="1"/>
    <col min="12837" max="12837" width="9.109375" style="367" customWidth="1"/>
    <col min="12838" max="13074" width="9" style="367"/>
    <col min="13075" max="13075" width="27.88671875" style="367" customWidth="1"/>
    <col min="13076" max="13076" width="10.109375" style="367" customWidth="1"/>
    <col min="13077" max="13077" width="12.109375" style="367" customWidth="1"/>
    <col min="13078" max="13078" width="8.88671875" style="367" customWidth="1"/>
    <col min="13079" max="13080" width="13.6640625" style="367" customWidth="1"/>
    <col min="13081" max="13081" width="11.88671875" style="367" customWidth="1"/>
    <col min="13082" max="13082" width="12.6640625" style="367" customWidth="1"/>
    <col min="13083" max="13083" width="13.6640625" style="367" customWidth="1"/>
    <col min="13084" max="13084" width="14.6640625" style="367" customWidth="1"/>
    <col min="13085" max="13085" width="9.44140625" style="367" customWidth="1"/>
    <col min="13086" max="13086" width="11.33203125" style="367" customWidth="1"/>
    <col min="13087" max="13087" width="11.88671875" style="367" customWidth="1"/>
    <col min="13088" max="13088" width="11.109375" style="367" customWidth="1"/>
    <col min="13089" max="13089" width="11.88671875" style="367" customWidth="1"/>
    <col min="13090" max="13090" width="15.88671875" style="367" customWidth="1"/>
    <col min="13091" max="13091" width="9.88671875" style="367" customWidth="1"/>
    <col min="13092" max="13092" width="10.109375" style="367" customWidth="1"/>
    <col min="13093" max="13093" width="9.109375" style="367" customWidth="1"/>
    <col min="13094" max="13330" width="9" style="367"/>
    <col min="13331" max="13331" width="27.88671875" style="367" customWidth="1"/>
    <col min="13332" max="13332" width="10.109375" style="367" customWidth="1"/>
    <col min="13333" max="13333" width="12.109375" style="367" customWidth="1"/>
    <col min="13334" max="13334" width="8.88671875" style="367" customWidth="1"/>
    <col min="13335" max="13336" width="13.6640625" style="367" customWidth="1"/>
    <col min="13337" max="13337" width="11.88671875" style="367" customWidth="1"/>
    <col min="13338" max="13338" width="12.6640625" style="367" customWidth="1"/>
    <col min="13339" max="13339" width="13.6640625" style="367" customWidth="1"/>
    <col min="13340" max="13340" width="14.6640625" style="367" customWidth="1"/>
    <col min="13341" max="13341" width="9.44140625" style="367" customWidth="1"/>
    <col min="13342" max="13342" width="11.33203125" style="367" customWidth="1"/>
    <col min="13343" max="13343" width="11.88671875" style="367" customWidth="1"/>
    <col min="13344" max="13344" width="11.109375" style="367" customWidth="1"/>
    <col min="13345" max="13345" width="11.88671875" style="367" customWidth="1"/>
    <col min="13346" max="13346" width="15.88671875" style="367" customWidth="1"/>
    <col min="13347" max="13347" width="9.88671875" style="367" customWidth="1"/>
    <col min="13348" max="13348" width="10.109375" style="367" customWidth="1"/>
    <col min="13349" max="13349" width="9.109375" style="367" customWidth="1"/>
    <col min="13350" max="13586" width="9" style="367"/>
    <col min="13587" max="13587" width="27.88671875" style="367" customWidth="1"/>
    <col min="13588" max="13588" width="10.109375" style="367" customWidth="1"/>
    <col min="13589" max="13589" width="12.109375" style="367" customWidth="1"/>
    <col min="13590" max="13590" width="8.88671875" style="367" customWidth="1"/>
    <col min="13591" max="13592" width="13.6640625" style="367" customWidth="1"/>
    <col min="13593" max="13593" width="11.88671875" style="367" customWidth="1"/>
    <col min="13594" max="13594" width="12.6640625" style="367" customWidth="1"/>
    <col min="13595" max="13595" width="13.6640625" style="367" customWidth="1"/>
    <col min="13596" max="13596" width="14.6640625" style="367" customWidth="1"/>
    <col min="13597" max="13597" width="9.44140625" style="367" customWidth="1"/>
    <col min="13598" max="13598" width="11.33203125" style="367" customWidth="1"/>
    <col min="13599" max="13599" width="11.88671875" style="367" customWidth="1"/>
    <col min="13600" max="13600" width="11.109375" style="367" customWidth="1"/>
    <col min="13601" max="13601" width="11.88671875" style="367" customWidth="1"/>
    <col min="13602" max="13602" width="15.88671875" style="367" customWidth="1"/>
    <col min="13603" max="13603" width="9.88671875" style="367" customWidth="1"/>
    <col min="13604" max="13604" width="10.109375" style="367" customWidth="1"/>
    <col min="13605" max="13605" width="9.109375" style="367" customWidth="1"/>
    <col min="13606" max="13842" width="9" style="367"/>
    <col min="13843" max="13843" width="27.88671875" style="367" customWidth="1"/>
    <col min="13844" max="13844" width="10.109375" style="367" customWidth="1"/>
    <col min="13845" max="13845" width="12.109375" style="367" customWidth="1"/>
    <col min="13846" max="13846" width="8.88671875" style="367" customWidth="1"/>
    <col min="13847" max="13848" width="13.6640625" style="367" customWidth="1"/>
    <col min="13849" max="13849" width="11.88671875" style="367" customWidth="1"/>
    <col min="13850" max="13850" width="12.6640625" style="367" customWidth="1"/>
    <col min="13851" max="13851" width="13.6640625" style="367" customWidth="1"/>
    <col min="13852" max="13852" width="14.6640625" style="367" customWidth="1"/>
    <col min="13853" max="13853" width="9.44140625" style="367" customWidth="1"/>
    <col min="13854" max="13854" width="11.33203125" style="367" customWidth="1"/>
    <col min="13855" max="13855" width="11.88671875" style="367" customWidth="1"/>
    <col min="13856" max="13856" width="11.109375" style="367" customWidth="1"/>
    <col min="13857" max="13857" width="11.88671875" style="367" customWidth="1"/>
    <col min="13858" max="13858" width="15.88671875" style="367" customWidth="1"/>
    <col min="13859" max="13859" width="9.88671875" style="367" customWidth="1"/>
    <col min="13860" max="13860" width="10.109375" style="367" customWidth="1"/>
    <col min="13861" max="13861" width="9.109375" style="367" customWidth="1"/>
    <col min="13862" max="14098" width="9" style="367"/>
    <col min="14099" max="14099" width="27.88671875" style="367" customWidth="1"/>
    <col min="14100" max="14100" width="10.109375" style="367" customWidth="1"/>
    <col min="14101" max="14101" width="12.109375" style="367" customWidth="1"/>
    <col min="14102" max="14102" width="8.88671875" style="367" customWidth="1"/>
    <col min="14103" max="14104" width="13.6640625" style="367" customWidth="1"/>
    <col min="14105" max="14105" width="11.88671875" style="367" customWidth="1"/>
    <col min="14106" max="14106" width="12.6640625" style="367" customWidth="1"/>
    <col min="14107" max="14107" width="13.6640625" style="367" customWidth="1"/>
    <col min="14108" max="14108" width="14.6640625" style="367" customWidth="1"/>
    <col min="14109" max="14109" width="9.44140625" style="367" customWidth="1"/>
    <col min="14110" max="14110" width="11.33203125" style="367" customWidth="1"/>
    <col min="14111" max="14111" width="11.88671875" style="367" customWidth="1"/>
    <col min="14112" max="14112" width="11.109375" style="367" customWidth="1"/>
    <col min="14113" max="14113" width="11.88671875" style="367" customWidth="1"/>
    <col min="14114" max="14114" width="15.88671875" style="367" customWidth="1"/>
    <col min="14115" max="14115" width="9.88671875" style="367" customWidth="1"/>
    <col min="14116" max="14116" width="10.109375" style="367" customWidth="1"/>
    <col min="14117" max="14117" width="9.109375" style="367" customWidth="1"/>
    <col min="14118" max="14354" width="9" style="367"/>
    <col min="14355" max="14355" width="27.88671875" style="367" customWidth="1"/>
    <col min="14356" max="14356" width="10.109375" style="367" customWidth="1"/>
    <col min="14357" max="14357" width="12.109375" style="367" customWidth="1"/>
    <col min="14358" max="14358" width="8.88671875" style="367" customWidth="1"/>
    <col min="14359" max="14360" width="13.6640625" style="367" customWidth="1"/>
    <col min="14361" max="14361" width="11.88671875" style="367" customWidth="1"/>
    <col min="14362" max="14362" width="12.6640625" style="367" customWidth="1"/>
    <col min="14363" max="14363" width="13.6640625" style="367" customWidth="1"/>
    <col min="14364" max="14364" width="14.6640625" style="367" customWidth="1"/>
    <col min="14365" max="14365" width="9.44140625" style="367" customWidth="1"/>
    <col min="14366" max="14366" width="11.33203125" style="367" customWidth="1"/>
    <col min="14367" max="14367" width="11.88671875" style="367" customWidth="1"/>
    <col min="14368" max="14368" width="11.109375" style="367" customWidth="1"/>
    <col min="14369" max="14369" width="11.88671875" style="367" customWidth="1"/>
    <col min="14370" max="14370" width="15.88671875" style="367" customWidth="1"/>
    <col min="14371" max="14371" width="9.88671875" style="367" customWidth="1"/>
    <col min="14372" max="14372" width="10.109375" style="367" customWidth="1"/>
    <col min="14373" max="14373" width="9.109375" style="367" customWidth="1"/>
    <col min="14374" max="14610" width="9" style="367"/>
    <col min="14611" max="14611" width="27.88671875" style="367" customWidth="1"/>
    <col min="14612" max="14612" width="10.109375" style="367" customWidth="1"/>
    <col min="14613" max="14613" width="12.109375" style="367" customWidth="1"/>
    <col min="14614" max="14614" width="8.88671875" style="367" customWidth="1"/>
    <col min="14615" max="14616" width="13.6640625" style="367" customWidth="1"/>
    <col min="14617" max="14617" width="11.88671875" style="367" customWidth="1"/>
    <col min="14618" max="14618" width="12.6640625" style="367" customWidth="1"/>
    <col min="14619" max="14619" width="13.6640625" style="367" customWidth="1"/>
    <col min="14620" max="14620" width="14.6640625" style="367" customWidth="1"/>
    <col min="14621" max="14621" width="9.44140625" style="367" customWidth="1"/>
    <col min="14622" max="14622" width="11.33203125" style="367" customWidth="1"/>
    <col min="14623" max="14623" width="11.88671875" style="367" customWidth="1"/>
    <col min="14624" max="14624" width="11.109375" style="367" customWidth="1"/>
    <col min="14625" max="14625" width="11.88671875" style="367" customWidth="1"/>
    <col min="14626" max="14626" width="15.88671875" style="367" customWidth="1"/>
    <col min="14627" max="14627" width="9.88671875" style="367" customWidth="1"/>
    <col min="14628" max="14628" width="10.109375" style="367" customWidth="1"/>
    <col min="14629" max="14629" width="9.109375" style="367" customWidth="1"/>
    <col min="14630" max="14866" width="9" style="367"/>
    <col min="14867" max="14867" width="27.88671875" style="367" customWidth="1"/>
    <col min="14868" max="14868" width="10.109375" style="367" customWidth="1"/>
    <col min="14869" max="14869" width="12.109375" style="367" customWidth="1"/>
    <col min="14870" max="14870" width="8.88671875" style="367" customWidth="1"/>
    <col min="14871" max="14872" width="13.6640625" style="367" customWidth="1"/>
    <col min="14873" max="14873" width="11.88671875" style="367" customWidth="1"/>
    <col min="14874" max="14874" width="12.6640625" style="367" customWidth="1"/>
    <col min="14875" max="14875" width="13.6640625" style="367" customWidth="1"/>
    <col min="14876" max="14876" width="14.6640625" style="367" customWidth="1"/>
    <col min="14877" max="14877" width="9.44140625" style="367" customWidth="1"/>
    <col min="14878" max="14878" width="11.33203125" style="367" customWidth="1"/>
    <col min="14879" max="14879" width="11.88671875" style="367" customWidth="1"/>
    <col min="14880" max="14880" width="11.109375" style="367" customWidth="1"/>
    <col min="14881" max="14881" width="11.88671875" style="367" customWidth="1"/>
    <col min="14882" max="14882" width="15.88671875" style="367" customWidth="1"/>
    <col min="14883" max="14883" width="9.88671875" style="367" customWidth="1"/>
    <col min="14884" max="14884" width="10.109375" style="367" customWidth="1"/>
    <col min="14885" max="14885" width="9.109375" style="367" customWidth="1"/>
    <col min="14886" max="15122" width="9" style="367"/>
    <col min="15123" max="15123" width="27.88671875" style="367" customWidth="1"/>
    <col min="15124" max="15124" width="10.109375" style="367" customWidth="1"/>
    <col min="15125" max="15125" width="12.109375" style="367" customWidth="1"/>
    <col min="15126" max="15126" width="8.88671875" style="367" customWidth="1"/>
    <col min="15127" max="15128" width="13.6640625" style="367" customWidth="1"/>
    <col min="15129" max="15129" width="11.88671875" style="367" customWidth="1"/>
    <col min="15130" max="15130" width="12.6640625" style="367" customWidth="1"/>
    <col min="15131" max="15131" width="13.6640625" style="367" customWidth="1"/>
    <col min="15132" max="15132" width="14.6640625" style="367" customWidth="1"/>
    <col min="15133" max="15133" width="9.44140625" style="367" customWidth="1"/>
    <col min="15134" max="15134" width="11.33203125" style="367" customWidth="1"/>
    <col min="15135" max="15135" width="11.88671875" style="367" customWidth="1"/>
    <col min="15136" max="15136" width="11.109375" style="367" customWidth="1"/>
    <col min="15137" max="15137" width="11.88671875" style="367" customWidth="1"/>
    <col min="15138" max="15138" width="15.88671875" style="367" customWidth="1"/>
    <col min="15139" max="15139" width="9.88671875" style="367" customWidth="1"/>
    <col min="15140" max="15140" width="10.109375" style="367" customWidth="1"/>
    <col min="15141" max="15141" width="9.109375" style="367" customWidth="1"/>
    <col min="15142" max="15378" width="9" style="367"/>
    <col min="15379" max="15379" width="27.88671875" style="367" customWidth="1"/>
    <col min="15380" max="15380" width="10.109375" style="367" customWidth="1"/>
    <col min="15381" max="15381" width="12.109375" style="367" customWidth="1"/>
    <col min="15382" max="15382" width="8.88671875" style="367" customWidth="1"/>
    <col min="15383" max="15384" width="13.6640625" style="367" customWidth="1"/>
    <col min="15385" max="15385" width="11.88671875" style="367" customWidth="1"/>
    <col min="15386" max="15386" width="12.6640625" style="367" customWidth="1"/>
    <col min="15387" max="15387" width="13.6640625" style="367" customWidth="1"/>
    <col min="15388" max="15388" width="14.6640625" style="367" customWidth="1"/>
    <col min="15389" max="15389" width="9.44140625" style="367" customWidth="1"/>
    <col min="15390" max="15390" width="11.33203125" style="367" customWidth="1"/>
    <col min="15391" max="15391" width="11.88671875" style="367" customWidth="1"/>
    <col min="15392" max="15392" width="11.109375" style="367" customWidth="1"/>
    <col min="15393" max="15393" width="11.88671875" style="367" customWidth="1"/>
    <col min="15394" max="15394" width="15.88671875" style="367" customWidth="1"/>
    <col min="15395" max="15395" width="9.88671875" style="367" customWidth="1"/>
    <col min="15396" max="15396" width="10.109375" style="367" customWidth="1"/>
    <col min="15397" max="15397" width="9.109375" style="367" customWidth="1"/>
    <col min="15398" max="15634" width="9" style="367"/>
    <col min="15635" max="15635" width="27.88671875" style="367" customWidth="1"/>
    <col min="15636" max="15636" width="10.109375" style="367" customWidth="1"/>
    <col min="15637" max="15637" width="12.109375" style="367" customWidth="1"/>
    <col min="15638" max="15638" width="8.88671875" style="367" customWidth="1"/>
    <col min="15639" max="15640" width="13.6640625" style="367" customWidth="1"/>
    <col min="15641" max="15641" width="11.88671875" style="367" customWidth="1"/>
    <col min="15642" max="15642" width="12.6640625" style="367" customWidth="1"/>
    <col min="15643" max="15643" width="13.6640625" style="367" customWidth="1"/>
    <col min="15644" max="15644" width="14.6640625" style="367" customWidth="1"/>
    <col min="15645" max="15645" width="9.44140625" style="367" customWidth="1"/>
    <col min="15646" max="15646" width="11.33203125" style="367" customWidth="1"/>
    <col min="15647" max="15647" width="11.88671875" style="367" customWidth="1"/>
    <col min="15648" max="15648" width="11.109375" style="367" customWidth="1"/>
    <col min="15649" max="15649" width="11.88671875" style="367" customWidth="1"/>
    <col min="15650" max="15650" width="15.88671875" style="367" customWidth="1"/>
    <col min="15651" max="15651" width="9.88671875" style="367" customWidth="1"/>
    <col min="15652" max="15652" width="10.109375" style="367" customWidth="1"/>
    <col min="15653" max="15653" width="9.109375" style="367" customWidth="1"/>
    <col min="15654" max="15890" width="9" style="367"/>
    <col min="15891" max="15891" width="27.88671875" style="367" customWidth="1"/>
    <col min="15892" max="15892" width="10.109375" style="367" customWidth="1"/>
    <col min="15893" max="15893" width="12.109375" style="367" customWidth="1"/>
    <col min="15894" max="15894" width="8.88671875" style="367" customWidth="1"/>
    <col min="15895" max="15896" width="13.6640625" style="367" customWidth="1"/>
    <col min="15897" max="15897" width="11.88671875" style="367" customWidth="1"/>
    <col min="15898" max="15898" width="12.6640625" style="367" customWidth="1"/>
    <col min="15899" max="15899" width="13.6640625" style="367" customWidth="1"/>
    <col min="15900" max="15900" width="14.6640625" style="367" customWidth="1"/>
    <col min="15901" max="15901" width="9.44140625" style="367" customWidth="1"/>
    <col min="15902" max="15902" width="11.33203125" style="367" customWidth="1"/>
    <col min="15903" max="15903" width="11.88671875" style="367" customWidth="1"/>
    <col min="15904" max="15904" width="11.109375" style="367" customWidth="1"/>
    <col min="15905" max="15905" width="11.88671875" style="367" customWidth="1"/>
    <col min="15906" max="15906" width="15.88671875" style="367" customWidth="1"/>
    <col min="15907" max="15907" width="9.88671875" style="367" customWidth="1"/>
    <col min="15908" max="15908" width="10.109375" style="367" customWidth="1"/>
    <col min="15909" max="15909" width="9.109375" style="367" customWidth="1"/>
    <col min="15910" max="16146" width="9" style="367"/>
    <col min="16147" max="16147" width="27.88671875" style="367" customWidth="1"/>
    <col min="16148" max="16148" width="10.109375" style="367" customWidth="1"/>
    <col min="16149" max="16149" width="12.109375" style="367" customWidth="1"/>
    <col min="16150" max="16150" width="8.88671875" style="367" customWidth="1"/>
    <col min="16151" max="16152" width="13.6640625" style="367" customWidth="1"/>
    <col min="16153" max="16153" width="11.88671875" style="367" customWidth="1"/>
    <col min="16154" max="16154" width="12.6640625" style="367" customWidth="1"/>
    <col min="16155" max="16155" width="13.6640625" style="367" customWidth="1"/>
    <col min="16156" max="16156" width="14.6640625" style="367" customWidth="1"/>
    <col min="16157" max="16157" width="9.44140625" style="367" customWidth="1"/>
    <col min="16158" max="16158" width="11.33203125" style="367" customWidth="1"/>
    <col min="16159" max="16159" width="11.88671875" style="367" customWidth="1"/>
    <col min="16160" max="16160" width="11.109375" style="367" customWidth="1"/>
    <col min="16161" max="16161" width="11.88671875" style="367" customWidth="1"/>
    <col min="16162" max="16162" width="15.88671875" style="367" customWidth="1"/>
    <col min="16163" max="16163" width="9.88671875" style="367" customWidth="1"/>
    <col min="16164" max="16164" width="10.109375" style="367" customWidth="1"/>
    <col min="16165" max="16165" width="9.109375" style="367" customWidth="1"/>
    <col min="16166" max="16384" width="9" style="367"/>
  </cols>
  <sheetData>
    <row r="1" spans="1:62" ht="16.149999999999999" customHeight="1">
      <c r="B1" s="573" t="s">
        <v>79</v>
      </c>
      <c r="C1" s="579"/>
      <c r="D1" s="579"/>
      <c r="E1" s="576"/>
      <c r="F1" s="576"/>
      <c r="G1" s="576"/>
      <c r="H1" s="576"/>
      <c r="I1" s="577"/>
      <c r="J1" s="579"/>
      <c r="K1" s="575"/>
      <c r="L1" s="575"/>
      <c r="M1" s="575"/>
      <c r="N1" s="576"/>
      <c r="O1" s="576"/>
      <c r="P1" s="576"/>
      <c r="Q1" s="576"/>
      <c r="R1" s="575"/>
      <c r="S1" s="576"/>
      <c r="T1" s="576"/>
      <c r="U1" s="576"/>
      <c r="V1" s="576"/>
      <c r="W1" s="575"/>
      <c r="X1" s="578"/>
      <c r="Y1" s="578"/>
      <c r="Z1" s="578"/>
      <c r="AA1" s="578"/>
      <c r="AB1" s="576"/>
      <c r="AC1" s="576"/>
      <c r="AD1" s="576"/>
      <c r="AE1" s="576"/>
      <c r="AF1" s="576"/>
      <c r="AG1" s="575"/>
      <c r="AH1" s="576"/>
      <c r="AI1" s="576"/>
      <c r="AJ1" s="576"/>
      <c r="AK1" s="576"/>
      <c r="AL1" s="577"/>
      <c r="AM1" s="576"/>
      <c r="AN1" s="576"/>
      <c r="AO1" s="575"/>
    </row>
    <row r="2" spans="1:62" ht="16.149999999999999" customHeight="1">
      <c r="B2" s="573" t="s">
        <v>20</v>
      </c>
      <c r="C2" s="579"/>
      <c r="D2" s="579"/>
      <c r="E2" s="576"/>
      <c r="F2" s="576"/>
      <c r="G2" s="576"/>
      <c r="H2" s="576"/>
      <c r="I2" s="577"/>
      <c r="J2" s="579"/>
      <c r="K2" s="575"/>
      <c r="L2" s="575"/>
      <c r="M2" s="575"/>
      <c r="N2" s="576"/>
      <c r="O2" s="576"/>
      <c r="P2" s="576"/>
      <c r="Q2" s="576"/>
      <c r="R2" s="575"/>
      <c r="S2" s="576"/>
      <c r="T2" s="576"/>
      <c r="U2" s="576"/>
      <c r="V2" s="576"/>
      <c r="W2" s="575"/>
      <c r="X2" s="578"/>
      <c r="Y2" s="578"/>
      <c r="Z2" s="578"/>
      <c r="AA2" s="578"/>
      <c r="AB2" s="576"/>
      <c r="AC2" s="576"/>
      <c r="AD2" s="576"/>
      <c r="AE2" s="576"/>
      <c r="AF2" s="576"/>
      <c r="AG2" s="575"/>
      <c r="AH2" s="576"/>
      <c r="AI2" s="576"/>
      <c r="AJ2" s="576"/>
      <c r="AK2" s="576"/>
      <c r="AL2" s="577"/>
      <c r="AM2" s="576"/>
      <c r="AN2" s="576"/>
      <c r="AO2" s="575"/>
    </row>
    <row r="3" spans="1:62" ht="16.149999999999999" customHeight="1">
      <c r="B3" s="574" t="s">
        <v>213</v>
      </c>
      <c r="C3" s="385"/>
      <c r="D3" s="385"/>
      <c r="E3" s="379"/>
      <c r="F3" s="379"/>
      <c r="G3" s="381"/>
      <c r="H3" s="381"/>
      <c r="I3" s="415"/>
      <c r="J3" s="384"/>
      <c r="K3" s="382"/>
      <c r="L3" s="382"/>
      <c r="M3" s="382"/>
      <c r="N3" s="381"/>
      <c r="O3" s="381"/>
      <c r="P3" s="380"/>
      <c r="Q3" s="381"/>
      <c r="R3" s="382"/>
      <c r="S3" s="380"/>
      <c r="T3" s="381"/>
      <c r="U3" s="381"/>
      <c r="V3" s="381"/>
      <c r="W3" s="382"/>
      <c r="X3" s="382"/>
      <c r="Y3" s="382"/>
      <c r="Z3" s="382"/>
      <c r="AA3" s="382"/>
      <c r="AB3" s="381"/>
      <c r="AC3" s="383"/>
      <c r="AD3" s="383"/>
      <c r="AE3" s="383"/>
      <c r="AF3" s="381"/>
      <c r="AG3" s="382"/>
      <c r="AH3" s="381"/>
      <c r="AI3" s="380"/>
      <c r="AJ3" s="380"/>
      <c r="AM3" s="379"/>
    </row>
    <row r="4" spans="1:62" ht="16.149999999999999" customHeight="1">
      <c r="B4" s="573" t="s">
        <v>146</v>
      </c>
      <c r="C4" s="385"/>
      <c r="D4" s="385"/>
      <c r="E4" s="385"/>
      <c r="F4" s="385"/>
      <c r="G4" s="568"/>
      <c r="H4" s="568"/>
      <c r="I4" s="571"/>
      <c r="J4" s="384"/>
      <c r="K4" s="569"/>
      <c r="L4" s="569"/>
      <c r="M4" s="569"/>
      <c r="N4" s="568"/>
      <c r="O4" s="568"/>
      <c r="P4" s="567"/>
      <c r="Q4" s="568"/>
      <c r="R4" s="569"/>
      <c r="S4" s="567"/>
      <c r="T4" s="568"/>
      <c r="U4" s="568"/>
      <c r="V4" s="568"/>
      <c r="W4" s="569"/>
      <c r="X4" s="569"/>
      <c r="Y4" s="569"/>
      <c r="Z4" s="569"/>
      <c r="AA4" s="569"/>
      <c r="AB4" s="568"/>
      <c r="AC4" s="570"/>
      <c r="AD4" s="570"/>
      <c r="AE4" s="570"/>
      <c r="AF4" s="568"/>
      <c r="AG4" s="569"/>
      <c r="AH4" s="568"/>
      <c r="AI4" s="567"/>
      <c r="AJ4" s="567"/>
      <c r="AM4" s="385"/>
    </row>
    <row r="5" spans="1:62" ht="16.149999999999999" customHeight="1">
      <c r="B5" s="573"/>
      <c r="C5" s="385"/>
      <c r="D5" s="385"/>
      <c r="E5" s="385"/>
      <c r="F5" s="385"/>
      <c r="G5" s="568"/>
      <c r="H5" s="568"/>
      <c r="I5" s="571"/>
      <c r="J5" s="384"/>
      <c r="K5" s="569"/>
      <c r="L5" s="569"/>
      <c r="M5" s="569"/>
      <c r="N5" s="568"/>
      <c r="O5" s="568"/>
      <c r="P5" s="567"/>
      <c r="Q5" s="568"/>
      <c r="R5" s="569"/>
      <c r="S5" s="567"/>
      <c r="T5" s="568"/>
      <c r="U5" s="568"/>
      <c r="V5" s="568"/>
      <c r="W5" s="569"/>
      <c r="X5" s="569"/>
      <c r="Y5" s="569"/>
      <c r="Z5" s="569"/>
      <c r="AA5" s="569"/>
      <c r="AB5" s="568"/>
      <c r="AC5" s="570"/>
      <c r="AD5" s="570"/>
      <c r="AE5" s="570"/>
      <c r="AF5" s="568"/>
      <c r="AG5" s="569"/>
      <c r="AH5" s="568"/>
      <c r="AI5" s="567"/>
      <c r="AJ5" s="567"/>
      <c r="AM5" s="385"/>
    </row>
    <row r="6" spans="1:62" ht="16.149999999999999" customHeight="1">
      <c r="B6" s="572"/>
      <c r="C6" s="385"/>
      <c r="D6" s="385"/>
      <c r="E6" s="385"/>
      <c r="F6" s="385"/>
      <c r="G6" s="568"/>
      <c r="H6" s="568"/>
      <c r="I6" s="571"/>
      <c r="J6" s="384"/>
      <c r="K6" s="569"/>
      <c r="L6" s="569"/>
      <c r="M6" s="569"/>
      <c r="N6" s="568"/>
      <c r="O6" s="568"/>
      <c r="P6" s="567"/>
      <c r="Q6" s="568"/>
      <c r="R6" s="569"/>
      <c r="S6" s="567"/>
      <c r="T6" s="568"/>
      <c r="U6" s="568"/>
      <c r="V6" s="568"/>
      <c r="W6" s="569"/>
      <c r="X6" s="569"/>
      <c r="Y6" s="569"/>
      <c r="Z6" s="569"/>
      <c r="AA6" s="569"/>
      <c r="AB6" s="568"/>
      <c r="AC6" s="570"/>
      <c r="AD6" s="570"/>
      <c r="AE6" s="570"/>
      <c r="AF6" s="568"/>
      <c r="AG6" s="569"/>
      <c r="AH6" s="568"/>
      <c r="AI6" s="567"/>
      <c r="AJ6" s="567"/>
      <c r="AM6" s="385"/>
    </row>
    <row r="7" spans="1:62" ht="16.149999999999999" customHeight="1" thickBot="1">
      <c r="B7" s="572"/>
      <c r="C7" s="385"/>
      <c r="D7" s="385"/>
      <c r="E7" s="385"/>
      <c r="F7" s="385"/>
      <c r="G7" s="568"/>
      <c r="H7" s="568"/>
      <c r="I7" s="571"/>
      <c r="J7" s="384"/>
      <c r="K7" s="569"/>
      <c r="L7" s="569"/>
      <c r="M7" s="569"/>
      <c r="N7" s="568"/>
      <c r="O7" s="568"/>
      <c r="P7" s="567"/>
      <c r="Q7" s="568"/>
      <c r="R7" s="569"/>
      <c r="S7" s="567"/>
      <c r="T7" s="568"/>
      <c r="U7" s="568"/>
      <c r="V7" s="568"/>
      <c r="W7" s="569"/>
      <c r="X7" s="569"/>
      <c r="Y7" s="569"/>
      <c r="Z7" s="569"/>
      <c r="AA7" s="569"/>
      <c r="AB7" s="568"/>
      <c r="AC7" s="570"/>
      <c r="AD7" s="570"/>
      <c r="AE7" s="570"/>
      <c r="AF7" s="568"/>
      <c r="AG7" s="569"/>
      <c r="AH7" s="568"/>
      <c r="AI7" s="567"/>
      <c r="AJ7" s="567"/>
      <c r="AM7" s="385"/>
    </row>
    <row r="8" spans="1:62" ht="16.149999999999999" customHeight="1" thickBot="1">
      <c r="B8" s="566"/>
      <c r="C8" s="385"/>
      <c r="D8" s="385"/>
      <c r="E8" s="379"/>
      <c r="F8" s="379"/>
      <c r="G8" s="665" t="s">
        <v>8</v>
      </c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7"/>
      <c r="U8" s="668" t="s">
        <v>4</v>
      </c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70"/>
      <c r="AI8" s="380"/>
      <c r="AJ8" s="380"/>
      <c r="AM8" s="671" t="s">
        <v>25</v>
      </c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1"/>
      <c r="BG8" s="671"/>
      <c r="BH8" s="671"/>
      <c r="BI8" s="671"/>
    </row>
    <row r="9" spans="1:62" s="538" customFormat="1" ht="51">
      <c r="A9" s="565" t="s">
        <v>40</v>
      </c>
      <c r="B9" s="564" t="s">
        <v>15</v>
      </c>
      <c r="C9" s="563" t="s">
        <v>0</v>
      </c>
      <c r="D9" s="563" t="s">
        <v>7</v>
      </c>
      <c r="E9" s="562" t="s">
        <v>9</v>
      </c>
      <c r="F9" s="561" t="s">
        <v>212</v>
      </c>
      <c r="G9" s="560" t="s">
        <v>47</v>
      </c>
      <c r="H9" s="552" t="s">
        <v>16</v>
      </c>
      <c r="I9" s="559" t="s">
        <v>49</v>
      </c>
      <c r="J9" s="558" t="s">
        <v>1</v>
      </c>
      <c r="K9" s="556" t="s">
        <v>211</v>
      </c>
      <c r="L9" s="556" t="s">
        <v>210</v>
      </c>
      <c r="M9" s="556" t="s">
        <v>13</v>
      </c>
      <c r="N9" s="552" t="s">
        <v>17</v>
      </c>
      <c r="O9" s="552" t="s">
        <v>26</v>
      </c>
      <c r="P9" s="552" t="s">
        <v>11</v>
      </c>
      <c r="Q9" s="552" t="s">
        <v>18</v>
      </c>
      <c r="R9" s="556" t="s">
        <v>42</v>
      </c>
      <c r="S9" s="552" t="s">
        <v>48</v>
      </c>
      <c r="T9" s="550" t="s">
        <v>21</v>
      </c>
      <c r="U9" s="557" t="s">
        <v>23</v>
      </c>
      <c r="V9" s="552" t="s">
        <v>10</v>
      </c>
      <c r="W9" s="556" t="s">
        <v>204</v>
      </c>
      <c r="X9" s="555" t="s">
        <v>209</v>
      </c>
      <c r="Y9" s="555" t="s">
        <v>208</v>
      </c>
      <c r="Z9" s="555" t="s">
        <v>201</v>
      </c>
      <c r="AA9" s="555" t="s">
        <v>200</v>
      </c>
      <c r="AB9" s="552" t="s">
        <v>4</v>
      </c>
      <c r="AC9" s="554" t="s">
        <v>19</v>
      </c>
      <c r="AD9" s="553" t="s">
        <v>207</v>
      </c>
      <c r="AE9" s="553" t="s">
        <v>206</v>
      </c>
      <c r="AF9" s="552" t="s">
        <v>205</v>
      </c>
      <c r="AG9" s="551" t="s">
        <v>43</v>
      </c>
      <c r="AH9" s="550" t="s">
        <v>22</v>
      </c>
      <c r="AI9" s="549" t="s">
        <v>45</v>
      </c>
      <c r="AJ9" s="549" t="s">
        <v>46</v>
      </c>
      <c r="AK9" s="548"/>
      <c r="AL9" s="463" t="s">
        <v>47</v>
      </c>
      <c r="AM9" s="541" t="s">
        <v>50</v>
      </c>
      <c r="AN9" s="541" t="s">
        <v>16</v>
      </c>
      <c r="AO9" s="547" t="s">
        <v>51</v>
      </c>
      <c r="AP9" s="545" t="s">
        <v>24</v>
      </c>
      <c r="AQ9" s="545" t="s">
        <v>13</v>
      </c>
      <c r="AR9" s="546" t="s">
        <v>17</v>
      </c>
      <c r="AS9" s="546" t="s">
        <v>26</v>
      </c>
      <c r="AT9" s="546" t="s">
        <v>11</v>
      </c>
      <c r="AU9" s="546" t="s">
        <v>18</v>
      </c>
      <c r="AV9" s="546" t="s">
        <v>44</v>
      </c>
      <c r="AW9" s="544" t="s">
        <v>23</v>
      </c>
      <c r="AX9" s="545" t="s">
        <v>204</v>
      </c>
      <c r="AY9" s="545" t="s">
        <v>203</v>
      </c>
      <c r="AZ9" s="545" t="s">
        <v>202</v>
      </c>
      <c r="BA9" s="545" t="s">
        <v>201</v>
      </c>
      <c r="BB9" s="545" t="s">
        <v>200</v>
      </c>
      <c r="BC9" s="544" t="s">
        <v>4</v>
      </c>
      <c r="BD9" s="543" t="s">
        <v>19</v>
      </c>
      <c r="BE9" s="543" t="s">
        <v>14</v>
      </c>
      <c r="BF9" s="542" t="s">
        <v>43</v>
      </c>
      <c r="BG9" s="541" t="s">
        <v>199</v>
      </c>
      <c r="BH9" s="540" t="s">
        <v>198</v>
      </c>
      <c r="BI9" s="539" t="s">
        <v>197</v>
      </c>
    </row>
    <row r="10" spans="1:62" s="516" customFormat="1" ht="37.15" hidden="1" customHeight="1">
      <c r="A10" s="516" t="s">
        <v>41</v>
      </c>
      <c r="B10" s="537" t="s">
        <v>27</v>
      </c>
      <c r="C10" s="532" t="s">
        <v>28</v>
      </c>
      <c r="D10" s="516" t="s">
        <v>29</v>
      </c>
      <c r="E10" s="536" t="s">
        <v>30</v>
      </c>
      <c r="G10" s="535"/>
      <c r="I10" s="520"/>
      <c r="J10" s="533"/>
      <c r="K10" s="520"/>
      <c r="L10" s="520"/>
      <c r="M10" s="520"/>
      <c r="N10" s="520"/>
      <c r="O10" s="520"/>
      <c r="P10" s="520"/>
      <c r="Q10" s="532"/>
      <c r="R10" s="531"/>
      <c r="S10" s="520"/>
      <c r="T10" s="518"/>
      <c r="U10" s="530"/>
      <c r="V10" s="520"/>
      <c r="W10" s="520"/>
      <c r="X10" s="529"/>
      <c r="Y10" s="529"/>
      <c r="Z10" s="529"/>
      <c r="AA10" s="529"/>
      <c r="AB10" s="520"/>
      <c r="AC10" s="528"/>
      <c r="AD10" s="528"/>
      <c r="AE10" s="528"/>
      <c r="AF10" s="520"/>
      <c r="AG10" s="526"/>
      <c r="AH10" s="525"/>
      <c r="AI10" s="524"/>
      <c r="AJ10" s="524"/>
      <c r="AM10" s="590" t="s">
        <v>31</v>
      </c>
      <c r="AN10" s="591" t="s">
        <v>32</v>
      </c>
      <c r="AO10" s="520" t="s">
        <v>33</v>
      </c>
      <c r="AP10" s="520"/>
      <c r="AQ10" s="520"/>
      <c r="AR10" s="520" t="s">
        <v>34</v>
      </c>
      <c r="AS10" s="520" t="s">
        <v>35</v>
      </c>
      <c r="AT10" s="520"/>
      <c r="AV10" s="520" t="s">
        <v>36</v>
      </c>
      <c r="AW10" s="521" t="s">
        <v>37</v>
      </c>
      <c r="AX10" s="520"/>
      <c r="AY10" s="520"/>
      <c r="AZ10" s="520"/>
      <c r="BA10" s="520"/>
      <c r="BB10" s="520"/>
      <c r="BC10" s="519" t="s">
        <v>38</v>
      </c>
      <c r="BD10" s="519"/>
      <c r="BE10" s="519"/>
      <c r="BF10" s="518" t="s">
        <v>39</v>
      </c>
      <c r="BG10" s="517"/>
      <c r="BH10" s="517"/>
      <c r="BI10" s="517"/>
    </row>
    <row r="11" spans="1:62" ht="16.149999999999999" customHeight="1">
      <c r="B11" s="515"/>
      <c r="C11" s="493"/>
      <c r="D11" s="385"/>
      <c r="E11" s="514"/>
      <c r="F11" s="513"/>
      <c r="G11" s="512"/>
      <c r="H11" s="485"/>
      <c r="I11" s="511"/>
      <c r="J11" s="510"/>
      <c r="K11" s="484"/>
      <c r="L11" s="484"/>
      <c r="M11" s="484"/>
      <c r="N11" s="485"/>
      <c r="O11" s="485"/>
      <c r="P11" s="485"/>
      <c r="Q11" s="485"/>
      <c r="R11" s="484"/>
      <c r="S11" s="485"/>
      <c r="T11" s="488"/>
      <c r="U11" s="509"/>
      <c r="V11" s="485"/>
      <c r="W11" s="484"/>
      <c r="X11" s="484"/>
      <c r="Y11" s="484"/>
      <c r="Z11" s="484"/>
      <c r="AA11" s="484"/>
      <c r="AB11" s="485"/>
      <c r="AC11" s="508"/>
      <c r="AD11" s="507"/>
      <c r="AE11" s="507"/>
      <c r="AF11" s="485"/>
      <c r="AG11" s="484"/>
      <c r="AH11" s="506"/>
      <c r="AI11" s="483"/>
      <c r="AJ11" s="483"/>
      <c r="AL11" s="505"/>
      <c r="AN11" s="461"/>
      <c r="AO11" s="459"/>
      <c r="AP11" s="504"/>
      <c r="AQ11" s="504"/>
      <c r="AR11" s="458"/>
      <c r="AS11" s="458"/>
      <c r="AT11" s="458"/>
      <c r="AU11" s="458"/>
      <c r="AV11" s="460"/>
      <c r="AW11" s="460"/>
      <c r="AX11" s="459"/>
      <c r="AY11" s="459"/>
      <c r="AZ11" s="459"/>
      <c r="BA11" s="459"/>
      <c r="BB11" s="459"/>
      <c r="BC11" s="458"/>
      <c r="BD11" s="458"/>
      <c r="BE11" s="458"/>
      <c r="BF11" s="457"/>
      <c r="BG11" s="503"/>
      <c r="BH11" s="503"/>
      <c r="BI11" s="503"/>
    </row>
    <row r="12" spans="1:62" s="480" customFormat="1" ht="16.149999999999999" customHeight="1">
      <c r="A12" s="495" t="s">
        <v>195</v>
      </c>
      <c r="B12" s="494" t="s">
        <v>224</v>
      </c>
      <c r="C12" s="493" t="s">
        <v>62</v>
      </c>
      <c r="D12" s="385" t="s">
        <v>12</v>
      </c>
      <c r="E12" s="314">
        <v>17168</v>
      </c>
      <c r="F12" s="500">
        <v>10</v>
      </c>
      <c r="G12" s="491">
        <v>7999.71</v>
      </c>
      <c r="H12" s="485">
        <v>0</v>
      </c>
      <c r="I12" s="490">
        <f t="shared" ref="I12:I43" si="0">G12+H12</f>
        <v>7999.71</v>
      </c>
      <c r="J12" s="489">
        <f t="shared" ref="J12:J43" si="1">(I12/(I$184))</f>
        <v>1.495325E-2</v>
      </c>
      <c r="K12" s="484">
        <f t="shared" ref="K12:K43" si="2">J12*K$184</f>
        <v>-896.98</v>
      </c>
      <c r="L12" s="484">
        <f t="shared" ref="L12:M31" si="3">$J12*L$184</f>
        <v>0</v>
      </c>
      <c r="M12" s="484">
        <f t="shared" si="3"/>
        <v>188.36</v>
      </c>
      <c r="N12" s="485">
        <f t="shared" ref="N12:N43" si="4">L12+M12</f>
        <v>188.36</v>
      </c>
      <c r="O12" s="485">
        <f t="shared" ref="O12:P31" si="5">$J12*O$184</f>
        <v>0</v>
      </c>
      <c r="P12" s="485">
        <f t="shared" si="5"/>
        <v>0</v>
      </c>
      <c r="Q12" s="485">
        <f t="shared" ref="Q12:Q43" si="6">Q$184*J12</f>
        <v>0</v>
      </c>
      <c r="R12" s="484">
        <f t="shared" ref="R12:R43" si="7">P12+Q12</f>
        <v>0</v>
      </c>
      <c r="S12" s="485">
        <f t="shared" ref="S12:S43" si="8">G12+H12+N12+O12+R12</f>
        <v>8188.07</v>
      </c>
      <c r="T12" s="488">
        <f t="shared" ref="T12:T43" si="9">((S12/S$184)*T$184)</f>
        <v>9780.31</v>
      </c>
      <c r="U12" s="487">
        <v>7822.16</v>
      </c>
      <c r="V12" s="486">
        <f t="shared" ref="V12:V43" si="10">J12</f>
        <v>1.495325E-2</v>
      </c>
      <c r="W12" s="484">
        <f t="shared" ref="W12:W43" si="11">($V12*W$184)</f>
        <v>420.55</v>
      </c>
      <c r="X12" s="484">
        <v>0</v>
      </c>
      <c r="Y12" s="484">
        <f t="shared" ref="Y12:AA31" si="12">$V12*Y$184</f>
        <v>252.32</v>
      </c>
      <c r="Z12" s="484">
        <f t="shared" si="12"/>
        <v>-15.2</v>
      </c>
      <c r="AA12" s="484">
        <f t="shared" si="12"/>
        <v>-5.63</v>
      </c>
      <c r="AB12" s="485">
        <f t="shared" ref="AB12:AB43" si="13">SUM(W12:AA12)</f>
        <v>652.04</v>
      </c>
      <c r="AC12" s="485">
        <f t="shared" ref="AC12:AC43" si="14">(V12*AC$184)</f>
        <v>-117.39</v>
      </c>
      <c r="AD12" s="498">
        <f>(F12/F$184)*AD$184</f>
        <v>-41.12</v>
      </c>
      <c r="AE12" s="498">
        <v>0</v>
      </c>
      <c r="AF12" s="485">
        <f t="shared" ref="AF12:AF43" si="15">AD12+AE12</f>
        <v>-41.12</v>
      </c>
      <c r="AG12" s="484">
        <f t="shared" ref="AG12:AG43" si="16">AC12+AF12</f>
        <v>-158.51</v>
      </c>
      <c r="AH12" s="381">
        <f t="shared" ref="AH12:AH43" si="17">U12+AB12+AG12</f>
        <v>8315.69</v>
      </c>
      <c r="AI12" s="483">
        <f t="shared" ref="AI12:AI43" si="18">S12+AH12</f>
        <v>16503.759999999998</v>
      </c>
      <c r="AJ12" s="483">
        <f t="shared" ref="AJ12:AJ43" si="19">(AI12/AI$184)*AJ$184</f>
        <v>19579.64</v>
      </c>
      <c r="AK12" s="83"/>
      <c r="AL12" s="114">
        <f t="shared" ref="AL12:AL43" si="20">G12</f>
        <v>7999.71</v>
      </c>
      <c r="AM12" s="497">
        <f t="shared" ref="AM12:AM43" si="21">(AL12/AL$184)*AM$184</f>
        <v>11881.25</v>
      </c>
      <c r="AN12" s="192">
        <f t="shared" ref="AN12:AN43" si="22">H12</f>
        <v>0</v>
      </c>
      <c r="AO12" s="114">
        <f t="shared" ref="AO12:AO43" si="23">K12</f>
        <v>-896.98</v>
      </c>
      <c r="AP12" s="137">
        <f t="shared" ref="AP12:AP43" si="24">L12</f>
        <v>0</v>
      </c>
      <c r="AQ12" s="137">
        <f t="shared" ref="AQ12:AQ43" si="25">M12</f>
        <v>188.36</v>
      </c>
      <c r="AR12" s="84">
        <f t="shared" ref="AR12:AR43" si="26">AP12+AQ12</f>
        <v>188.36</v>
      </c>
      <c r="AS12" s="84">
        <f t="shared" ref="AS12:AS43" si="27">O12</f>
        <v>0</v>
      </c>
      <c r="AT12" s="84">
        <f t="shared" ref="AT12:AT43" si="28">P12</f>
        <v>0</v>
      </c>
      <c r="AU12" s="84">
        <f t="shared" ref="AU12:AU43" si="29">Q12</f>
        <v>0</v>
      </c>
      <c r="AV12" s="84">
        <f t="shared" ref="AV12:AV43" si="30">AT12+AU12</f>
        <v>0</v>
      </c>
      <c r="AW12" s="487">
        <v>7822.16</v>
      </c>
      <c r="AX12" s="137">
        <f t="shared" ref="AX12:AX43" si="31">W12</f>
        <v>420.55</v>
      </c>
      <c r="AY12" s="137">
        <f t="shared" ref="AY12:AY43" si="32">X12</f>
        <v>0</v>
      </c>
      <c r="AZ12" s="137">
        <f t="shared" ref="AZ12:AZ43" si="33">Y12</f>
        <v>252.32</v>
      </c>
      <c r="BA12" s="137">
        <f t="shared" ref="BA12:BA43" si="34">Z12</f>
        <v>-15.2</v>
      </c>
      <c r="BB12" s="137">
        <f t="shared" ref="BB12:BB43" si="35">AA12</f>
        <v>-5.63</v>
      </c>
      <c r="BC12" s="84">
        <f t="shared" ref="BC12:BC43" si="36">SUM(AX12:BB12)</f>
        <v>652.04</v>
      </c>
      <c r="BD12" s="84">
        <f t="shared" ref="BD12:BD43" si="37">AC12</f>
        <v>-117.39</v>
      </c>
      <c r="BE12" s="84">
        <f t="shared" ref="BE12:BE43" si="38">AF12</f>
        <v>-41.12</v>
      </c>
      <c r="BF12" s="116">
        <f t="shared" ref="BF12:BF43" si="39">BD12+BE12</f>
        <v>-158.51</v>
      </c>
      <c r="BG12" s="496">
        <f t="shared" ref="BG12:BG43" si="40">AM12+AN12+AO12+AR12+AS12+AV12</f>
        <v>11172.63</v>
      </c>
      <c r="BH12" s="496">
        <f t="shared" ref="BH12:BH43" si="41">AW12+BC12+BF12</f>
        <v>8315.69</v>
      </c>
      <c r="BI12" s="496">
        <f t="shared" ref="BI12:BI43" si="42">AM12+AN12+AO12+AR12+AS12+AV12+AW12+BC12+BF12</f>
        <v>19488.32</v>
      </c>
    </row>
    <row r="13" spans="1:62" s="480" customFormat="1" ht="16.149999999999999" customHeight="1">
      <c r="A13" s="495" t="s">
        <v>195</v>
      </c>
      <c r="B13" s="494" t="s">
        <v>224</v>
      </c>
      <c r="C13" s="615" t="s">
        <v>67</v>
      </c>
      <c r="D13" s="385" t="s">
        <v>12</v>
      </c>
      <c r="E13" s="314">
        <v>17168</v>
      </c>
      <c r="F13" s="499"/>
      <c r="G13" s="491">
        <v>1999.91</v>
      </c>
      <c r="H13" s="485">
        <v>0</v>
      </c>
      <c r="I13" s="490">
        <f t="shared" si="0"/>
        <v>1999.91</v>
      </c>
      <c r="J13" s="489">
        <f t="shared" si="1"/>
        <v>3.7382800000000001E-3</v>
      </c>
      <c r="K13" s="484">
        <f t="shared" si="2"/>
        <v>-224.24</v>
      </c>
      <c r="L13" s="484">
        <f t="shared" si="3"/>
        <v>0</v>
      </c>
      <c r="M13" s="484">
        <f t="shared" si="3"/>
        <v>47.09</v>
      </c>
      <c r="N13" s="485">
        <f t="shared" si="4"/>
        <v>47.09</v>
      </c>
      <c r="O13" s="485">
        <f t="shared" si="5"/>
        <v>0</v>
      </c>
      <c r="P13" s="485">
        <f t="shared" si="5"/>
        <v>0</v>
      </c>
      <c r="Q13" s="485">
        <f t="shared" si="6"/>
        <v>0</v>
      </c>
      <c r="R13" s="484">
        <f t="shared" si="7"/>
        <v>0</v>
      </c>
      <c r="S13" s="485">
        <f t="shared" si="8"/>
        <v>2047</v>
      </c>
      <c r="T13" s="488">
        <f t="shared" si="9"/>
        <v>2445.06</v>
      </c>
      <c r="U13" s="487">
        <v>1859.08</v>
      </c>
      <c r="V13" s="486">
        <f t="shared" si="10"/>
        <v>3.7382800000000001E-3</v>
      </c>
      <c r="W13" s="484">
        <f t="shared" si="11"/>
        <v>105.14</v>
      </c>
      <c r="X13" s="484">
        <v>0</v>
      </c>
      <c r="Y13" s="484">
        <f t="shared" si="12"/>
        <v>63.08</v>
      </c>
      <c r="Z13" s="484">
        <f t="shared" si="12"/>
        <v>-3.8</v>
      </c>
      <c r="AA13" s="484">
        <f t="shared" si="12"/>
        <v>-1.41</v>
      </c>
      <c r="AB13" s="485">
        <f t="shared" si="13"/>
        <v>163.01</v>
      </c>
      <c r="AC13" s="485">
        <f t="shared" si="14"/>
        <v>-29.35</v>
      </c>
      <c r="AD13" s="498">
        <v>0</v>
      </c>
      <c r="AE13" s="498">
        <v>-39.5</v>
      </c>
      <c r="AF13" s="485">
        <f t="shared" si="15"/>
        <v>-39.5</v>
      </c>
      <c r="AG13" s="484">
        <f t="shared" si="16"/>
        <v>-68.849999999999994</v>
      </c>
      <c r="AH13" s="381">
        <f t="shared" si="17"/>
        <v>1953.24</v>
      </c>
      <c r="AI13" s="483">
        <f t="shared" si="18"/>
        <v>4000.24</v>
      </c>
      <c r="AJ13" s="483">
        <f t="shared" si="19"/>
        <v>4745.78</v>
      </c>
      <c r="AK13" s="83"/>
      <c r="AL13" s="114">
        <f t="shared" si="20"/>
        <v>1999.91</v>
      </c>
      <c r="AM13" s="497">
        <f t="shared" si="21"/>
        <v>2970.29</v>
      </c>
      <c r="AN13" s="192">
        <f t="shared" si="22"/>
        <v>0</v>
      </c>
      <c r="AO13" s="114">
        <f t="shared" si="23"/>
        <v>-224.24</v>
      </c>
      <c r="AP13" s="137">
        <f t="shared" si="24"/>
        <v>0</v>
      </c>
      <c r="AQ13" s="137">
        <f t="shared" si="25"/>
        <v>47.09</v>
      </c>
      <c r="AR13" s="84">
        <f t="shared" si="26"/>
        <v>47.09</v>
      </c>
      <c r="AS13" s="84">
        <f t="shared" si="27"/>
        <v>0</v>
      </c>
      <c r="AT13" s="84">
        <f t="shared" si="28"/>
        <v>0</v>
      </c>
      <c r="AU13" s="84">
        <f t="shared" si="29"/>
        <v>0</v>
      </c>
      <c r="AV13" s="84">
        <f t="shared" si="30"/>
        <v>0</v>
      </c>
      <c r="AW13" s="487">
        <v>1859.08</v>
      </c>
      <c r="AX13" s="137">
        <f t="shared" si="31"/>
        <v>105.14</v>
      </c>
      <c r="AY13" s="137">
        <f t="shared" si="32"/>
        <v>0</v>
      </c>
      <c r="AZ13" s="137">
        <f t="shared" si="33"/>
        <v>63.08</v>
      </c>
      <c r="BA13" s="137">
        <f t="shared" si="34"/>
        <v>-3.8</v>
      </c>
      <c r="BB13" s="137">
        <f t="shared" si="35"/>
        <v>-1.41</v>
      </c>
      <c r="BC13" s="84">
        <f t="shared" si="36"/>
        <v>163.01</v>
      </c>
      <c r="BD13" s="84">
        <f t="shared" si="37"/>
        <v>-29.35</v>
      </c>
      <c r="BE13" s="84">
        <f t="shared" si="38"/>
        <v>-39.5</v>
      </c>
      <c r="BF13" s="116">
        <f t="shared" si="39"/>
        <v>-68.849999999999994</v>
      </c>
      <c r="BG13" s="496">
        <f t="shared" si="40"/>
        <v>2793.14</v>
      </c>
      <c r="BH13" s="496">
        <f t="shared" si="41"/>
        <v>1953.24</v>
      </c>
      <c r="BI13" s="496">
        <f t="shared" si="42"/>
        <v>4746.38</v>
      </c>
    </row>
    <row r="14" spans="1:62" s="480" customFormat="1" ht="16.149999999999999" customHeight="1">
      <c r="A14" s="495" t="s">
        <v>195</v>
      </c>
      <c r="B14" s="494" t="s">
        <v>220</v>
      </c>
      <c r="C14" s="493" t="s">
        <v>63</v>
      </c>
      <c r="D14" s="385" t="s">
        <v>12</v>
      </c>
      <c r="E14" s="314">
        <v>8767</v>
      </c>
      <c r="F14" s="500">
        <v>10</v>
      </c>
      <c r="G14" s="491">
        <v>1999.91</v>
      </c>
      <c r="H14" s="485">
        <v>0</v>
      </c>
      <c r="I14" s="490">
        <f t="shared" si="0"/>
        <v>1999.91</v>
      </c>
      <c r="J14" s="489">
        <f t="shared" si="1"/>
        <v>3.7382800000000001E-3</v>
      </c>
      <c r="K14" s="484">
        <f t="shared" si="2"/>
        <v>-224.24</v>
      </c>
      <c r="L14" s="484">
        <f t="shared" si="3"/>
        <v>0</v>
      </c>
      <c r="M14" s="484">
        <f t="shared" si="3"/>
        <v>47.09</v>
      </c>
      <c r="N14" s="485">
        <f t="shared" si="4"/>
        <v>47.09</v>
      </c>
      <c r="O14" s="485">
        <f t="shared" si="5"/>
        <v>0</v>
      </c>
      <c r="P14" s="485">
        <f t="shared" si="5"/>
        <v>0</v>
      </c>
      <c r="Q14" s="485">
        <f t="shared" si="6"/>
        <v>0</v>
      </c>
      <c r="R14" s="484">
        <f t="shared" si="7"/>
        <v>0</v>
      </c>
      <c r="S14" s="485">
        <f t="shared" si="8"/>
        <v>2047</v>
      </c>
      <c r="T14" s="488">
        <f t="shared" si="9"/>
        <v>2445.06</v>
      </c>
      <c r="U14" s="487">
        <v>1596.91</v>
      </c>
      <c r="V14" s="486">
        <f t="shared" si="10"/>
        <v>3.7382800000000001E-3</v>
      </c>
      <c r="W14" s="484">
        <f t="shared" si="11"/>
        <v>105.14</v>
      </c>
      <c r="X14" s="484">
        <v>0</v>
      </c>
      <c r="Y14" s="484">
        <f t="shared" si="12"/>
        <v>63.08</v>
      </c>
      <c r="Z14" s="484">
        <f t="shared" si="12"/>
        <v>-3.8</v>
      </c>
      <c r="AA14" s="484">
        <f t="shared" si="12"/>
        <v>-1.41</v>
      </c>
      <c r="AB14" s="485">
        <f t="shared" si="13"/>
        <v>163.01</v>
      </c>
      <c r="AC14" s="485">
        <f t="shared" si="14"/>
        <v>-29.35</v>
      </c>
      <c r="AD14" s="498">
        <f>(F14/F$184)*AD$184</f>
        <v>-41.12</v>
      </c>
      <c r="AE14" s="498">
        <v>0</v>
      </c>
      <c r="AF14" s="485">
        <f t="shared" si="15"/>
        <v>-41.12</v>
      </c>
      <c r="AG14" s="484">
        <f t="shared" si="16"/>
        <v>-70.47</v>
      </c>
      <c r="AH14" s="381">
        <f t="shared" si="17"/>
        <v>1689.45</v>
      </c>
      <c r="AI14" s="483">
        <f t="shared" si="18"/>
        <v>3736.45</v>
      </c>
      <c r="AJ14" s="483">
        <f t="shared" si="19"/>
        <v>4432.83</v>
      </c>
      <c r="AK14" s="83"/>
      <c r="AL14" s="114">
        <f t="shared" si="20"/>
        <v>1999.91</v>
      </c>
      <c r="AM14" s="497">
        <f t="shared" si="21"/>
        <v>2970.29</v>
      </c>
      <c r="AN14" s="192">
        <f t="shared" si="22"/>
        <v>0</v>
      </c>
      <c r="AO14" s="114">
        <f t="shared" si="23"/>
        <v>-224.24</v>
      </c>
      <c r="AP14" s="137">
        <f t="shared" si="24"/>
        <v>0</v>
      </c>
      <c r="AQ14" s="137">
        <f t="shared" si="25"/>
        <v>47.09</v>
      </c>
      <c r="AR14" s="84">
        <f t="shared" si="26"/>
        <v>47.09</v>
      </c>
      <c r="AS14" s="84">
        <f t="shared" si="27"/>
        <v>0</v>
      </c>
      <c r="AT14" s="84">
        <f t="shared" si="28"/>
        <v>0</v>
      </c>
      <c r="AU14" s="84">
        <f t="shared" si="29"/>
        <v>0</v>
      </c>
      <c r="AV14" s="84">
        <f t="shared" si="30"/>
        <v>0</v>
      </c>
      <c r="AW14" s="487">
        <v>1596.91</v>
      </c>
      <c r="AX14" s="137">
        <f t="shared" si="31"/>
        <v>105.14</v>
      </c>
      <c r="AY14" s="137">
        <f t="shared" si="32"/>
        <v>0</v>
      </c>
      <c r="AZ14" s="137">
        <f t="shared" si="33"/>
        <v>63.08</v>
      </c>
      <c r="BA14" s="137">
        <f t="shared" si="34"/>
        <v>-3.8</v>
      </c>
      <c r="BB14" s="137">
        <f t="shared" si="35"/>
        <v>-1.41</v>
      </c>
      <c r="BC14" s="84">
        <f t="shared" si="36"/>
        <v>163.01</v>
      </c>
      <c r="BD14" s="84">
        <f t="shared" si="37"/>
        <v>-29.35</v>
      </c>
      <c r="BE14" s="84">
        <f t="shared" si="38"/>
        <v>-41.12</v>
      </c>
      <c r="BF14" s="116">
        <f t="shared" si="39"/>
        <v>-70.47</v>
      </c>
      <c r="BG14" s="502">
        <f t="shared" si="40"/>
        <v>2793.14</v>
      </c>
      <c r="BH14" s="502">
        <f t="shared" si="41"/>
        <v>1689.45</v>
      </c>
      <c r="BI14" s="502">
        <f t="shared" si="42"/>
        <v>4482.59</v>
      </c>
    </row>
    <row r="15" spans="1:62" s="480" customFormat="1" ht="16.149999999999999" customHeight="1">
      <c r="A15" s="495" t="s">
        <v>195</v>
      </c>
      <c r="B15" s="494" t="s">
        <v>221</v>
      </c>
      <c r="C15" s="493" t="s">
        <v>63</v>
      </c>
      <c r="D15" s="385" t="s">
        <v>12</v>
      </c>
      <c r="E15" s="314">
        <v>10594</v>
      </c>
      <c r="F15" s="500">
        <v>10</v>
      </c>
      <c r="G15" s="491">
        <v>999.9</v>
      </c>
      <c r="H15" s="485">
        <v>0</v>
      </c>
      <c r="I15" s="490">
        <f t="shared" si="0"/>
        <v>999.9</v>
      </c>
      <c r="J15" s="489">
        <f t="shared" si="1"/>
        <v>1.86904E-3</v>
      </c>
      <c r="K15" s="484">
        <f t="shared" si="2"/>
        <v>-112.12</v>
      </c>
      <c r="L15" s="484">
        <f t="shared" si="3"/>
        <v>0</v>
      </c>
      <c r="M15" s="484">
        <f t="shared" si="3"/>
        <v>23.54</v>
      </c>
      <c r="N15" s="485">
        <f t="shared" si="4"/>
        <v>23.54</v>
      </c>
      <c r="O15" s="485">
        <f t="shared" si="5"/>
        <v>0</v>
      </c>
      <c r="P15" s="485">
        <f t="shared" si="5"/>
        <v>0</v>
      </c>
      <c r="Q15" s="485">
        <f t="shared" si="6"/>
        <v>0</v>
      </c>
      <c r="R15" s="484">
        <f t="shared" si="7"/>
        <v>0</v>
      </c>
      <c r="S15" s="485">
        <f t="shared" si="8"/>
        <v>1023.44</v>
      </c>
      <c r="T15" s="488">
        <f t="shared" si="9"/>
        <v>1222.46</v>
      </c>
      <c r="U15" s="487">
        <v>559.32000000000005</v>
      </c>
      <c r="V15" s="486">
        <f t="shared" si="10"/>
        <v>1.86904E-3</v>
      </c>
      <c r="W15" s="484">
        <f t="shared" si="11"/>
        <v>52.56</v>
      </c>
      <c r="X15" s="484">
        <v>0</v>
      </c>
      <c r="Y15" s="484">
        <f t="shared" si="12"/>
        <v>31.54</v>
      </c>
      <c r="Z15" s="484">
        <f t="shared" si="12"/>
        <v>-1.9</v>
      </c>
      <c r="AA15" s="484">
        <f t="shared" si="12"/>
        <v>-0.7</v>
      </c>
      <c r="AB15" s="485">
        <f t="shared" si="13"/>
        <v>81.5</v>
      </c>
      <c r="AC15" s="485">
        <f t="shared" si="14"/>
        <v>-14.67</v>
      </c>
      <c r="AD15" s="498">
        <f>(F15/F$184)*AD$184</f>
        <v>-41.12</v>
      </c>
      <c r="AE15" s="498">
        <v>0</v>
      </c>
      <c r="AF15" s="485">
        <f t="shared" si="15"/>
        <v>-41.12</v>
      </c>
      <c r="AG15" s="484">
        <f t="shared" si="16"/>
        <v>-55.79</v>
      </c>
      <c r="AH15" s="381">
        <f t="shared" si="17"/>
        <v>585.03</v>
      </c>
      <c r="AI15" s="483">
        <f t="shared" si="18"/>
        <v>1608.47</v>
      </c>
      <c r="AJ15" s="483">
        <f t="shared" si="19"/>
        <v>1908.25</v>
      </c>
      <c r="AK15" s="83"/>
      <c r="AL15" s="114">
        <f t="shared" si="20"/>
        <v>999.9</v>
      </c>
      <c r="AM15" s="497">
        <f t="shared" si="21"/>
        <v>1485.06</v>
      </c>
      <c r="AN15" s="192">
        <f t="shared" si="22"/>
        <v>0</v>
      </c>
      <c r="AO15" s="114">
        <f t="shared" si="23"/>
        <v>-112.12</v>
      </c>
      <c r="AP15" s="137">
        <f t="shared" si="24"/>
        <v>0</v>
      </c>
      <c r="AQ15" s="137">
        <f t="shared" si="25"/>
        <v>23.54</v>
      </c>
      <c r="AR15" s="84">
        <f t="shared" si="26"/>
        <v>23.54</v>
      </c>
      <c r="AS15" s="84">
        <f t="shared" si="27"/>
        <v>0</v>
      </c>
      <c r="AT15" s="84">
        <f t="shared" si="28"/>
        <v>0</v>
      </c>
      <c r="AU15" s="84">
        <f t="shared" si="29"/>
        <v>0</v>
      </c>
      <c r="AV15" s="84">
        <f t="shared" si="30"/>
        <v>0</v>
      </c>
      <c r="AW15" s="487">
        <v>559.32000000000005</v>
      </c>
      <c r="AX15" s="137">
        <f t="shared" si="31"/>
        <v>52.56</v>
      </c>
      <c r="AY15" s="137">
        <f t="shared" si="32"/>
        <v>0</v>
      </c>
      <c r="AZ15" s="137">
        <f t="shared" si="33"/>
        <v>31.54</v>
      </c>
      <c r="BA15" s="137">
        <f t="shared" si="34"/>
        <v>-1.9</v>
      </c>
      <c r="BB15" s="137">
        <f t="shared" si="35"/>
        <v>-0.7</v>
      </c>
      <c r="BC15" s="84">
        <f t="shared" si="36"/>
        <v>81.5</v>
      </c>
      <c r="BD15" s="84">
        <f t="shared" si="37"/>
        <v>-14.67</v>
      </c>
      <c r="BE15" s="84">
        <f t="shared" si="38"/>
        <v>-41.12</v>
      </c>
      <c r="BF15" s="116">
        <f t="shared" si="39"/>
        <v>-55.79</v>
      </c>
      <c r="BG15" s="496">
        <f t="shared" si="40"/>
        <v>1396.48</v>
      </c>
      <c r="BH15" s="496">
        <f t="shared" si="41"/>
        <v>585.03</v>
      </c>
      <c r="BI15" s="496">
        <f t="shared" si="42"/>
        <v>1981.51</v>
      </c>
      <c r="BJ15" s="501"/>
    </row>
    <row r="16" spans="1:62" s="480" customFormat="1" ht="16.149999999999999" customHeight="1">
      <c r="A16" s="495" t="s">
        <v>195</v>
      </c>
      <c r="B16" s="494" t="s">
        <v>222</v>
      </c>
      <c r="C16" s="493" t="s">
        <v>62</v>
      </c>
      <c r="D16" s="385" t="s">
        <v>12</v>
      </c>
      <c r="E16" s="314">
        <v>6941</v>
      </c>
      <c r="F16" s="500">
        <v>10</v>
      </c>
      <c r="G16" s="491">
        <v>1999.91</v>
      </c>
      <c r="H16" s="485">
        <v>0</v>
      </c>
      <c r="I16" s="490">
        <f t="shared" si="0"/>
        <v>1999.91</v>
      </c>
      <c r="J16" s="489">
        <f t="shared" si="1"/>
        <v>3.7382800000000001E-3</v>
      </c>
      <c r="K16" s="484">
        <f t="shared" si="2"/>
        <v>-224.24</v>
      </c>
      <c r="L16" s="484">
        <f t="shared" si="3"/>
        <v>0</v>
      </c>
      <c r="M16" s="484">
        <f t="shared" si="3"/>
        <v>47.09</v>
      </c>
      <c r="N16" s="485">
        <f t="shared" si="4"/>
        <v>47.09</v>
      </c>
      <c r="O16" s="485">
        <f t="shared" si="5"/>
        <v>0</v>
      </c>
      <c r="P16" s="485">
        <f t="shared" si="5"/>
        <v>0</v>
      </c>
      <c r="Q16" s="485">
        <f t="shared" si="6"/>
        <v>0</v>
      </c>
      <c r="R16" s="484">
        <f t="shared" si="7"/>
        <v>0</v>
      </c>
      <c r="S16" s="485">
        <f t="shared" si="8"/>
        <v>2047</v>
      </c>
      <c r="T16" s="488">
        <f t="shared" si="9"/>
        <v>2445.06</v>
      </c>
      <c r="U16" s="487">
        <v>1596.91</v>
      </c>
      <c r="V16" s="486">
        <f t="shared" si="10"/>
        <v>3.7382800000000001E-3</v>
      </c>
      <c r="W16" s="484">
        <f t="shared" si="11"/>
        <v>105.14</v>
      </c>
      <c r="X16" s="484">
        <v>0</v>
      </c>
      <c r="Y16" s="484">
        <f t="shared" si="12"/>
        <v>63.08</v>
      </c>
      <c r="Z16" s="484">
        <f t="shared" si="12"/>
        <v>-3.8</v>
      </c>
      <c r="AA16" s="484">
        <f t="shared" si="12"/>
        <v>-1.41</v>
      </c>
      <c r="AB16" s="485">
        <f t="shared" si="13"/>
        <v>163.01</v>
      </c>
      <c r="AC16" s="485">
        <f t="shared" si="14"/>
        <v>-29.35</v>
      </c>
      <c r="AD16" s="498">
        <f>(F16/F$184)*AD$184</f>
        <v>-41.12</v>
      </c>
      <c r="AE16" s="498">
        <v>0</v>
      </c>
      <c r="AF16" s="485">
        <f t="shared" si="15"/>
        <v>-41.12</v>
      </c>
      <c r="AG16" s="484">
        <f t="shared" si="16"/>
        <v>-70.47</v>
      </c>
      <c r="AH16" s="381">
        <f t="shared" si="17"/>
        <v>1689.45</v>
      </c>
      <c r="AI16" s="483">
        <f t="shared" si="18"/>
        <v>3736.45</v>
      </c>
      <c r="AJ16" s="483">
        <f t="shared" si="19"/>
        <v>4432.83</v>
      </c>
      <c r="AK16" s="83"/>
      <c r="AL16" s="114">
        <f t="shared" si="20"/>
        <v>1999.91</v>
      </c>
      <c r="AM16" s="497">
        <f t="shared" si="21"/>
        <v>2970.29</v>
      </c>
      <c r="AN16" s="192">
        <f t="shared" si="22"/>
        <v>0</v>
      </c>
      <c r="AO16" s="114">
        <f t="shared" si="23"/>
        <v>-224.24</v>
      </c>
      <c r="AP16" s="137">
        <f t="shared" si="24"/>
        <v>0</v>
      </c>
      <c r="AQ16" s="137">
        <f t="shared" si="25"/>
        <v>47.09</v>
      </c>
      <c r="AR16" s="84">
        <f t="shared" si="26"/>
        <v>47.09</v>
      </c>
      <c r="AS16" s="84">
        <f t="shared" si="27"/>
        <v>0</v>
      </c>
      <c r="AT16" s="84">
        <f t="shared" si="28"/>
        <v>0</v>
      </c>
      <c r="AU16" s="84">
        <f t="shared" si="29"/>
        <v>0</v>
      </c>
      <c r="AV16" s="84">
        <f t="shared" si="30"/>
        <v>0</v>
      </c>
      <c r="AW16" s="487">
        <v>1596.91</v>
      </c>
      <c r="AX16" s="137">
        <f t="shared" si="31"/>
        <v>105.14</v>
      </c>
      <c r="AY16" s="137">
        <f t="shared" si="32"/>
        <v>0</v>
      </c>
      <c r="AZ16" s="137">
        <f t="shared" si="33"/>
        <v>63.08</v>
      </c>
      <c r="BA16" s="137">
        <f t="shared" si="34"/>
        <v>-3.8</v>
      </c>
      <c r="BB16" s="137">
        <f t="shared" si="35"/>
        <v>-1.41</v>
      </c>
      <c r="BC16" s="84">
        <f t="shared" si="36"/>
        <v>163.01</v>
      </c>
      <c r="BD16" s="84">
        <f t="shared" si="37"/>
        <v>-29.35</v>
      </c>
      <c r="BE16" s="84">
        <f t="shared" si="38"/>
        <v>-41.12</v>
      </c>
      <c r="BF16" s="116">
        <f t="shared" si="39"/>
        <v>-70.47</v>
      </c>
      <c r="BG16" s="496">
        <f t="shared" si="40"/>
        <v>2793.14</v>
      </c>
      <c r="BH16" s="496">
        <f t="shared" si="41"/>
        <v>1689.45</v>
      </c>
      <c r="BI16" s="496">
        <f t="shared" si="42"/>
        <v>4482.59</v>
      </c>
    </row>
    <row r="17" spans="1:62" s="480" customFormat="1" ht="16.149999999999999" customHeight="1">
      <c r="A17" s="495" t="s">
        <v>195</v>
      </c>
      <c r="B17" s="494" t="s">
        <v>365</v>
      </c>
      <c r="C17" s="615" t="s">
        <v>63</v>
      </c>
      <c r="D17" s="385" t="s">
        <v>12</v>
      </c>
      <c r="E17" s="314">
        <v>25934</v>
      </c>
      <c r="F17" s="499"/>
      <c r="G17" s="491">
        <v>424.47</v>
      </c>
      <c r="H17" s="485">
        <v>0</v>
      </c>
      <c r="I17" s="490">
        <f t="shared" si="0"/>
        <v>424.47</v>
      </c>
      <c r="J17" s="489">
        <f t="shared" si="1"/>
        <v>7.9343000000000003E-4</v>
      </c>
      <c r="K17" s="484">
        <f t="shared" si="2"/>
        <v>-47.59</v>
      </c>
      <c r="L17" s="484">
        <f t="shared" si="3"/>
        <v>0</v>
      </c>
      <c r="M17" s="484">
        <f t="shared" si="3"/>
        <v>9.99</v>
      </c>
      <c r="N17" s="485">
        <f t="shared" si="4"/>
        <v>9.99</v>
      </c>
      <c r="O17" s="485">
        <f t="shared" si="5"/>
        <v>0</v>
      </c>
      <c r="P17" s="485">
        <f t="shared" si="5"/>
        <v>0</v>
      </c>
      <c r="Q17" s="485">
        <f t="shared" si="6"/>
        <v>0</v>
      </c>
      <c r="R17" s="484">
        <f t="shared" si="7"/>
        <v>0</v>
      </c>
      <c r="S17" s="485">
        <f t="shared" si="8"/>
        <v>434.46</v>
      </c>
      <c r="T17" s="488">
        <f t="shared" si="9"/>
        <v>518.94000000000005</v>
      </c>
      <c r="U17" s="487">
        <v>440.41</v>
      </c>
      <c r="V17" s="486">
        <f t="shared" si="10"/>
        <v>7.9343000000000003E-4</v>
      </c>
      <c r="W17" s="484">
        <f t="shared" si="11"/>
        <v>22.31</v>
      </c>
      <c r="X17" s="484">
        <v>0</v>
      </c>
      <c r="Y17" s="484">
        <f t="shared" si="12"/>
        <v>13.39</v>
      </c>
      <c r="Z17" s="484">
        <f t="shared" si="12"/>
        <v>-0.81</v>
      </c>
      <c r="AA17" s="484">
        <f t="shared" si="12"/>
        <v>-0.3</v>
      </c>
      <c r="AB17" s="485">
        <f t="shared" si="13"/>
        <v>34.590000000000003</v>
      </c>
      <c r="AC17" s="485">
        <f t="shared" si="14"/>
        <v>-6.23</v>
      </c>
      <c r="AD17" s="498">
        <v>0</v>
      </c>
      <c r="AE17" s="498">
        <v>0</v>
      </c>
      <c r="AF17" s="485">
        <f t="shared" si="15"/>
        <v>0</v>
      </c>
      <c r="AG17" s="484">
        <f t="shared" si="16"/>
        <v>-6.23</v>
      </c>
      <c r="AH17" s="381">
        <f t="shared" si="17"/>
        <v>468.77</v>
      </c>
      <c r="AI17" s="483">
        <f t="shared" si="18"/>
        <v>903.23</v>
      </c>
      <c r="AJ17" s="483">
        <f t="shared" si="19"/>
        <v>1071.57</v>
      </c>
      <c r="AK17" s="83"/>
      <c r="AL17" s="114">
        <f t="shared" si="20"/>
        <v>424.47</v>
      </c>
      <c r="AM17" s="497">
        <f t="shared" si="21"/>
        <v>630.42999999999995</v>
      </c>
      <c r="AN17" s="192">
        <f t="shared" si="22"/>
        <v>0</v>
      </c>
      <c r="AO17" s="114">
        <f t="shared" si="23"/>
        <v>-47.59</v>
      </c>
      <c r="AP17" s="137">
        <f t="shared" si="24"/>
        <v>0</v>
      </c>
      <c r="AQ17" s="137">
        <f t="shared" si="25"/>
        <v>9.99</v>
      </c>
      <c r="AR17" s="84">
        <f t="shared" si="26"/>
        <v>9.99</v>
      </c>
      <c r="AS17" s="84">
        <f t="shared" si="27"/>
        <v>0</v>
      </c>
      <c r="AT17" s="84">
        <f t="shared" si="28"/>
        <v>0</v>
      </c>
      <c r="AU17" s="84">
        <f t="shared" si="29"/>
        <v>0</v>
      </c>
      <c r="AV17" s="84">
        <f t="shared" si="30"/>
        <v>0</v>
      </c>
      <c r="AW17" s="487">
        <v>440.41</v>
      </c>
      <c r="AX17" s="137">
        <f t="shared" si="31"/>
        <v>22.31</v>
      </c>
      <c r="AY17" s="137">
        <f t="shared" si="32"/>
        <v>0</v>
      </c>
      <c r="AZ17" s="137">
        <f t="shared" si="33"/>
        <v>13.39</v>
      </c>
      <c r="BA17" s="137">
        <f t="shared" si="34"/>
        <v>-0.81</v>
      </c>
      <c r="BB17" s="137">
        <f t="shared" si="35"/>
        <v>-0.3</v>
      </c>
      <c r="BC17" s="84">
        <f t="shared" si="36"/>
        <v>34.590000000000003</v>
      </c>
      <c r="BD17" s="84">
        <f t="shared" si="37"/>
        <v>-6.23</v>
      </c>
      <c r="BE17" s="84">
        <f t="shared" si="38"/>
        <v>0</v>
      </c>
      <c r="BF17" s="116">
        <f t="shared" si="39"/>
        <v>-6.23</v>
      </c>
      <c r="BG17" s="496">
        <f t="shared" si="40"/>
        <v>592.83000000000004</v>
      </c>
      <c r="BH17" s="496">
        <f t="shared" si="41"/>
        <v>468.77</v>
      </c>
      <c r="BI17" s="496">
        <f t="shared" si="42"/>
        <v>1061.5999999999999</v>
      </c>
    </row>
    <row r="18" spans="1:62" s="480" customFormat="1" ht="16.149999999999999" customHeight="1">
      <c r="A18" s="495" t="s">
        <v>195</v>
      </c>
      <c r="B18" s="494" t="s">
        <v>223</v>
      </c>
      <c r="C18" s="493" t="s">
        <v>62</v>
      </c>
      <c r="D18" s="385" t="s">
        <v>12</v>
      </c>
      <c r="E18" s="314">
        <v>7672</v>
      </c>
      <c r="F18" s="500">
        <v>10</v>
      </c>
      <c r="G18" s="491">
        <v>2999.94</v>
      </c>
      <c r="H18" s="485">
        <v>0</v>
      </c>
      <c r="I18" s="490">
        <f t="shared" si="0"/>
        <v>2999.94</v>
      </c>
      <c r="J18" s="489">
        <f t="shared" si="1"/>
        <v>5.6075600000000001E-3</v>
      </c>
      <c r="K18" s="484">
        <f t="shared" si="2"/>
        <v>-336.37</v>
      </c>
      <c r="L18" s="484">
        <f t="shared" si="3"/>
        <v>0</v>
      </c>
      <c r="M18" s="484">
        <f t="shared" si="3"/>
        <v>70.63</v>
      </c>
      <c r="N18" s="485">
        <f t="shared" si="4"/>
        <v>70.63</v>
      </c>
      <c r="O18" s="485">
        <f t="shared" si="5"/>
        <v>0</v>
      </c>
      <c r="P18" s="485">
        <f t="shared" si="5"/>
        <v>0</v>
      </c>
      <c r="Q18" s="485">
        <f t="shared" si="6"/>
        <v>0</v>
      </c>
      <c r="R18" s="484">
        <f t="shared" si="7"/>
        <v>0</v>
      </c>
      <c r="S18" s="485">
        <f t="shared" si="8"/>
        <v>3070.57</v>
      </c>
      <c r="T18" s="488">
        <f t="shared" si="9"/>
        <v>3667.67</v>
      </c>
      <c r="U18" s="487">
        <v>2634.5</v>
      </c>
      <c r="V18" s="486">
        <f t="shared" si="10"/>
        <v>5.6075600000000001E-3</v>
      </c>
      <c r="W18" s="484">
        <f t="shared" si="11"/>
        <v>157.71</v>
      </c>
      <c r="X18" s="484">
        <v>0</v>
      </c>
      <c r="Y18" s="484">
        <f t="shared" si="12"/>
        <v>94.62</v>
      </c>
      <c r="Z18" s="484">
        <f t="shared" si="12"/>
        <v>-5.7</v>
      </c>
      <c r="AA18" s="484">
        <f t="shared" si="12"/>
        <v>-2.11</v>
      </c>
      <c r="AB18" s="485">
        <f t="shared" si="13"/>
        <v>244.52</v>
      </c>
      <c r="AC18" s="485">
        <f t="shared" si="14"/>
        <v>-44.02</v>
      </c>
      <c r="AD18" s="498">
        <f>(F18/F$184)*AD$184</f>
        <v>-41.12</v>
      </c>
      <c r="AE18" s="498">
        <v>0</v>
      </c>
      <c r="AF18" s="485">
        <f t="shared" si="15"/>
        <v>-41.12</v>
      </c>
      <c r="AG18" s="484">
        <f t="shared" si="16"/>
        <v>-85.14</v>
      </c>
      <c r="AH18" s="381">
        <f t="shared" si="17"/>
        <v>2793.88</v>
      </c>
      <c r="AI18" s="483">
        <f t="shared" si="18"/>
        <v>5864.45</v>
      </c>
      <c r="AJ18" s="483">
        <f t="shared" si="19"/>
        <v>6957.43</v>
      </c>
      <c r="AK18" s="83"/>
      <c r="AL18" s="114">
        <f t="shared" si="20"/>
        <v>2999.94</v>
      </c>
      <c r="AM18" s="497">
        <f t="shared" si="21"/>
        <v>4455.54</v>
      </c>
      <c r="AN18" s="192">
        <f t="shared" si="22"/>
        <v>0</v>
      </c>
      <c r="AO18" s="114">
        <f t="shared" si="23"/>
        <v>-336.37</v>
      </c>
      <c r="AP18" s="137">
        <f t="shared" si="24"/>
        <v>0</v>
      </c>
      <c r="AQ18" s="137">
        <f t="shared" si="25"/>
        <v>70.63</v>
      </c>
      <c r="AR18" s="84">
        <f t="shared" si="26"/>
        <v>70.63</v>
      </c>
      <c r="AS18" s="84">
        <f t="shared" si="27"/>
        <v>0</v>
      </c>
      <c r="AT18" s="84">
        <f t="shared" si="28"/>
        <v>0</v>
      </c>
      <c r="AU18" s="84">
        <f t="shared" si="29"/>
        <v>0</v>
      </c>
      <c r="AV18" s="84">
        <f t="shared" si="30"/>
        <v>0</v>
      </c>
      <c r="AW18" s="487">
        <v>2634.5</v>
      </c>
      <c r="AX18" s="137">
        <f t="shared" si="31"/>
        <v>157.71</v>
      </c>
      <c r="AY18" s="137">
        <f t="shared" si="32"/>
        <v>0</v>
      </c>
      <c r="AZ18" s="137">
        <f t="shared" si="33"/>
        <v>94.62</v>
      </c>
      <c r="BA18" s="137">
        <f t="shared" si="34"/>
        <v>-5.7</v>
      </c>
      <c r="BB18" s="137">
        <f t="shared" si="35"/>
        <v>-2.11</v>
      </c>
      <c r="BC18" s="84">
        <f t="shared" si="36"/>
        <v>244.52</v>
      </c>
      <c r="BD18" s="84">
        <f t="shared" si="37"/>
        <v>-44.02</v>
      </c>
      <c r="BE18" s="84">
        <f t="shared" si="38"/>
        <v>-41.12</v>
      </c>
      <c r="BF18" s="116">
        <f t="shared" si="39"/>
        <v>-85.14</v>
      </c>
      <c r="BG18" s="496">
        <f t="shared" si="40"/>
        <v>4189.8</v>
      </c>
      <c r="BH18" s="496">
        <f t="shared" si="41"/>
        <v>2793.88</v>
      </c>
      <c r="BI18" s="496">
        <f t="shared" si="42"/>
        <v>6983.68</v>
      </c>
      <c r="BJ18" s="501"/>
    </row>
    <row r="19" spans="1:62" s="480" customFormat="1" ht="16.149999999999999" customHeight="1">
      <c r="A19" s="495" t="s">
        <v>195</v>
      </c>
      <c r="B19" s="494" t="s">
        <v>231</v>
      </c>
      <c r="C19" s="493" t="s">
        <v>62</v>
      </c>
      <c r="D19" s="385" t="s">
        <v>12</v>
      </c>
      <c r="E19" s="314">
        <v>17168</v>
      </c>
      <c r="F19" s="500">
        <v>10</v>
      </c>
      <c r="G19" s="491">
        <v>3999.94</v>
      </c>
      <c r="H19" s="485">
        <v>0</v>
      </c>
      <c r="I19" s="490">
        <f t="shared" si="0"/>
        <v>3999.94</v>
      </c>
      <c r="J19" s="489">
        <f t="shared" si="1"/>
        <v>7.4767899999999997E-3</v>
      </c>
      <c r="K19" s="484">
        <f t="shared" si="2"/>
        <v>-448.5</v>
      </c>
      <c r="L19" s="484">
        <f t="shared" si="3"/>
        <v>0</v>
      </c>
      <c r="M19" s="484">
        <f t="shared" si="3"/>
        <v>94.18</v>
      </c>
      <c r="N19" s="485">
        <f t="shared" si="4"/>
        <v>94.18</v>
      </c>
      <c r="O19" s="485">
        <f t="shared" si="5"/>
        <v>0</v>
      </c>
      <c r="P19" s="485">
        <f t="shared" si="5"/>
        <v>0</v>
      </c>
      <c r="Q19" s="485">
        <f t="shared" si="6"/>
        <v>0</v>
      </c>
      <c r="R19" s="484">
        <f t="shared" si="7"/>
        <v>0</v>
      </c>
      <c r="S19" s="485">
        <f t="shared" si="8"/>
        <v>4094.12</v>
      </c>
      <c r="T19" s="488">
        <f t="shared" si="9"/>
        <v>4890.26</v>
      </c>
      <c r="U19" s="487">
        <v>3672.03</v>
      </c>
      <c r="V19" s="486">
        <f t="shared" si="10"/>
        <v>7.4767899999999997E-3</v>
      </c>
      <c r="W19" s="484">
        <f t="shared" si="11"/>
        <v>210.28</v>
      </c>
      <c r="X19" s="484">
        <v>0</v>
      </c>
      <c r="Y19" s="484">
        <f t="shared" si="12"/>
        <v>126.17</v>
      </c>
      <c r="Z19" s="484">
        <f t="shared" si="12"/>
        <v>-7.6</v>
      </c>
      <c r="AA19" s="484">
        <f t="shared" si="12"/>
        <v>-2.82</v>
      </c>
      <c r="AB19" s="485">
        <f t="shared" si="13"/>
        <v>326.02999999999997</v>
      </c>
      <c r="AC19" s="485">
        <f t="shared" si="14"/>
        <v>-58.7</v>
      </c>
      <c r="AD19" s="498">
        <f>(F19/F$184)*AD$184</f>
        <v>-41.12</v>
      </c>
      <c r="AE19" s="498">
        <v>0</v>
      </c>
      <c r="AF19" s="485">
        <f t="shared" si="15"/>
        <v>-41.12</v>
      </c>
      <c r="AG19" s="484">
        <f t="shared" si="16"/>
        <v>-99.82</v>
      </c>
      <c r="AH19" s="381">
        <f t="shared" si="17"/>
        <v>3898.24</v>
      </c>
      <c r="AI19" s="483">
        <f t="shared" si="18"/>
        <v>7992.36</v>
      </c>
      <c r="AJ19" s="483">
        <f t="shared" si="19"/>
        <v>9481.93</v>
      </c>
      <c r="AK19" s="83"/>
      <c r="AL19" s="114">
        <f t="shared" si="20"/>
        <v>3999.94</v>
      </c>
      <c r="AM19" s="497">
        <f t="shared" si="21"/>
        <v>5940.75</v>
      </c>
      <c r="AN19" s="192">
        <f t="shared" si="22"/>
        <v>0</v>
      </c>
      <c r="AO19" s="114">
        <f t="shared" si="23"/>
        <v>-448.5</v>
      </c>
      <c r="AP19" s="137">
        <f t="shared" si="24"/>
        <v>0</v>
      </c>
      <c r="AQ19" s="137">
        <f t="shared" si="25"/>
        <v>94.18</v>
      </c>
      <c r="AR19" s="84">
        <f t="shared" si="26"/>
        <v>94.18</v>
      </c>
      <c r="AS19" s="84">
        <f t="shared" si="27"/>
        <v>0</v>
      </c>
      <c r="AT19" s="84">
        <f t="shared" si="28"/>
        <v>0</v>
      </c>
      <c r="AU19" s="84">
        <f t="shared" si="29"/>
        <v>0</v>
      </c>
      <c r="AV19" s="84">
        <f t="shared" si="30"/>
        <v>0</v>
      </c>
      <c r="AW19" s="487">
        <v>3672.03</v>
      </c>
      <c r="AX19" s="137">
        <f t="shared" si="31"/>
        <v>210.28</v>
      </c>
      <c r="AY19" s="137">
        <f t="shared" si="32"/>
        <v>0</v>
      </c>
      <c r="AZ19" s="137">
        <f t="shared" si="33"/>
        <v>126.17</v>
      </c>
      <c r="BA19" s="137">
        <f t="shared" si="34"/>
        <v>-7.6</v>
      </c>
      <c r="BB19" s="137">
        <f t="shared" si="35"/>
        <v>-2.82</v>
      </c>
      <c r="BC19" s="84">
        <f t="shared" si="36"/>
        <v>326.02999999999997</v>
      </c>
      <c r="BD19" s="84">
        <f t="shared" si="37"/>
        <v>-58.7</v>
      </c>
      <c r="BE19" s="84">
        <f t="shared" si="38"/>
        <v>-41.12</v>
      </c>
      <c r="BF19" s="116">
        <f t="shared" si="39"/>
        <v>-99.82</v>
      </c>
      <c r="BG19" s="496">
        <f t="shared" si="40"/>
        <v>5586.43</v>
      </c>
      <c r="BH19" s="496">
        <f t="shared" si="41"/>
        <v>3898.24</v>
      </c>
      <c r="BI19" s="496">
        <f t="shared" si="42"/>
        <v>9484.67</v>
      </c>
    </row>
    <row r="20" spans="1:62" s="480" customFormat="1" ht="16.149999999999999" customHeight="1">
      <c r="A20" s="495" t="s">
        <v>195</v>
      </c>
      <c r="B20" s="494" t="s">
        <v>345</v>
      </c>
      <c r="C20" s="615" t="s">
        <v>63</v>
      </c>
      <c r="D20" s="385" t="s">
        <v>12</v>
      </c>
      <c r="E20" s="314">
        <v>6211</v>
      </c>
      <c r="F20" s="499"/>
      <c r="G20" s="491">
        <v>1999.91</v>
      </c>
      <c r="H20" s="485">
        <v>0</v>
      </c>
      <c r="I20" s="490">
        <f t="shared" si="0"/>
        <v>1999.91</v>
      </c>
      <c r="J20" s="489">
        <f t="shared" si="1"/>
        <v>3.7382800000000001E-3</v>
      </c>
      <c r="K20" s="484">
        <f t="shared" si="2"/>
        <v>-224.24</v>
      </c>
      <c r="L20" s="484">
        <f t="shared" si="3"/>
        <v>0</v>
      </c>
      <c r="M20" s="484">
        <f t="shared" si="3"/>
        <v>47.09</v>
      </c>
      <c r="N20" s="485">
        <f t="shared" si="4"/>
        <v>47.09</v>
      </c>
      <c r="O20" s="485">
        <f t="shared" si="5"/>
        <v>0</v>
      </c>
      <c r="P20" s="485">
        <f t="shared" si="5"/>
        <v>0</v>
      </c>
      <c r="Q20" s="485">
        <f t="shared" si="6"/>
        <v>0</v>
      </c>
      <c r="R20" s="484">
        <f t="shared" si="7"/>
        <v>0</v>
      </c>
      <c r="S20" s="485">
        <f t="shared" si="8"/>
        <v>2047</v>
      </c>
      <c r="T20" s="488">
        <f t="shared" si="9"/>
        <v>2445.06</v>
      </c>
      <c r="U20" s="487">
        <v>2075.08</v>
      </c>
      <c r="V20" s="486">
        <f t="shared" si="10"/>
        <v>3.7382800000000001E-3</v>
      </c>
      <c r="W20" s="484">
        <f t="shared" si="11"/>
        <v>105.14</v>
      </c>
      <c r="X20" s="484">
        <v>0</v>
      </c>
      <c r="Y20" s="484">
        <f t="shared" si="12"/>
        <v>63.08</v>
      </c>
      <c r="Z20" s="484">
        <f t="shared" si="12"/>
        <v>-3.8</v>
      </c>
      <c r="AA20" s="484">
        <f t="shared" si="12"/>
        <v>-1.41</v>
      </c>
      <c r="AB20" s="485">
        <f t="shared" si="13"/>
        <v>163.01</v>
      </c>
      <c r="AC20" s="485">
        <f t="shared" si="14"/>
        <v>-29.35</v>
      </c>
      <c r="AD20" s="498">
        <v>0</v>
      </c>
      <c r="AE20" s="498">
        <v>0</v>
      </c>
      <c r="AF20" s="485">
        <f t="shared" si="15"/>
        <v>0</v>
      </c>
      <c r="AG20" s="484">
        <f t="shared" si="16"/>
        <v>-29.35</v>
      </c>
      <c r="AH20" s="381">
        <f t="shared" si="17"/>
        <v>2208.7399999999998</v>
      </c>
      <c r="AI20" s="483">
        <f t="shared" si="18"/>
        <v>4255.74</v>
      </c>
      <c r="AJ20" s="483">
        <f t="shared" si="19"/>
        <v>5048.8999999999996</v>
      </c>
      <c r="AK20" s="83"/>
      <c r="AL20" s="114">
        <f t="shared" si="20"/>
        <v>1999.91</v>
      </c>
      <c r="AM20" s="497">
        <f t="shared" si="21"/>
        <v>2970.29</v>
      </c>
      <c r="AN20" s="192">
        <f t="shared" si="22"/>
        <v>0</v>
      </c>
      <c r="AO20" s="114">
        <f t="shared" si="23"/>
        <v>-224.24</v>
      </c>
      <c r="AP20" s="137">
        <f t="shared" si="24"/>
        <v>0</v>
      </c>
      <c r="AQ20" s="137">
        <f t="shared" si="25"/>
        <v>47.09</v>
      </c>
      <c r="AR20" s="84">
        <f t="shared" si="26"/>
        <v>47.09</v>
      </c>
      <c r="AS20" s="84">
        <f t="shared" si="27"/>
        <v>0</v>
      </c>
      <c r="AT20" s="84">
        <f t="shared" si="28"/>
        <v>0</v>
      </c>
      <c r="AU20" s="84">
        <f t="shared" si="29"/>
        <v>0</v>
      </c>
      <c r="AV20" s="84">
        <f t="shared" si="30"/>
        <v>0</v>
      </c>
      <c r="AW20" s="487">
        <v>2075.08</v>
      </c>
      <c r="AX20" s="137">
        <f t="shared" si="31"/>
        <v>105.14</v>
      </c>
      <c r="AY20" s="137">
        <f t="shared" si="32"/>
        <v>0</v>
      </c>
      <c r="AZ20" s="137">
        <f t="shared" si="33"/>
        <v>63.08</v>
      </c>
      <c r="BA20" s="137">
        <f t="shared" si="34"/>
        <v>-3.8</v>
      </c>
      <c r="BB20" s="137">
        <f t="shared" si="35"/>
        <v>-1.41</v>
      </c>
      <c r="BC20" s="84">
        <f t="shared" si="36"/>
        <v>163.01</v>
      </c>
      <c r="BD20" s="84">
        <f t="shared" si="37"/>
        <v>-29.35</v>
      </c>
      <c r="BE20" s="84">
        <f t="shared" si="38"/>
        <v>0</v>
      </c>
      <c r="BF20" s="116">
        <f t="shared" si="39"/>
        <v>-29.35</v>
      </c>
      <c r="BG20" s="496">
        <f t="shared" si="40"/>
        <v>2793.14</v>
      </c>
      <c r="BH20" s="496">
        <f t="shared" si="41"/>
        <v>2208.7399999999998</v>
      </c>
      <c r="BI20" s="496">
        <f t="shared" si="42"/>
        <v>5001.88</v>
      </c>
    </row>
    <row r="21" spans="1:62" s="480" customFormat="1" ht="16.149999999999999" customHeight="1">
      <c r="A21" s="495" t="s">
        <v>195</v>
      </c>
      <c r="B21" s="494" t="s">
        <v>225</v>
      </c>
      <c r="C21" s="493" t="s">
        <v>62</v>
      </c>
      <c r="D21" s="385" t="s">
        <v>12</v>
      </c>
      <c r="E21" s="314">
        <v>2193</v>
      </c>
      <c r="F21" s="500">
        <v>10</v>
      </c>
      <c r="G21" s="491">
        <v>1999.91</v>
      </c>
      <c r="H21" s="485">
        <v>0</v>
      </c>
      <c r="I21" s="490">
        <f t="shared" si="0"/>
        <v>1999.91</v>
      </c>
      <c r="J21" s="489">
        <f t="shared" si="1"/>
        <v>3.7382800000000001E-3</v>
      </c>
      <c r="K21" s="484">
        <f t="shared" si="2"/>
        <v>-224.24</v>
      </c>
      <c r="L21" s="484">
        <f t="shared" si="3"/>
        <v>0</v>
      </c>
      <c r="M21" s="484">
        <f t="shared" si="3"/>
        <v>47.09</v>
      </c>
      <c r="N21" s="485">
        <f t="shared" si="4"/>
        <v>47.09</v>
      </c>
      <c r="O21" s="485">
        <f t="shared" si="5"/>
        <v>0</v>
      </c>
      <c r="P21" s="485">
        <f t="shared" si="5"/>
        <v>0</v>
      </c>
      <c r="Q21" s="485">
        <f t="shared" si="6"/>
        <v>0</v>
      </c>
      <c r="R21" s="484">
        <f t="shared" si="7"/>
        <v>0</v>
      </c>
      <c r="S21" s="485">
        <f t="shared" si="8"/>
        <v>2047</v>
      </c>
      <c r="T21" s="488">
        <f t="shared" si="9"/>
        <v>2445.06</v>
      </c>
      <c r="U21" s="487">
        <v>1596.91</v>
      </c>
      <c r="V21" s="486">
        <f t="shared" si="10"/>
        <v>3.7382800000000001E-3</v>
      </c>
      <c r="W21" s="484">
        <f t="shared" si="11"/>
        <v>105.14</v>
      </c>
      <c r="X21" s="484">
        <v>0</v>
      </c>
      <c r="Y21" s="484">
        <f t="shared" si="12"/>
        <v>63.08</v>
      </c>
      <c r="Z21" s="484">
        <f t="shared" si="12"/>
        <v>-3.8</v>
      </c>
      <c r="AA21" s="484">
        <f t="shared" si="12"/>
        <v>-1.41</v>
      </c>
      <c r="AB21" s="485">
        <f t="shared" si="13"/>
        <v>163.01</v>
      </c>
      <c r="AC21" s="485">
        <f t="shared" si="14"/>
        <v>-29.35</v>
      </c>
      <c r="AD21" s="498">
        <f t="shared" ref="AD21:AD31" si="43">(F21/F$184)*AD$184</f>
        <v>-41.12</v>
      </c>
      <c r="AE21" s="498">
        <v>0</v>
      </c>
      <c r="AF21" s="485">
        <f t="shared" si="15"/>
        <v>-41.12</v>
      </c>
      <c r="AG21" s="484">
        <f t="shared" si="16"/>
        <v>-70.47</v>
      </c>
      <c r="AH21" s="381">
        <f t="shared" si="17"/>
        <v>1689.45</v>
      </c>
      <c r="AI21" s="483">
        <f t="shared" si="18"/>
        <v>3736.45</v>
      </c>
      <c r="AJ21" s="483">
        <f t="shared" si="19"/>
        <v>4432.83</v>
      </c>
      <c r="AK21" s="83"/>
      <c r="AL21" s="114">
        <f t="shared" si="20"/>
        <v>1999.91</v>
      </c>
      <c r="AM21" s="497">
        <f t="shared" si="21"/>
        <v>2970.29</v>
      </c>
      <c r="AN21" s="192">
        <f t="shared" si="22"/>
        <v>0</v>
      </c>
      <c r="AO21" s="114">
        <f t="shared" si="23"/>
        <v>-224.24</v>
      </c>
      <c r="AP21" s="137">
        <f t="shared" si="24"/>
        <v>0</v>
      </c>
      <c r="AQ21" s="137">
        <f t="shared" si="25"/>
        <v>47.09</v>
      </c>
      <c r="AR21" s="84">
        <f t="shared" si="26"/>
        <v>47.09</v>
      </c>
      <c r="AS21" s="84">
        <f t="shared" si="27"/>
        <v>0</v>
      </c>
      <c r="AT21" s="84">
        <f t="shared" si="28"/>
        <v>0</v>
      </c>
      <c r="AU21" s="84">
        <f t="shared" si="29"/>
        <v>0</v>
      </c>
      <c r="AV21" s="84">
        <f t="shared" si="30"/>
        <v>0</v>
      </c>
      <c r="AW21" s="487">
        <v>1596.91</v>
      </c>
      <c r="AX21" s="137">
        <f t="shared" si="31"/>
        <v>105.14</v>
      </c>
      <c r="AY21" s="137">
        <f t="shared" si="32"/>
        <v>0</v>
      </c>
      <c r="AZ21" s="137">
        <f t="shared" si="33"/>
        <v>63.08</v>
      </c>
      <c r="BA21" s="137">
        <f t="shared" si="34"/>
        <v>-3.8</v>
      </c>
      <c r="BB21" s="137">
        <f t="shared" si="35"/>
        <v>-1.41</v>
      </c>
      <c r="BC21" s="84">
        <f t="shared" si="36"/>
        <v>163.01</v>
      </c>
      <c r="BD21" s="84">
        <f t="shared" si="37"/>
        <v>-29.35</v>
      </c>
      <c r="BE21" s="84">
        <f t="shared" si="38"/>
        <v>-41.12</v>
      </c>
      <c r="BF21" s="116">
        <f t="shared" si="39"/>
        <v>-70.47</v>
      </c>
      <c r="BG21" s="496">
        <f t="shared" si="40"/>
        <v>2793.14</v>
      </c>
      <c r="BH21" s="496">
        <f t="shared" si="41"/>
        <v>1689.45</v>
      </c>
      <c r="BI21" s="496">
        <f t="shared" si="42"/>
        <v>4482.59</v>
      </c>
    </row>
    <row r="22" spans="1:62" s="480" customFormat="1" ht="16.149999999999999" customHeight="1">
      <c r="A22" s="495" t="s">
        <v>195</v>
      </c>
      <c r="B22" s="494" t="s">
        <v>232</v>
      </c>
      <c r="C22" s="493" t="s">
        <v>62</v>
      </c>
      <c r="D22" s="385" t="s">
        <v>12</v>
      </c>
      <c r="E22" s="314">
        <v>4384</v>
      </c>
      <c r="F22" s="500">
        <v>10</v>
      </c>
      <c r="G22" s="491">
        <v>3999.94</v>
      </c>
      <c r="H22" s="485">
        <v>0</v>
      </c>
      <c r="I22" s="490">
        <f t="shared" si="0"/>
        <v>3999.94</v>
      </c>
      <c r="J22" s="489">
        <f t="shared" si="1"/>
        <v>7.4767899999999997E-3</v>
      </c>
      <c r="K22" s="484">
        <f t="shared" si="2"/>
        <v>-448.5</v>
      </c>
      <c r="L22" s="484">
        <f t="shared" si="3"/>
        <v>0</v>
      </c>
      <c r="M22" s="484">
        <f t="shared" si="3"/>
        <v>94.18</v>
      </c>
      <c r="N22" s="485">
        <f t="shared" si="4"/>
        <v>94.18</v>
      </c>
      <c r="O22" s="485">
        <f t="shared" si="5"/>
        <v>0</v>
      </c>
      <c r="P22" s="485">
        <f t="shared" si="5"/>
        <v>0</v>
      </c>
      <c r="Q22" s="485">
        <f t="shared" si="6"/>
        <v>0</v>
      </c>
      <c r="R22" s="484">
        <f t="shared" si="7"/>
        <v>0</v>
      </c>
      <c r="S22" s="485">
        <f t="shared" si="8"/>
        <v>4094.12</v>
      </c>
      <c r="T22" s="488">
        <f t="shared" si="9"/>
        <v>4890.26</v>
      </c>
      <c r="U22" s="487">
        <v>3672.03</v>
      </c>
      <c r="V22" s="486">
        <f t="shared" si="10"/>
        <v>7.4767899999999997E-3</v>
      </c>
      <c r="W22" s="484">
        <f t="shared" si="11"/>
        <v>210.28</v>
      </c>
      <c r="X22" s="484">
        <v>0</v>
      </c>
      <c r="Y22" s="484">
        <f t="shared" si="12"/>
        <v>126.17</v>
      </c>
      <c r="Z22" s="484">
        <f t="shared" si="12"/>
        <v>-7.6</v>
      </c>
      <c r="AA22" s="484">
        <f t="shared" si="12"/>
        <v>-2.82</v>
      </c>
      <c r="AB22" s="485">
        <f t="shared" si="13"/>
        <v>326.02999999999997</v>
      </c>
      <c r="AC22" s="485">
        <f t="shared" si="14"/>
        <v>-58.7</v>
      </c>
      <c r="AD22" s="498">
        <f t="shared" si="43"/>
        <v>-41.12</v>
      </c>
      <c r="AE22" s="498">
        <v>0</v>
      </c>
      <c r="AF22" s="485">
        <f t="shared" si="15"/>
        <v>-41.12</v>
      </c>
      <c r="AG22" s="484">
        <f t="shared" si="16"/>
        <v>-99.82</v>
      </c>
      <c r="AH22" s="381">
        <f t="shared" si="17"/>
        <v>3898.24</v>
      </c>
      <c r="AI22" s="483">
        <f t="shared" si="18"/>
        <v>7992.36</v>
      </c>
      <c r="AJ22" s="483">
        <f t="shared" si="19"/>
        <v>9481.93</v>
      </c>
      <c r="AK22" s="83"/>
      <c r="AL22" s="114">
        <f t="shared" si="20"/>
        <v>3999.94</v>
      </c>
      <c r="AM22" s="497">
        <f t="shared" si="21"/>
        <v>5940.75</v>
      </c>
      <c r="AN22" s="192">
        <f t="shared" si="22"/>
        <v>0</v>
      </c>
      <c r="AO22" s="114">
        <f t="shared" si="23"/>
        <v>-448.5</v>
      </c>
      <c r="AP22" s="137">
        <f t="shared" si="24"/>
        <v>0</v>
      </c>
      <c r="AQ22" s="137">
        <f t="shared" si="25"/>
        <v>94.18</v>
      </c>
      <c r="AR22" s="84">
        <f t="shared" si="26"/>
        <v>94.18</v>
      </c>
      <c r="AS22" s="84">
        <f t="shared" si="27"/>
        <v>0</v>
      </c>
      <c r="AT22" s="84">
        <f t="shared" si="28"/>
        <v>0</v>
      </c>
      <c r="AU22" s="84">
        <f t="shared" si="29"/>
        <v>0</v>
      </c>
      <c r="AV22" s="84">
        <f t="shared" si="30"/>
        <v>0</v>
      </c>
      <c r="AW22" s="487">
        <v>3672.03</v>
      </c>
      <c r="AX22" s="137">
        <f t="shared" si="31"/>
        <v>210.28</v>
      </c>
      <c r="AY22" s="137">
        <f t="shared" si="32"/>
        <v>0</v>
      </c>
      <c r="AZ22" s="137">
        <f t="shared" si="33"/>
        <v>126.17</v>
      </c>
      <c r="BA22" s="137">
        <f t="shared" si="34"/>
        <v>-7.6</v>
      </c>
      <c r="BB22" s="137">
        <f t="shared" si="35"/>
        <v>-2.82</v>
      </c>
      <c r="BC22" s="84">
        <f t="shared" si="36"/>
        <v>326.02999999999997</v>
      </c>
      <c r="BD22" s="84">
        <f t="shared" si="37"/>
        <v>-58.7</v>
      </c>
      <c r="BE22" s="84">
        <f t="shared" si="38"/>
        <v>-41.12</v>
      </c>
      <c r="BF22" s="116">
        <f t="shared" si="39"/>
        <v>-99.82</v>
      </c>
      <c r="BG22" s="496">
        <f t="shared" si="40"/>
        <v>5586.43</v>
      </c>
      <c r="BH22" s="496">
        <f t="shared" si="41"/>
        <v>3898.24</v>
      </c>
      <c r="BI22" s="496">
        <f t="shared" si="42"/>
        <v>9484.67</v>
      </c>
    </row>
    <row r="23" spans="1:62" s="480" customFormat="1" ht="16.149999999999999" customHeight="1">
      <c r="A23" s="495" t="s">
        <v>195</v>
      </c>
      <c r="B23" s="494" t="s">
        <v>229</v>
      </c>
      <c r="C23" s="493" t="s">
        <v>62</v>
      </c>
      <c r="D23" s="385" t="s">
        <v>12</v>
      </c>
      <c r="E23" s="314">
        <v>14611</v>
      </c>
      <c r="F23" s="500">
        <v>10</v>
      </c>
      <c r="G23" s="491">
        <v>4999.84</v>
      </c>
      <c r="H23" s="485">
        <v>0</v>
      </c>
      <c r="I23" s="490">
        <f t="shared" si="0"/>
        <v>4999.84</v>
      </c>
      <c r="J23" s="489">
        <f t="shared" si="1"/>
        <v>9.3458199999999995E-3</v>
      </c>
      <c r="K23" s="484">
        <f t="shared" si="2"/>
        <v>-560.61</v>
      </c>
      <c r="L23" s="484">
        <f t="shared" si="3"/>
        <v>0</v>
      </c>
      <c r="M23" s="484">
        <f t="shared" si="3"/>
        <v>117.72</v>
      </c>
      <c r="N23" s="485">
        <f t="shared" si="4"/>
        <v>117.72</v>
      </c>
      <c r="O23" s="485">
        <f t="shared" si="5"/>
        <v>0</v>
      </c>
      <c r="P23" s="485">
        <f t="shared" si="5"/>
        <v>0</v>
      </c>
      <c r="Q23" s="485">
        <f t="shared" si="6"/>
        <v>0</v>
      </c>
      <c r="R23" s="484">
        <f t="shared" si="7"/>
        <v>0</v>
      </c>
      <c r="S23" s="485">
        <f t="shared" si="8"/>
        <v>5117.5600000000004</v>
      </c>
      <c r="T23" s="488">
        <f t="shared" si="9"/>
        <v>6112.71</v>
      </c>
      <c r="U23" s="487">
        <v>4709.59</v>
      </c>
      <c r="V23" s="486">
        <f t="shared" si="10"/>
        <v>9.3458199999999995E-3</v>
      </c>
      <c r="W23" s="484">
        <f t="shared" si="11"/>
        <v>262.83999999999997</v>
      </c>
      <c r="X23" s="484">
        <v>0</v>
      </c>
      <c r="Y23" s="484">
        <f t="shared" si="12"/>
        <v>157.69999999999999</v>
      </c>
      <c r="Z23" s="484">
        <f t="shared" si="12"/>
        <v>-9.5</v>
      </c>
      <c r="AA23" s="484">
        <f t="shared" si="12"/>
        <v>-3.52</v>
      </c>
      <c r="AB23" s="485">
        <f t="shared" si="13"/>
        <v>407.52</v>
      </c>
      <c r="AC23" s="485">
        <f t="shared" si="14"/>
        <v>-73.37</v>
      </c>
      <c r="AD23" s="498">
        <f t="shared" si="43"/>
        <v>-41.12</v>
      </c>
      <c r="AE23" s="498">
        <v>0</v>
      </c>
      <c r="AF23" s="485">
        <f t="shared" si="15"/>
        <v>-41.12</v>
      </c>
      <c r="AG23" s="484">
        <f t="shared" si="16"/>
        <v>-114.49</v>
      </c>
      <c r="AH23" s="381">
        <f t="shared" si="17"/>
        <v>5002.62</v>
      </c>
      <c r="AI23" s="483">
        <f t="shared" si="18"/>
        <v>10120.18</v>
      </c>
      <c r="AJ23" s="483">
        <f t="shared" si="19"/>
        <v>12006.32</v>
      </c>
      <c r="AK23" s="83"/>
      <c r="AL23" s="114">
        <f t="shared" si="20"/>
        <v>4999.84</v>
      </c>
      <c r="AM23" s="497">
        <f t="shared" si="21"/>
        <v>7425.81</v>
      </c>
      <c r="AN23" s="192">
        <f t="shared" si="22"/>
        <v>0</v>
      </c>
      <c r="AO23" s="114">
        <f t="shared" si="23"/>
        <v>-560.61</v>
      </c>
      <c r="AP23" s="137">
        <f t="shared" si="24"/>
        <v>0</v>
      </c>
      <c r="AQ23" s="137">
        <f t="shared" si="25"/>
        <v>117.72</v>
      </c>
      <c r="AR23" s="84">
        <f t="shared" si="26"/>
        <v>117.72</v>
      </c>
      <c r="AS23" s="84">
        <f t="shared" si="27"/>
        <v>0</v>
      </c>
      <c r="AT23" s="84">
        <f t="shared" si="28"/>
        <v>0</v>
      </c>
      <c r="AU23" s="84">
        <f t="shared" si="29"/>
        <v>0</v>
      </c>
      <c r="AV23" s="84">
        <f t="shared" si="30"/>
        <v>0</v>
      </c>
      <c r="AW23" s="487">
        <v>4709.59</v>
      </c>
      <c r="AX23" s="137">
        <f t="shared" si="31"/>
        <v>262.83999999999997</v>
      </c>
      <c r="AY23" s="137">
        <f t="shared" si="32"/>
        <v>0</v>
      </c>
      <c r="AZ23" s="137">
        <f t="shared" si="33"/>
        <v>157.69999999999999</v>
      </c>
      <c r="BA23" s="137">
        <f t="shared" si="34"/>
        <v>-9.5</v>
      </c>
      <c r="BB23" s="137">
        <f t="shared" si="35"/>
        <v>-3.52</v>
      </c>
      <c r="BC23" s="84">
        <f t="shared" si="36"/>
        <v>407.52</v>
      </c>
      <c r="BD23" s="84">
        <f t="shared" si="37"/>
        <v>-73.37</v>
      </c>
      <c r="BE23" s="84">
        <f t="shared" si="38"/>
        <v>-41.12</v>
      </c>
      <c r="BF23" s="116">
        <f t="shared" si="39"/>
        <v>-114.49</v>
      </c>
      <c r="BG23" s="496">
        <f t="shared" si="40"/>
        <v>6982.92</v>
      </c>
      <c r="BH23" s="496">
        <f t="shared" si="41"/>
        <v>5002.62</v>
      </c>
      <c r="BI23" s="496">
        <f t="shared" si="42"/>
        <v>11985.54</v>
      </c>
    </row>
    <row r="24" spans="1:62" s="480" customFormat="1" ht="16.149999999999999" customHeight="1">
      <c r="A24" s="495" t="s">
        <v>195</v>
      </c>
      <c r="B24" s="494" t="s">
        <v>226</v>
      </c>
      <c r="C24" s="493" t="s">
        <v>62</v>
      </c>
      <c r="D24" s="385" t="s">
        <v>12</v>
      </c>
      <c r="E24" s="314">
        <v>8767</v>
      </c>
      <c r="F24" s="500">
        <v>10</v>
      </c>
      <c r="G24" s="491">
        <v>2999.94</v>
      </c>
      <c r="H24" s="485">
        <v>0</v>
      </c>
      <c r="I24" s="490">
        <f t="shared" si="0"/>
        <v>2999.94</v>
      </c>
      <c r="J24" s="489">
        <f t="shared" si="1"/>
        <v>5.6075600000000001E-3</v>
      </c>
      <c r="K24" s="484">
        <f t="shared" si="2"/>
        <v>-336.37</v>
      </c>
      <c r="L24" s="484">
        <f t="shared" si="3"/>
        <v>0</v>
      </c>
      <c r="M24" s="484">
        <f t="shared" si="3"/>
        <v>70.63</v>
      </c>
      <c r="N24" s="485">
        <f t="shared" si="4"/>
        <v>70.63</v>
      </c>
      <c r="O24" s="485">
        <f t="shared" si="5"/>
        <v>0</v>
      </c>
      <c r="P24" s="485">
        <f t="shared" si="5"/>
        <v>0</v>
      </c>
      <c r="Q24" s="485">
        <f t="shared" si="6"/>
        <v>0</v>
      </c>
      <c r="R24" s="484">
        <f t="shared" si="7"/>
        <v>0</v>
      </c>
      <c r="S24" s="485">
        <f t="shared" si="8"/>
        <v>3070.57</v>
      </c>
      <c r="T24" s="488">
        <f t="shared" si="9"/>
        <v>3667.67</v>
      </c>
      <c r="U24" s="487">
        <v>2634.47</v>
      </c>
      <c r="V24" s="486">
        <f t="shared" si="10"/>
        <v>5.6075600000000001E-3</v>
      </c>
      <c r="W24" s="484">
        <f t="shared" si="11"/>
        <v>157.71</v>
      </c>
      <c r="X24" s="484">
        <v>0</v>
      </c>
      <c r="Y24" s="484">
        <f t="shared" si="12"/>
        <v>94.62</v>
      </c>
      <c r="Z24" s="484">
        <f t="shared" si="12"/>
        <v>-5.7</v>
      </c>
      <c r="AA24" s="484">
        <f t="shared" si="12"/>
        <v>-2.11</v>
      </c>
      <c r="AB24" s="485">
        <f t="shared" si="13"/>
        <v>244.52</v>
      </c>
      <c r="AC24" s="485">
        <f t="shared" si="14"/>
        <v>-44.02</v>
      </c>
      <c r="AD24" s="498">
        <f t="shared" si="43"/>
        <v>-41.12</v>
      </c>
      <c r="AE24" s="498">
        <v>0</v>
      </c>
      <c r="AF24" s="485">
        <f t="shared" si="15"/>
        <v>-41.12</v>
      </c>
      <c r="AG24" s="484">
        <f t="shared" si="16"/>
        <v>-85.14</v>
      </c>
      <c r="AH24" s="381">
        <f t="shared" si="17"/>
        <v>2793.85</v>
      </c>
      <c r="AI24" s="483">
        <f t="shared" si="18"/>
        <v>5864.42</v>
      </c>
      <c r="AJ24" s="483">
        <f t="shared" si="19"/>
        <v>6957.4</v>
      </c>
      <c r="AK24" s="83"/>
      <c r="AL24" s="114">
        <f t="shared" si="20"/>
        <v>2999.94</v>
      </c>
      <c r="AM24" s="497">
        <f t="shared" si="21"/>
        <v>4455.54</v>
      </c>
      <c r="AN24" s="192">
        <f t="shared" si="22"/>
        <v>0</v>
      </c>
      <c r="AO24" s="114">
        <f t="shared" si="23"/>
        <v>-336.37</v>
      </c>
      <c r="AP24" s="137">
        <f t="shared" si="24"/>
        <v>0</v>
      </c>
      <c r="AQ24" s="137">
        <f t="shared" si="25"/>
        <v>70.63</v>
      </c>
      <c r="AR24" s="84">
        <f t="shared" si="26"/>
        <v>70.63</v>
      </c>
      <c r="AS24" s="84">
        <f t="shared" si="27"/>
        <v>0</v>
      </c>
      <c r="AT24" s="84">
        <f t="shared" si="28"/>
        <v>0</v>
      </c>
      <c r="AU24" s="84">
        <f t="shared" si="29"/>
        <v>0</v>
      </c>
      <c r="AV24" s="84">
        <f t="shared" si="30"/>
        <v>0</v>
      </c>
      <c r="AW24" s="487">
        <v>2634.47</v>
      </c>
      <c r="AX24" s="137">
        <f t="shared" si="31"/>
        <v>157.71</v>
      </c>
      <c r="AY24" s="137">
        <f t="shared" si="32"/>
        <v>0</v>
      </c>
      <c r="AZ24" s="137">
        <f t="shared" si="33"/>
        <v>94.62</v>
      </c>
      <c r="BA24" s="137">
        <f t="shared" si="34"/>
        <v>-5.7</v>
      </c>
      <c r="BB24" s="137">
        <f t="shared" si="35"/>
        <v>-2.11</v>
      </c>
      <c r="BC24" s="84">
        <f t="shared" si="36"/>
        <v>244.52</v>
      </c>
      <c r="BD24" s="84">
        <f t="shared" si="37"/>
        <v>-44.02</v>
      </c>
      <c r="BE24" s="84">
        <f t="shared" si="38"/>
        <v>-41.12</v>
      </c>
      <c r="BF24" s="116">
        <f t="shared" si="39"/>
        <v>-85.14</v>
      </c>
      <c r="BG24" s="496">
        <f t="shared" si="40"/>
        <v>4189.8</v>
      </c>
      <c r="BH24" s="496">
        <f t="shared" si="41"/>
        <v>2793.85</v>
      </c>
      <c r="BI24" s="496">
        <f t="shared" si="42"/>
        <v>6983.65</v>
      </c>
    </row>
    <row r="25" spans="1:62" s="480" customFormat="1" ht="16.149999999999999" customHeight="1">
      <c r="A25" s="495" t="s">
        <v>195</v>
      </c>
      <c r="B25" s="494" t="s">
        <v>227</v>
      </c>
      <c r="C25" s="493" t="s">
        <v>62</v>
      </c>
      <c r="D25" s="385" t="s">
        <v>12</v>
      </c>
      <c r="E25" s="314">
        <v>8767</v>
      </c>
      <c r="F25" s="500">
        <v>10</v>
      </c>
      <c r="G25" s="491">
        <v>1999.91</v>
      </c>
      <c r="H25" s="485">
        <v>0</v>
      </c>
      <c r="I25" s="490">
        <f t="shared" si="0"/>
        <v>1999.91</v>
      </c>
      <c r="J25" s="489">
        <f t="shared" si="1"/>
        <v>3.7382800000000001E-3</v>
      </c>
      <c r="K25" s="484">
        <f t="shared" si="2"/>
        <v>-224.24</v>
      </c>
      <c r="L25" s="484">
        <f t="shared" si="3"/>
        <v>0</v>
      </c>
      <c r="M25" s="484">
        <f t="shared" si="3"/>
        <v>47.09</v>
      </c>
      <c r="N25" s="485">
        <f t="shared" si="4"/>
        <v>47.09</v>
      </c>
      <c r="O25" s="485">
        <f t="shared" si="5"/>
        <v>0</v>
      </c>
      <c r="P25" s="485">
        <f t="shared" si="5"/>
        <v>0</v>
      </c>
      <c r="Q25" s="485">
        <f t="shared" si="6"/>
        <v>0</v>
      </c>
      <c r="R25" s="484">
        <f t="shared" si="7"/>
        <v>0</v>
      </c>
      <c r="S25" s="485">
        <f t="shared" si="8"/>
        <v>2047</v>
      </c>
      <c r="T25" s="488">
        <f t="shared" si="9"/>
        <v>2445.06</v>
      </c>
      <c r="U25" s="487">
        <v>1596.91</v>
      </c>
      <c r="V25" s="486">
        <f t="shared" si="10"/>
        <v>3.7382800000000001E-3</v>
      </c>
      <c r="W25" s="484">
        <f t="shared" si="11"/>
        <v>105.14</v>
      </c>
      <c r="X25" s="484">
        <v>0</v>
      </c>
      <c r="Y25" s="484">
        <f t="shared" si="12"/>
        <v>63.08</v>
      </c>
      <c r="Z25" s="484">
        <f t="shared" si="12"/>
        <v>-3.8</v>
      </c>
      <c r="AA25" s="484">
        <f t="shared" si="12"/>
        <v>-1.41</v>
      </c>
      <c r="AB25" s="485">
        <f t="shared" si="13"/>
        <v>163.01</v>
      </c>
      <c r="AC25" s="485">
        <f t="shared" si="14"/>
        <v>-29.35</v>
      </c>
      <c r="AD25" s="498">
        <f t="shared" si="43"/>
        <v>-41.12</v>
      </c>
      <c r="AE25" s="498">
        <v>0</v>
      </c>
      <c r="AF25" s="485">
        <f t="shared" si="15"/>
        <v>-41.12</v>
      </c>
      <c r="AG25" s="484">
        <f t="shared" si="16"/>
        <v>-70.47</v>
      </c>
      <c r="AH25" s="381">
        <f t="shared" si="17"/>
        <v>1689.45</v>
      </c>
      <c r="AI25" s="483">
        <f t="shared" si="18"/>
        <v>3736.45</v>
      </c>
      <c r="AJ25" s="483">
        <f t="shared" si="19"/>
        <v>4432.83</v>
      </c>
      <c r="AK25" s="83"/>
      <c r="AL25" s="114">
        <f t="shared" si="20"/>
        <v>1999.91</v>
      </c>
      <c r="AM25" s="497">
        <f t="shared" si="21"/>
        <v>2970.29</v>
      </c>
      <c r="AN25" s="192">
        <f t="shared" si="22"/>
        <v>0</v>
      </c>
      <c r="AO25" s="114">
        <f t="shared" si="23"/>
        <v>-224.24</v>
      </c>
      <c r="AP25" s="137">
        <f t="shared" si="24"/>
        <v>0</v>
      </c>
      <c r="AQ25" s="137">
        <f t="shared" si="25"/>
        <v>47.09</v>
      </c>
      <c r="AR25" s="84">
        <f t="shared" si="26"/>
        <v>47.09</v>
      </c>
      <c r="AS25" s="84">
        <f t="shared" si="27"/>
        <v>0</v>
      </c>
      <c r="AT25" s="84">
        <f t="shared" si="28"/>
        <v>0</v>
      </c>
      <c r="AU25" s="84">
        <f t="shared" si="29"/>
        <v>0</v>
      </c>
      <c r="AV25" s="84">
        <f t="shared" si="30"/>
        <v>0</v>
      </c>
      <c r="AW25" s="487">
        <v>1596.91</v>
      </c>
      <c r="AX25" s="137">
        <f t="shared" si="31"/>
        <v>105.14</v>
      </c>
      <c r="AY25" s="137">
        <f t="shared" si="32"/>
        <v>0</v>
      </c>
      <c r="AZ25" s="137">
        <f t="shared" si="33"/>
        <v>63.08</v>
      </c>
      <c r="BA25" s="137">
        <f t="shared" si="34"/>
        <v>-3.8</v>
      </c>
      <c r="BB25" s="137">
        <f t="shared" si="35"/>
        <v>-1.41</v>
      </c>
      <c r="BC25" s="84">
        <f t="shared" si="36"/>
        <v>163.01</v>
      </c>
      <c r="BD25" s="84">
        <f t="shared" si="37"/>
        <v>-29.35</v>
      </c>
      <c r="BE25" s="84">
        <f t="shared" si="38"/>
        <v>-41.12</v>
      </c>
      <c r="BF25" s="116">
        <f t="shared" si="39"/>
        <v>-70.47</v>
      </c>
      <c r="BG25" s="496">
        <f t="shared" si="40"/>
        <v>2793.14</v>
      </c>
      <c r="BH25" s="496">
        <f t="shared" si="41"/>
        <v>1689.45</v>
      </c>
      <c r="BI25" s="496">
        <f t="shared" si="42"/>
        <v>4482.59</v>
      </c>
    </row>
    <row r="26" spans="1:62" s="480" customFormat="1" ht="16.149999999999999" customHeight="1">
      <c r="A26" s="495" t="s">
        <v>195</v>
      </c>
      <c r="B26" s="494" t="s">
        <v>459</v>
      </c>
      <c r="C26" s="493" t="s">
        <v>62</v>
      </c>
      <c r="D26" s="385" t="s">
        <v>12</v>
      </c>
      <c r="E26" s="158" t="s">
        <v>196</v>
      </c>
      <c r="F26" s="500">
        <v>10</v>
      </c>
      <c r="G26" s="491">
        <v>1999.91</v>
      </c>
      <c r="H26" s="485">
        <v>0</v>
      </c>
      <c r="I26" s="490">
        <f t="shared" si="0"/>
        <v>1999.91</v>
      </c>
      <c r="J26" s="489">
        <f t="shared" si="1"/>
        <v>3.7382800000000001E-3</v>
      </c>
      <c r="K26" s="484">
        <f t="shared" si="2"/>
        <v>-224.24</v>
      </c>
      <c r="L26" s="484">
        <f t="shared" si="3"/>
        <v>0</v>
      </c>
      <c r="M26" s="484">
        <f t="shared" si="3"/>
        <v>47.09</v>
      </c>
      <c r="N26" s="485">
        <f t="shared" si="4"/>
        <v>47.09</v>
      </c>
      <c r="O26" s="485">
        <f t="shared" si="5"/>
        <v>0</v>
      </c>
      <c r="P26" s="485">
        <f t="shared" si="5"/>
        <v>0</v>
      </c>
      <c r="Q26" s="485">
        <f t="shared" si="6"/>
        <v>0</v>
      </c>
      <c r="R26" s="484">
        <f t="shared" si="7"/>
        <v>0</v>
      </c>
      <c r="S26" s="485">
        <f t="shared" si="8"/>
        <v>2047</v>
      </c>
      <c r="T26" s="488">
        <f t="shared" si="9"/>
        <v>2445.06</v>
      </c>
      <c r="U26" s="487">
        <v>1596.91</v>
      </c>
      <c r="V26" s="486">
        <f t="shared" si="10"/>
        <v>3.7382800000000001E-3</v>
      </c>
      <c r="W26" s="484">
        <f t="shared" si="11"/>
        <v>105.14</v>
      </c>
      <c r="X26" s="484">
        <v>0</v>
      </c>
      <c r="Y26" s="484">
        <f t="shared" si="12"/>
        <v>63.08</v>
      </c>
      <c r="Z26" s="484">
        <f t="shared" si="12"/>
        <v>-3.8</v>
      </c>
      <c r="AA26" s="484">
        <f t="shared" si="12"/>
        <v>-1.41</v>
      </c>
      <c r="AB26" s="485">
        <f t="shared" si="13"/>
        <v>163.01</v>
      </c>
      <c r="AC26" s="485">
        <f t="shared" si="14"/>
        <v>-29.35</v>
      </c>
      <c r="AD26" s="498">
        <f t="shared" si="43"/>
        <v>-41.12</v>
      </c>
      <c r="AE26" s="498">
        <v>0</v>
      </c>
      <c r="AF26" s="485">
        <f t="shared" si="15"/>
        <v>-41.12</v>
      </c>
      <c r="AG26" s="484">
        <f t="shared" si="16"/>
        <v>-70.47</v>
      </c>
      <c r="AH26" s="381">
        <f t="shared" si="17"/>
        <v>1689.45</v>
      </c>
      <c r="AI26" s="483">
        <f t="shared" si="18"/>
        <v>3736.45</v>
      </c>
      <c r="AJ26" s="483">
        <f t="shared" si="19"/>
        <v>4432.83</v>
      </c>
      <c r="AK26" s="83"/>
      <c r="AL26" s="114">
        <f t="shared" si="20"/>
        <v>1999.91</v>
      </c>
      <c r="AM26" s="497">
        <f t="shared" si="21"/>
        <v>2970.29</v>
      </c>
      <c r="AN26" s="192">
        <f t="shared" si="22"/>
        <v>0</v>
      </c>
      <c r="AO26" s="114">
        <f t="shared" si="23"/>
        <v>-224.24</v>
      </c>
      <c r="AP26" s="137">
        <f t="shared" si="24"/>
        <v>0</v>
      </c>
      <c r="AQ26" s="137">
        <f t="shared" si="25"/>
        <v>47.09</v>
      </c>
      <c r="AR26" s="84">
        <f t="shared" si="26"/>
        <v>47.09</v>
      </c>
      <c r="AS26" s="84">
        <f t="shared" si="27"/>
        <v>0</v>
      </c>
      <c r="AT26" s="84">
        <f t="shared" si="28"/>
        <v>0</v>
      </c>
      <c r="AU26" s="84">
        <f t="shared" si="29"/>
        <v>0</v>
      </c>
      <c r="AV26" s="84">
        <f t="shared" si="30"/>
        <v>0</v>
      </c>
      <c r="AW26" s="487">
        <v>1596.91</v>
      </c>
      <c r="AX26" s="137">
        <f t="shared" si="31"/>
        <v>105.14</v>
      </c>
      <c r="AY26" s="137">
        <f t="shared" si="32"/>
        <v>0</v>
      </c>
      <c r="AZ26" s="137">
        <f t="shared" si="33"/>
        <v>63.08</v>
      </c>
      <c r="BA26" s="137">
        <f t="shared" si="34"/>
        <v>-3.8</v>
      </c>
      <c r="BB26" s="137">
        <f t="shared" si="35"/>
        <v>-1.41</v>
      </c>
      <c r="BC26" s="84">
        <f t="shared" si="36"/>
        <v>163.01</v>
      </c>
      <c r="BD26" s="84">
        <f t="shared" si="37"/>
        <v>-29.35</v>
      </c>
      <c r="BE26" s="84">
        <f t="shared" si="38"/>
        <v>-41.12</v>
      </c>
      <c r="BF26" s="116">
        <f t="shared" si="39"/>
        <v>-70.47</v>
      </c>
      <c r="BG26" s="496">
        <f t="shared" si="40"/>
        <v>2793.14</v>
      </c>
      <c r="BH26" s="496">
        <f t="shared" si="41"/>
        <v>1689.45</v>
      </c>
      <c r="BI26" s="496">
        <f t="shared" si="42"/>
        <v>4482.59</v>
      </c>
    </row>
    <row r="27" spans="1:62" s="480" customFormat="1" ht="16.149999999999999" customHeight="1">
      <c r="A27" s="495" t="s">
        <v>195</v>
      </c>
      <c r="B27" s="494" t="s">
        <v>230</v>
      </c>
      <c r="C27" s="493" t="s">
        <v>62</v>
      </c>
      <c r="D27" s="385" t="s">
        <v>12</v>
      </c>
      <c r="E27" s="314">
        <v>16803</v>
      </c>
      <c r="F27" s="500">
        <v>10</v>
      </c>
      <c r="G27" s="491">
        <v>3999.94</v>
      </c>
      <c r="H27" s="485">
        <v>0</v>
      </c>
      <c r="I27" s="490">
        <f t="shared" si="0"/>
        <v>3999.94</v>
      </c>
      <c r="J27" s="489">
        <f t="shared" si="1"/>
        <v>7.4767899999999997E-3</v>
      </c>
      <c r="K27" s="484">
        <f t="shared" si="2"/>
        <v>-448.5</v>
      </c>
      <c r="L27" s="484">
        <f t="shared" si="3"/>
        <v>0</v>
      </c>
      <c r="M27" s="484">
        <f t="shared" si="3"/>
        <v>94.18</v>
      </c>
      <c r="N27" s="485">
        <f t="shared" si="4"/>
        <v>94.18</v>
      </c>
      <c r="O27" s="485">
        <f t="shared" si="5"/>
        <v>0</v>
      </c>
      <c r="P27" s="485">
        <f t="shared" si="5"/>
        <v>0</v>
      </c>
      <c r="Q27" s="485">
        <f t="shared" si="6"/>
        <v>0</v>
      </c>
      <c r="R27" s="484">
        <f t="shared" si="7"/>
        <v>0</v>
      </c>
      <c r="S27" s="485">
        <f t="shared" si="8"/>
        <v>4094.12</v>
      </c>
      <c r="T27" s="488">
        <f t="shared" si="9"/>
        <v>4890.26</v>
      </c>
      <c r="U27" s="487">
        <v>3672.03</v>
      </c>
      <c r="V27" s="486">
        <f t="shared" si="10"/>
        <v>7.4767899999999997E-3</v>
      </c>
      <c r="W27" s="484">
        <f t="shared" si="11"/>
        <v>210.28</v>
      </c>
      <c r="X27" s="484">
        <v>0</v>
      </c>
      <c r="Y27" s="484">
        <f t="shared" si="12"/>
        <v>126.17</v>
      </c>
      <c r="Z27" s="484">
        <f t="shared" si="12"/>
        <v>-7.6</v>
      </c>
      <c r="AA27" s="484">
        <f t="shared" si="12"/>
        <v>-2.82</v>
      </c>
      <c r="AB27" s="485">
        <f t="shared" si="13"/>
        <v>326.02999999999997</v>
      </c>
      <c r="AC27" s="485">
        <f t="shared" si="14"/>
        <v>-58.7</v>
      </c>
      <c r="AD27" s="498">
        <f t="shared" si="43"/>
        <v>-41.12</v>
      </c>
      <c r="AE27" s="498">
        <v>0</v>
      </c>
      <c r="AF27" s="485">
        <f t="shared" si="15"/>
        <v>-41.12</v>
      </c>
      <c r="AG27" s="484">
        <f t="shared" si="16"/>
        <v>-99.82</v>
      </c>
      <c r="AH27" s="381">
        <f t="shared" si="17"/>
        <v>3898.24</v>
      </c>
      <c r="AI27" s="483">
        <f t="shared" si="18"/>
        <v>7992.36</v>
      </c>
      <c r="AJ27" s="483">
        <f t="shared" si="19"/>
        <v>9481.93</v>
      </c>
      <c r="AK27" s="83"/>
      <c r="AL27" s="114">
        <f t="shared" si="20"/>
        <v>3999.94</v>
      </c>
      <c r="AM27" s="497">
        <f t="shared" si="21"/>
        <v>5940.75</v>
      </c>
      <c r="AN27" s="192">
        <f t="shared" si="22"/>
        <v>0</v>
      </c>
      <c r="AO27" s="114">
        <f t="shared" si="23"/>
        <v>-448.5</v>
      </c>
      <c r="AP27" s="137">
        <f t="shared" si="24"/>
        <v>0</v>
      </c>
      <c r="AQ27" s="137">
        <f t="shared" si="25"/>
        <v>94.18</v>
      </c>
      <c r="AR27" s="84">
        <f t="shared" si="26"/>
        <v>94.18</v>
      </c>
      <c r="AS27" s="84">
        <f t="shared" si="27"/>
        <v>0</v>
      </c>
      <c r="AT27" s="84">
        <f t="shared" si="28"/>
        <v>0</v>
      </c>
      <c r="AU27" s="84">
        <f t="shared" si="29"/>
        <v>0</v>
      </c>
      <c r="AV27" s="84">
        <f t="shared" si="30"/>
        <v>0</v>
      </c>
      <c r="AW27" s="487">
        <v>3672.03</v>
      </c>
      <c r="AX27" s="137">
        <f t="shared" si="31"/>
        <v>210.28</v>
      </c>
      <c r="AY27" s="137">
        <f t="shared" si="32"/>
        <v>0</v>
      </c>
      <c r="AZ27" s="137">
        <f t="shared" si="33"/>
        <v>126.17</v>
      </c>
      <c r="BA27" s="137">
        <f t="shared" si="34"/>
        <v>-7.6</v>
      </c>
      <c r="BB27" s="137">
        <f t="shared" si="35"/>
        <v>-2.82</v>
      </c>
      <c r="BC27" s="84">
        <f t="shared" si="36"/>
        <v>326.02999999999997</v>
      </c>
      <c r="BD27" s="84">
        <f t="shared" si="37"/>
        <v>-58.7</v>
      </c>
      <c r="BE27" s="84">
        <f t="shared" si="38"/>
        <v>-41.12</v>
      </c>
      <c r="BF27" s="116">
        <f t="shared" si="39"/>
        <v>-99.82</v>
      </c>
      <c r="BG27" s="496">
        <f t="shared" si="40"/>
        <v>5586.43</v>
      </c>
      <c r="BH27" s="496">
        <f t="shared" si="41"/>
        <v>3898.24</v>
      </c>
      <c r="BI27" s="496">
        <f t="shared" si="42"/>
        <v>9484.67</v>
      </c>
    </row>
    <row r="28" spans="1:62" s="480" customFormat="1" ht="16.149999999999999" customHeight="1">
      <c r="A28" s="495" t="s">
        <v>195</v>
      </c>
      <c r="B28" s="494" t="s">
        <v>228</v>
      </c>
      <c r="C28" s="493" t="s">
        <v>62</v>
      </c>
      <c r="D28" s="385" t="s">
        <v>12</v>
      </c>
      <c r="E28" s="314">
        <v>4384</v>
      </c>
      <c r="F28" s="500">
        <v>10</v>
      </c>
      <c r="G28" s="491">
        <v>1999.91</v>
      </c>
      <c r="H28" s="485">
        <v>0</v>
      </c>
      <c r="I28" s="490">
        <f t="shared" si="0"/>
        <v>1999.91</v>
      </c>
      <c r="J28" s="489">
        <f t="shared" si="1"/>
        <v>3.7382800000000001E-3</v>
      </c>
      <c r="K28" s="484">
        <f t="shared" si="2"/>
        <v>-224.24</v>
      </c>
      <c r="L28" s="484">
        <f t="shared" si="3"/>
        <v>0</v>
      </c>
      <c r="M28" s="484">
        <f t="shared" si="3"/>
        <v>47.09</v>
      </c>
      <c r="N28" s="485">
        <f t="shared" si="4"/>
        <v>47.09</v>
      </c>
      <c r="O28" s="485">
        <f t="shared" si="5"/>
        <v>0</v>
      </c>
      <c r="P28" s="485">
        <f t="shared" si="5"/>
        <v>0</v>
      </c>
      <c r="Q28" s="485">
        <f t="shared" si="6"/>
        <v>0</v>
      </c>
      <c r="R28" s="484">
        <f t="shared" si="7"/>
        <v>0</v>
      </c>
      <c r="S28" s="485">
        <f t="shared" si="8"/>
        <v>2047</v>
      </c>
      <c r="T28" s="488">
        <f t="shared" si="9"/>
        <v>2445.06</v>
      </c>
      <c r="U28" s="487">
        <v>1596.91</v>
      </c>
      <c r="V28" s="486">
        <f t="shared" si="10"/>
        <v>3.7382800000000001E-3</v>
      </c>
      <c r="W28" s="484">
        <f t="shared" si="11"/>
        <v>105.14</v>
      </c>
      <c r="X28" s="484">
        <v>0</v>
      </c>
      <c r="Y28" s="484">
        <f t="shared" si="12"/>
        <v>63.08</v>
      </c>
      <c r="Z28" s="484">
        <f t="shared" si="12"/>
        <v>-3.8</v>
      </c>
      <c r="AA28" s="484">
        <f t="shared" si="12"/>
        <v>-1.41</v>
      </c>
      <c r="AB28" s="485">
        <f t="shared" si="13"/>
        <v>163.01</v>
      </c>
      <c r="AC28" s="485">
        <f t="shared" si="14"/>
        <v>-29.35</v>
      </c>
      <c r="AD28" s="498">
        <f t="shared" si="43"/>
        <v>-41.12</v>
      </c>
      <c r="AE28" s="498">
        <v>0</v>
      </c>
      <c r="AF28" s="485">
        <f t="shared" si="15"/>
        <v>-41.12</v>
      </c>
      <c r="AG28" s="484">
        <f t="shared" si="16"/>
        <v>-70.47</v>
      </c>
      <c r="AH28" s="381">
        <f t="shared" si="17"/>
        <v>1689.45</v>
      </c>
      <c r="AI28" s="483">
        <f t="shared" si="18"/>
        <v>3736.45</v>
      </c>
      <c r="AJ28" s="483">
        <f t="shared" si="19"/>
        <v>4432.83</v>
      </c>
      <c r="AK28" s="83"/>
      <c r="AL28" s="114">
        <f t="shared" si="20"/>
        <v>1999.91</v>
      </c>
      <c r="AM28" s="497">
        <f t="shared" si="21"/>
        <v>2970.29</v>
      </c>
      <c r="AN28" s="192">
        <f t="shared" si="22"/>
        <v>0</v>
      </c>
      <c r="AO28" s="114">
        <f t="shared" si="23"/>
        <v>-224.24</v>
      </c>
      <c r="AP28" s="137">
        <f t="shared" si="24"/>
        <v>0</v>
      </c>
      <c r="AQ28" s="137">
        <f t="shared" si="25"/>
        <v>47.09</v>
      </c>
      <c r="AR28" s="84">
        <f t="shared" si="26"/>
        <v>47.09</v>
      </c>
      <c r="AS28" s="84">
        <f t="shared" si="27"/>
        <v>0</v>
      </c>
      <c r="AT28" s="84">
        <f t="shared" si="28"/>
        <v>0</v>
      </c>
      <c r="AU28" s="84">
        <f t="shared" si="29"/>
        <v>0</v>
      </c>
      <c r="AV28" s="84">
        <f t="shared" si="30"/>
        <v>0</v>
      </c>
      <c r="AW28" s="487">
        <v>1596.91</v>
      </c>
      <c r="AX28" s="137">
        <f t="shared" si="31"/>
        <v>105.14</v>
      </c>
      <c r="AY28" s="137">
        <f t="shared" si="32"/>
        <v>0</v>
      </c>
      <c r="AZ28" s="137">
        <f t="shared" si="33"/>
        <v>63.08</v>
      </c>
      <c r="BA28" s="137">
        <f t="shared" si="34"/>
        <v>-3.8</v>
      </c>
      <c r="BB28" s="137">
        <f t="shared" si="35"/>
        <v>-1.41</v>
      </c>
      <c r="BC28" s="84">
        <f t="shared" si="36"/>
        <v>163.01</v>
      </c>
      <c r="BD28" s="84">
        <f t="shared" si="37"/>
        <v>-29.35</v>
      </c>
      <c r="BE28" s="84">
        <f t="shared" si="38"/>
        <v>-41.12</v>
      </c>
      <c r="BF28" s="116">
        <f t="shared" si="39"/>
        <v>-70.47</v>
      </c>
      <c r="BG28" s="496">
        <f t="shared" si="40"/>
        <v>2793.14</v>
      </c>
      <c r="BH28" s="496">
        <f t="shared" si="41"/>
        <v>1689.45</v>
      </c>
      <c r="BI28" s="496">
        <f t="shared" si="42"/>
        <v>4482.59</v>
      </c>
    </row>
    <row r="29" spans="1:62" s="480" customFormat="1" ht="16.149999999999999" customHeight="1">
      <c r="A29" s="495" t="s">
        <v>195</v>
      </c>
      <c r="B29" s="494" t="s">
        <v>233</v>
      </c>
      <c r="C29" s="493" t="s">
        <v>62</v>
      </c>
      <c r="D29" s="385" t="s">
        <v>12</v>
      </c>
      <c r="E29" s="314">
        <v>4384</v>
      </c>
      <c r="F29" s="500">
        <v>10</v>
      </c>
      <c r="G29" s="491">
        <v>999.9</v>
      </c>
      <c r="H29" s="485">
        <v>0</v>
      </c>
      <c r="I29" s="490">
        <f t="shared" si="0"/>
        <v>999.9</v>
      </c>
      <c r="J29" s="489">
        <f t="shared" si="1"/>
        <v>1.86904E-3</v>
      </c>
      <c r="K29" s="484">
        <f t="shared" si="2"/>
        <v>-112.12</v>
      </c>
      <c r="L29" s="484">
        <f t="shared" si="3"/>
        <v>0</v>
      </c>
      <c r="M29" s="484">
        <f t="shared" si="3"/>
        <v>23.54</v>
      </c>
      <c r="N29" s="485">
        <f t="shared" si="4"/>
        <v>23.54</v>
      </c>
      <c r="O29" s="485">
        <f t="shared" si="5"/>
        <v>0</v>
      </c>
      <c r="P29" s="485">
        <f t="shared" si="5"/>
        <v>0</v>
      </c>
      <c r="Q29" s="485">
        <f t="shared" si="6"/>
        <v>0</v>
      </c>
      <c r="R29" s="484">
        <f t="shared" si="7"/>
        <v>0</v>
      </c>
      <c r="S29" s="485">
        <f t="shared" si="8"/>
        <v>1023.44</v>
      </c>
      <c r="T29" s="488">
        <f t="shared" si="9"/>
        <v>1222.46</v>
      </c>
      <c r="U29" s="487">
        <v>559.32000000000005</v>
      </c>
      <c r="V29" s="486">
        <f t="shared" si="10"/>
        <v>1.86904E-3</v>
      </c>
      <c r="W29" s="484">
        <f t="shared" si="11"/>
        <v>52.56</v>
      </c>
      <c r="X29" s="484">
        <v>0</v>
      </c>
      <c r="Y29" s="484">
        <f t="shared" si="12"/>
        <v>31.54</v>
      </c>
      <c r="Z29" s="484">
        <f t="shared" si="12"/>
        <v>-1.9</v>
      </c>
      <c r="AA29" s="484">
        <f t="shared" si="12"/>
        <v>-0.7</v>
      </c>
      <c r="AB29" s="485">
        <f t="shared" si="13"/>
        <v>81.5</v>
      </c>
      <c r="AC29" s="485">
        <f t="shared" si="14"/>
        <v>-14.67</v>
      </c>
      <c r="AD29" s="498">
        <f t="shared" si="43"/>
        <v>-41.12</v>
      </c>
      <c r="AE29" s="498">
        <v>0</v>
      </c>
      <c r="AF29" s="485">
        <f t="shared" si="15"/>
        <v>-41.12</v>
      </c>
      <c r="AG29" s="484">
        <f t="shared" si="16"/>
        <v>-55.79</v>
      </c>
      <c r="AH29" s="381">
        <f t="shared" si="17"/>
        <v>585.03</v>
      </c>
      <c r="AI29" s="483">
        <f t="shared" si="18"/>
        <v>1608.47</v>
      </c>
      <c r="AJ29" s="483">
        <f t="shared" si="19"/>
        <v>1908.25</v>
      </c>
      <c r="AK29" s="83"/>
      <c r="AL29" s="114">
        <f t="shared" si="20"/>
        <v>999.9</v>
      </c>
      <c r="AM29" s="497">
        <f t="shared" si="21"/>
        <v>1485.06</v>
      </c>
      <c r="AN29" s="192">
        <f t="shared" si="22"/>
        <v>0</v>
      </c>
      <c r="AO29" s="114">
        <f t="shared" si="23"/>
        <v>-112.12</v>
      </c>
      <c r="AP29" s="137">
        <f t="shared" si="24"/>
        <v>0</v>
      </c>
      <c r="AQ29" s="137">
        <f t="shared" si="25"/>
        <v>23.54</v>
      </c>
      <c r="AR29" s="84">
        <f t="shared" si="26"/>
        <v>23.54</v>
      </c>
      <c r="AS29" s="84">
        <f t="shared" si="27"/>
        <v>0</v>
      </c>
      <c r="AT29" s="84">
        <f t="shared" si="28"/>
        <v>0</v>
      </c>
      <c r="AU29" s="84">
        <f t="shared" si="29"/>
        <v>0</v>
      </c>
      <c r="AV29" s="84">
        <f t="shared" si="30"/>
        <v>0</v>
      </c>
      <c r="AW29" s="487">
        <v>559.32000000000005</v>
      </c>
      <c r="AX29" s="137">
        <f t="shared" si="31"/>
        <v>52.56</v>
      </c>
      <c r="AY29" s="137">
        <f t="shared" si="32"/>
        <v>0</v>
      </c>
      <c r="AZ29" s="137">
        <f t="shared" si="33"/>
        <v>31.54</v>
      </c>
      <c r="BA29" s="137">
        <f t="shared" si="34"/>
        <v>-1.9</v>
      </c>
      <c r="BB29" s="137">
        <f t="shared" si="35"/>
        <v>-0.7</v>
      </c>
      <c r="BC29" s="84">
        <f t="shared" si="36"/>
        <v>81.5</v>
      </c>
      <c r="BD29" s="84">
        <f t="shared" si="37"/>
        <v>-14.67</v>
      </c>
      <c r="BE29" s="84">
        <f t="shared" si="38"/>
        <v>-41.12</v>
      </c>
      <c r="BF29" s="116">
        <f t="shared" si="39"/>
        <v>-55.79</v>
      </c>
      <c r="BG29" s="496">
        <f t="shared" si="40"/>
        <v>1396.48</v>
      </c>
      <c r="BH29" s="496">
        <f t="shared" si="41"/>
        <v>585.03</v>
      </c>
      <c r="BI29" s="496">
        <f t="shared" si="42"/>
        <v>1981.51</v>
      </c>
    </row>
    <row r="30" spans="1:62" s="480" customFormat="1" ht="16.149999999999999" customHeight="1">
      <c r="A30" s="495" t="s">
        <v>195</v>
      </c>
      <c r="B30" s="494" t="s">
        <v>234</v>
      </c>
      <c r="C30" s="493" t="s">
        <v>62</v>
      </c>
      <c r="D30" s="385" t="s">
        <v>12</v>
      </c>
      <c r="E30" s="314">
        <v>17899</v>
      </c>
      <c r="F30" s="500">
        <v>10</v>
      </c>
      <c r="G30" s="491">
        <v>1999.91</v>
      </c>
      <c r="H30" s="485">
        <v>0</v>
      </c>
      <c r="I30" s="490">
        <f t="shared" si="0"/>
        <v>1999.91</v>
      </c>
      <c r="J30" s="489">
        <f t="shared" si="1"/>
        <v>3.7382800000000001E-3</v>
      </c>
      <c r="K30" s="484">
        <f t="shared" si="2"/>
        <v>-224.24</v>
      </c>
      <c r="L30" s="484">
        <f t="shared" si="3"/>
        <v>0</v>
      </c>
      <c r="M30" s="484">
        <f t="shared" si="3"/>
        <v>47.09</v>
      </c>
      <c r="N30" s="485">
        <f t="shared" si="4"/>
        <v>47.09</v>
      </c>
      <c r="O30" s="485">
        <f t="shared" si="5"/>
        <v>0</v>
      </c>
      <c r="P30" s="485">
        <f t="shared" si="5"/>
        <v>0</v>
      </c>
      <c r="Q30" s="485">
        <f t="shared" si="6"/>
        <v>0</v>
      </c>
      <c r="R30" s="484">
        <f t="shared" si="7"/>
        <v>0</v>
      </c>
      <c r="S30" s="485">
        <f t="shared" si="8"/>
        <v>2047</v>
      </c>
      <c r="T30" s="488">
        <f t="shared" si="9"/>
        <v>2445.06</v>
      </c>
      <c r="U30" s="487">
        <v>1596.91</v>
      </c>
      <c r="V30" s="486">
        <f t="shared" si="10"/>
        <v>3.7382800000000001E-3</v>
      </c>
      <c r="W30" s="484">
        <f t="shared" si="11"/>
        <v>105.14</v>
      </c>
      <c r="X30" s="484">
        <v>0</v>
      </c>
      <c r="Y30" s="484">
        <f t="shared" si="12"/>
        <v>63.08</v>
      </c>
      <c r="Z30" s="484">
        <f t="shared" si="12"/>
        <v>-3.8</v>
      </c>
      <c r="AA30" s="484">
        <f t="shared" si="12"/>
        <v>-1.41</v>
      </c>
      <c r="AB30" s="485">
        <f t="shared" si="13"/>
        <v>163.01</v>
      </c>
      <c r="AC30" s="485">
        <f t="shared" si="14"/>
        <v>-29.35</v>
      </c>
      <c r="AD30" s="498">
        <f t="shared" si="43"/>
        <v>-41.12</v>
      </c>
      <c r="AE30" s="498">
        <v>0</v>
      </c>
      <c r="AF30" s="485">
        <f t="shared" si="15"/>
        <v>-41.12</v>
      </c>
      <c r="AG30" s="484">
        <f t="shared" si="16"/>
        <v>-70.47</v>
      </c>
      <c r="AH30" s="381">
        <f t="shared" si="17"/>
        <v>1689.45</v>
      </c>
      <c r="AI30" s="483">
        <f t="shared" si="18"/>
        <v>3736.45</v>
      </c>
      <c r="AJ30" s="483">
        <f t="shared" si="19"/>
        <v>4432.83</v>
      </c>
      <c r="AK30" s="83"/>
      <c r="AL30" s="114">
        <f t="shared" si="20"/>
        <v>1999.91</v>
      </c>
      <c r="AM30" s="497">
        <f t="shared" si="21"/>
        <v>2970.29</v>
      </c>
      <c r="AN30" s="192">
        <f t="shared" si="22"/>
        <v>0</v>
      </c>
      <c r="AO30" s="114">
        <f t="shared" si="23"/>
        <v>-224.24</v>
      </c>
      <c r="AP30" s="137">
        <f t="shared" si="24"/>
        <v>0</v>
      </c>
      <c r="AQ30" s="137">
        <f t="shared" si="25"/>
        <v>47.09</v>
      </c>
      <c r="AR30" s="84">
        <f t="shared" si="26"/>
        <v>47.09</v>
      </c>
      <c r="AS30" s="84">
        <f t="shared" si="27"/>
        <v>0</v>
      </c>
      <c r="AT30" s="84">
        <f t="shared" si="28"/>
        <v>0</v>
      </c>
      <c r="AU30" s="84">
        <f t="shared" si="29"/>
        <v>0</v>
      </c>
      <c r="AV30" s="84">
        <f t="shared" si="30"/>
        <v>0</v>
      </c>
      <c r="AW30" s="487">
        <v>1596.91</v>
      </c>
      <c r="AX30" s="137">
        <f t="shared" si="31"/>
        <v>105.14</v>
      </c>
      <c r="AY30" s="137">
        <f t="shared" si="32"/>
        <v>0</v>
      </c>
      <c r="AZ30" s="137">
        <f t="shared" si="33"/>
        <v>63.08</v>
      </c>
      <c r="BA30" s="137">
        <f t="shared" si="34"/>
        <v>-3.8</v>
      </c>
      <c r="BB30" s="137">
        <f t="shared" si="35"/>
        <v>-1.41</v>
      </c>
      <c r="BC30" s="84">
        <f t="shared" si="36"/>
        <v>163.01</v>
      </c>
      <c r="BD30" s="84">
        <f t="shared" si="37"/>
        <v>-29.35</v>
      </c>
      <c r="BE30" s="84">
        <f t="shared" si="38"/>
        <v>-41.12</v>
      </c>
      <c r="BF30" s="116">
        <f t="shared" si="39"/>
        <v>-70.47</v>
      </c>
      <c r="BG30" s="496">
        <f t="shared" si="40"/>
        <v>2793.14</v>
      </c>
      <c r="BH30" s="496">
        <f t="shared" si="41"/>
        <v>1689.45</v>
      </c>
      <c r="BI30" s="496">
        <f t="shared" si="42"/>
        <v>4482.59</v>
      </c>
    </row>
    <row r="31" spans="1:62" s="480" customFormat="1" ht="16.149999999999999" customHeight="1">
      <c r="A31" s="495" t="s">
        <v>195</v>
      </c>
      <c r="B31" s="494" t="s">
        <v>247</v>
      </c>
      <c r="C31" s="493" t="s">
        <v>62</v>
      </c>
      <c r="D31" s="385" t="s">
        <v>12</v>
      </c>
      <c r="E31" s="314">
        <v>16072</v>
      </c>
      <c r="F31" s="500">
        <v>10</v>
      </c>
      <c r="G31" s="491">
        <v>1999.91</v>
      </c>
      <c r="H31" s="485">
        <v>0</v>
      </c>
      <c r="I31" s="490">
        <f t="shared" si="0"/>
        <v>1999.91</v>
      </c>
      <c r="J31" s="489">
        <f t="shared" si="1"/>
        <v>3.7382800000000001E-3</v>
      </c>
      <c r="K31" s="484">
        <f t="shared" si="2"/>
        <v>-224.24</v>
      </c>
      <c r="L31" s="484">
        <f t="shared" si="3"/>
        <v>0</v>
      </c>
      <c r="M31" s="484">
        <f t="shared" si="3"/>
        <v>47.09</v>
      </c>
      <c r="N31" s="485">
        <f t="shared" si="4"/>
        <v>47.09</v>
      </c>
      <c r="O31" s="485">
        <f t="shared" si="5"/>
        <v>0</v>
      </c>
      <c r="P31" s="485">
        <f t="shared" si="5"/>
        <v>0</v>
      </c>
      <c r="Q31" s="485">
        <f t="shared" si="6"/>
        <v>0</v>
      </c>
      <c r="R31" s="484">
        <f t="shared" si="7"/>
        <v>0</v>
      </c>
      <c r="S31" s="485">
        <f t="shared" si="8"/>
        <v>2047</v>
      </c>
      <c r="T31" s="488">
        <f t="shared" si="9"/>
        <v>2445.06</v>
      </c>
      <c r="U31" s="487">
        <v>1596.91</v>
      </c>
      <c r="V31" s="486">
        <f t="shared" si="10"/>
        <v>3.7382800000000001E-3</v>
      </c>
      <c r="W31" s="484">
        <f t="shared" si="11"/>
        <v>105.14</v>
      </c>
      <c r="X31" s="484">
        <v>0</v>
      </c>
      <c r="Y31" s="484">
        <f t="shared" si="12"/>
        <v>63.08</v>
      </c>
      <c r="Z31" s="484">
        <f t="shared" si="12"/>
        <v>-3.8</v>
      </c>
      <c r="AA31" s="484">
        <f t="shared" si="12"/>
        <v>-1.41</v>
      </c>
      <c r="AB31" s="485">
        <f t="shared" si="13"/>
        <v>163.01</v>
      </c>
      <c r="AC31" s="485">
        <f t="shared" si="14"/>
        <v>-29.35</v>
      </c>
      <c r="AD31" s="498">
        <f t="shared" si="43"/>
        <v>-41.12</v>
      </c>
      <c r="AE31" s="498">
        <v>0</v>
      </c>
      <c r="AF31" s="485">
        <f t="shared" si="15"/>
        <v>-41.12</v>
      </c>
      <c r="AG31" s="484">
        <f t="shared" si="16"/>
        <v>-70.47</v>
      </c>
      <c r="AH31" s="381">
        <f t="shared" si="17"/>
        <v>1689.45</v>
      </c>
      <c r="AI31" s="483">
        <f t="shared" si="18"/>
        <v>3736.45</v>
      </c>
      <c r="AJ31" s="483">
        <f t="shared" si="19"/>
        <v>4432.83</v>
      </c>
      <c r="AK31" s="83"/>
      <c r="AL31" s="114">
        <f t="shared" si="20"/>
        <v>1999.91</v>
      </c>
      <c r="AM31" s="497">
        <f t="shared" si="21"/>
        <v>2970.29</v>
      </c>
      <c r="AN31" s="192">
        <f t="shared" si="22"/>
        <v>0</v>
      </c>
      <c r="AO31" s="114">
        <f t="shared" si="23"/>
        <v>-224.24</v>
      </c>
      <c r="AP31" s="137">
        <f t="shared" si="24"/>
        <v>0</v>
      </c>
      <c r="AQ31" s="137">
        <f t="shared" si="25"/>
        <v>47.09</v>
      </c>
      <c r="AR31" s="84">
        <f t="shared" si="26"/>
        <v>47.09</v>
      </c>
      <c r="AS31" s="84">
        <f t="shared" si="27"/>
        <v>0</v>
      </c>
      <c r="AT31" s="84">
        <f t="shared" si="28"/>
        <v>0</v>
      </c>
      <c r="AU31" s="84">
        <f t="shared" si="29"/>
        <v>0</v>
      </c>
      <c r="AV31" s="84">
        <f t="shared" si="30"/>
        <v>0</v>
      </c>
      <c r="AW31" s="487">
        <v>1596.91</v>
      </c>
      <c r="AX31" s="137">
        <f t="shared" si="31"/>
        <v>105.14</v>
      </c>
      <c r="AY31" s="137">
        <f t="shared" si="32"/>
        <v>0</v>
      </c>
      <c r="AZ31" s="137">
        <f t="shared" si="33"/>
        <v>63.08</v>
      </c>
      <c r="BA31" s="137">
        <f t="shared" si="34"/>
        <v>-3.8</v>
      </c>
      <c r="BB31" s="137">
        <f t="shared" si="35"/>
        <v>-1.41</v>
      </c>
      <c r="BC31" s="84">
        <f t="shared" si="36"/>
        <v>163.01</v>
      </c>
      <c r="BD31" s="84">
        <f t="shared" si="37"/>
        <v>-29.35</v>
      </c>
      <c r="BE31" s="84">
        <f t="shared" si="38"/>
        <v>-41.12</v>
      </c>
      <c r="BF31" s="116">
        <f t="shared" si="39"/>
        <v>-70.47</v>
      </c>
      <c r="BG31" s="496">
        <f t="shared" si="40"/>
        <v>2793.14</v>
      </c>
      <c r="BH31" s="496">
        <f t="shared" si="41"/>
        <v>1689.45</v>
      </c>
      <c r="BI31" s="496">
        <f t="shared" si="42"/>
        <v>4482.59</v>
      </c>
    </row>
    <row r="32" spans="1:62" s="480" customFormat="1" ht="16.149999999999999" customHeight="1">
      <c r="A32" s="495" t="s">
        <v>195</v>
      </c>
      <c r="B32" s="494" t="s">
        <v>381</v>
      </c>
      <c r="C32" s="615" t="s">
        <v>63</v>
      </c>
      <c r="D32" s="385" t="s">
        <v>12</v>
      </c>
      <c r="E32" s="314">
        <v>14611</v>
      </c>
      <c r="F32" s="499"/>
      <c r="G32" s="491">
        <v>2999.89</v>
      </c>
      <c r="H32" s="485">
        <v>0</v>
      </c>
      <c r="I32" s="490">
        <f t="shared" si="0"/>
        <v>2999.89</v>
      </c>
      <c r="J32" s="489">
        <f t="shared" si="1"/>
        <v>5.6074699999999998E-3</v>
      </c>
      <c r="K32" s="484">
        <f t="shared" si="2"/>
        <v>-336.37</v>
      </c>
      <c r="L32" s="484">
        <f t="shared" ref="L32:M51" si="44">$J32*L$184</f>
        <v>0</v>
      </c>
      <c r="M32" s="484">
        <f t="shared" si="44"/>
        <v>70.63</v>
      </c>
      <c r="N32" s="485">
        <f t="shared" si="4"/>
        <v>70.63</v>
      </c>
      <c r="O32" s="485">
        <f t="shared" ref="O32:P51" si="45">$J32*O$184</f>
        <v>0</v>
      </c>
      <c r="P32" s="485">
        <f t="shared" si="45"/>
        <v>0</v>
      </c>
      <c r="Q32" s="485">
        <f t="shared" si="6"/>
        <v>0</v>
      </c>
      <c r="R32" s="484">
        <f t="shared" si="7"/>
        <v>0</v>
      </c>
      <c r="S32" s="485">
        <f t="shared" si="8"/>
        <v>3070.52</v>
      </c>
      <c r="T32" s="488">
        <f t="shared" si="9"/>
        <v>3667.61</v>
      </c>
      <c r="U32" s="487">
        <v>3112.63</v>
      </c>
      <c r="V32" s="486">
        <f t="shared" si="10"/>
        <v>5.6074699999999998E-3</v>
      </c>
      <c r="W32" s="484">
        <f t="shared" si="11"/>
        <v>157.69999999999999</v>
      </c>
      <c r="X32" s="484">
        <v>0</v>
      </c>
      <c r="Y32" s="484">
        <f t="shared" ref="Y32:AA51" si="46">$V32*Y$184</f>
        <v>94.62</v>
      </c>
      <c r="Z32" s="484">
        <f t="shared" si="46"/>
        <v>-5.7</v>
      </c>
      <c r="AA32" s="484">
        <f t="shared" si="46"/>
        <v>-2.11</v>
      </c>
      <c r="AB32" s="485">
        <f t="shared" si="13"/>
        <v>244.51</v>
      </c>
      <c r="AC32" s="485">
        <f t="shared" si="14"/>
        <v>-44.02</v>
      </c>
      <c r="AD32" s="498">
        <v>0</v>
      </c>
      <c r="AE32" s="498">
        <v>0</v>
      </c>
      <c r="AF32" s="485">
        <f t="shared" si="15"/>
        <v>0</v>
      </c>
      <c r="AG32" s="484">
        <f t="shared" si="16"/>
        <v>-44.02</v>
      </c>
      <c r="AH32" s="381">
        <f t="shared" si="17"/>
        <v>3313.12</v>
      </c>
      <c r="AI32" s="483">
        <f t="shared" si="18"/>
        <v>6383.64</v>
      </c>
      <c r="AJ32" s="483">
        <f t="shared" si="19"/>
        <v>7573.39</v>
      </c>
      <c r="AK32" s="83"/>
      <c r="AL32" s="114">
        <f t="shared" si="20"/>
        <v>2999.89</v>
      </c>
      <c r="AM32" s="497">
        <f t="shared" si="21"/>
        <v>4455.47</v>
      </c>
      <c r="AN32" s="192">
        <f t="shared" si="22"/>
        <v>0</v>
      </c>
      <c r="AO32" s="114">
        <f t="shared" si="23"/>
        <v>-336.37</v>
      </c>
      <c r="AP32" s="137">
        <f t="shared" si="24"/>
        <v>0</v>
      </c>
      <c r="AQ32" s="137">
        <f t="shared" si="25"/>
        <v>70.63</v>
      </c>
      <c r="AR32" s="84">
        <f t="shared" si="26"/>
        <v>70.63</v>
      </c>
      <c r="AS32" s="84">
        <f t="shared" si="27"/>
        <v>0</v>
      </c>
      <c r="AT32" s="84">
        <f t="shared" si="28"/>
        <v>0</v>
      </c>
      <c r="AU32" s="84">
        <f t="shared" si="29"/>
        <v>0</v>
      </c>
      <c r="AV32" s="84">
        <f t="shared" si="30"/>
        <v>0</v>
      </c>
      <c r="AW32" s="487">
        <v>3112.63</v>
      </c>
      <c r="AX32" s="137">
        <f t="shared" si="31"/>
        <v>157.69999999999999</v>
      </c>
      <c r="AY32" s="137">
        <f t="shared" si="32"/>
        <v>0</v>
      </c>
      <c r="AZ32" s="137">
        <f t="shared" si="33"/>
        <v>94.62</v>
      </c>
      <c r="BA32" s="137">
        <f t="shared" si="34"/>
        <v>-5.7</v>
      </c>
      <c r="BB32" s="137">
        <f t="shared" si="35"/>
        <v>-2.11</v>
      </c>
      <c r="BC32" s="84">
        <f t="shared" si="36"/>
        <v>244.51</v>
      </c>
      <c r="BD32" s="84">
        <f t="shared" si="37"/>
        <v>-44.02</v>
      </c>
      <c r="BE32" s="84">
        <f t="shared" si="38"/>
        <v>0</v>
      </c>
      <c r="BF32" s="116">
        <f t="shared" si="39"/>
        <v>-44.02</v>
      </c>
      <c r="BG32" s="496">
        <f t="shared" si="40"/>
        <v>4189.7299999999996</v>
      </c>
      <c r="BH32" s="496">
        <f t="shared" si="41"/>
        <v>3313.12</v>
      </c>
      <c r="BI32" s="496">
        <f t="shared" si="42"/>
        <v>7502.85</v>
      </c>
    </row>
    <row r="33" spans="1:61" s="480" customFormat="1" ht="16.149999999999999" customHeight="1">
      <c r="A33" s="495" t="s">
        <v>195</v>
      </c>
      <c r="B33" s="494" t="s">
        <v>243</v>
      </c>
      <c r="C33" s="493" t="s">
        <v>62</v>
      </c>
      <c r="D33" s="385" t="s">
        <v>12</v>
      </c>
      <c r="E33" s="314">
        <v>19725</v>
      </c>
      <c r="F33" s="500">
        <v>10</v>
      </c>
      <c r="G33" s="491">
        <v>5999.83</v>
      </c>
      <c r="H33" s="485">
        <v>0</v>
      </c>
      <c r="I33" s="490">
        <f t="shared" si="0"/>
        <v>5999.83</v>
      </c>
      <c r="J33" s="489">
        <f t="shared" si="1"/>
        <v>1.1215030000000001E-2</v>
      </c>
      <c r="K33" s="484">
        <f t="shared" si="2"/>
        <v>-672.74</v>
      </c>
      <c r="L33" s="484">
        <f t="shared" si="44"/>
        <v>0</v>
      </c>
      <c r="M33" s="484">
        <f t="shared" si="44"/>
        <v>141.27000000000001</v>
      </c>
      <c r="N33" s="485">
        <f t="shared" si="4"/>
        <v>141.27000000000001</v>
      </c>
      <c r="O33" s="485">
        <f t="shared" si="45"/>
        <v>0</v>
      </c>
      <c r="P33" s="485">
        <f t="shared" si="45"/>
        <v>0</v>
      </c>
      <c r="Q33" s="485">
        <f t="shared" si="6"/>
        <v>0</v>
      </c>
      <c r="R33" s="484">
        <f t="shared" si="7"/>
        <v>0</v>
      </c>
      <c r="S33" s="485">
        <f t="shared" si="8"/>
        <v>6141.1</v>
      </c>
      <c r="T33" s="488">
        <f t="shared" si="9"/>
        <v>7335.29</v>
      </c>
      <c r="U33" s="487">
        <v>5747.11</v>
      </c>
      <c r="V33" s="486">
        <f t="shared" si="10"/>
        <v>1.1215030000000001E-2</v>
      </c>
      <c r="W33" s="484">
        <f t="shared" si="11"/>
        <v>315.41000000000003</v>
      </c>
      <c r="X33" s="484">
        <v>0</v>
      </c>
      <c r="Y33" s="484">
        <f t="shared" si="46"/>
        <v>189.25</v>
      </c>
      <c r="Z33" s="484">
        <f t="shared" si="46"/>
        <v>-11.4</v>
      </c>
      <c r="AA33" s="484">
        <f t="shared" si="46"/>
        <v>-4.22</v>
      </c>
      <c r="AB33" s="485">
        <f t="shared" si="13"/>
        <v>489.04</v>
      </c>
      <c r="AC33" s="485">
        <f t="shared" si="14"/>
        <v>-88.04</v>
      </c>
      <c r="AD33" s="498">
        <f>(F33/F$184)*AD$184</f>
        <v>-41.12</v>
      </c>
      <c r="AE33" s="498">
        <v>0</v>
      </c>
      <c r="AF33" s="485">
        <f t="shared" si="15"/>
        <v>-41.12</v>
      </c>
      <c r="AG33" s="484">
        <f t="shared" si="16"/>
        <v>-129.16</v>
      </c>
      <c r="AH33" s="381">
        <f t="shared" si="17"/>
        <v>6106.99</v>
      </c>
      <c r="AI33" s="483">
        <f t="shared" si="18"/>
        <v>12248.09</v>
      </c>
      <c r="AJ33" s="483">
        <f t="shared" si="19"/>
        <v>14530.82</v>
      </c>
      <c r="AK33" s="83"/>
      <c r="AL33" s="114">
        <f t="shared" si="20"/>
        <v>5999.83</v>
      </c>
      <c r="AM33" s="497">
        <f t="shared" si="21"/>
        <v>8911.01</v>
      </c>
      <c r="AN33" s="192">
        <f t="shared" si="22"/>
        <v>0</v>
      </c>
      <c r="AO33" s="114">
        <f t="shared" si="23"/>
        <v>-672.74</v>
      </c>
      <c r="AP33" s="137">
        <f t="shared" si="24"/>
        <v>0</v>
      </c>
      <c r="AQ33" s="137">
        <f t="shared" si="25"/>
        <v>141.27000000000001</v>
      </c>
      <c r="AR33" s="84">
        <f t="shared" si="26"/>
        <v>141.27000000000001</v>
      </c>
      <c r="AS33" s="84">
        <f t="shared" si="27"/>
        <v>0</v>
      </c>
      <c r="AT33" s="84">
        <f t="shared" si="28"/>
        <v>0</v>
      </c>
      <c r="AU33" s="84">
        <f t="shared" si="29"/>
        <v>0</v>
      </c>
      <c r="AV33" s="84">
        <f t="shared" si="30"/>
        <v>0</v>
      </c>
      <c r="AW33" s="487">
        <v>5747.11</v>
      </c>
      <c r="AX33" s="137">
        <f t="shared" si="31"/>
        <v>315.41000000000003</v>
      </c>
      <c r="AY33" s="137">
        <f t="shared" si="32"/>
        <v>0</v>
      </c>
      <c r="AZ33" s="137">
        <f t="shared" si="33"/>
        <v>189.25</v>
      </c>
      <c r="BA33" s="137">
        <f t="shared" si="34"/>
        <v>-11.4</v>
      </c>
      <c r="BB33" s="137">
        <f t="shared" si="35"/>
        <v>-4.22</v>
      </c>
      <c r="BC33" s="84">
        <f t="shared" si="36"/>
        <v>489.04</v>
      </c>
      <c r="BD33" s="84">
        <f t="shared" si="37"/>
        <v>-88.04</v>
      </c>
      <c r="BE33" s="84">
        <f t="shared" si="38"/>
        <v>-41.12</v>
      </c>
      <c r="BF33" s="116">
        <f t="shared" si="39"/>
        <v>-129.16</v>
      </c>
      <c r="BG33" s="496">
        <f t="shared" si="40"/>
        <v>8379.5400000000009</v>
      </c>
      <c r="BH33" s="496">
        <f t="shared" si="41"/>
        <v>6106.99</v>
      </c>
      <c r="BI33" s="496">
        <f t="shared" si="42"/>
        <v>14486.53</v>
      </c>
    </row>
    <row r="34" spans="1:61" s="480" customFormat="1" ht="16.149999999999999" customHeight="1">
      <c r="A34" s="495" t="s">
        <v>195</v>
      </c>
      <c r="B34" s="494" t="s">
        <v>235</v>
      </c>
      <c r="C34" s="493" t="s">
        <v>62</v>
      </c>
      <c r="D34" s="385" t="s">
        <v>12</v>
      </c>
      <c r="E34" s="314">
        <v>10594</v>
      </c>
      <c r="F34" s="500">
        <v>10</v>
      </c>
      <c r="G34" s="491">
        <v>1999.91</v>
      </c>
      <c r="H34" s="485">
        <v>0</v>
      </c>
      <c r="I34" s="490">
        <f t="shared" si="0"/>
        <v>1999.91</v>
      </c>
      <c r="J34" s="489">
        <f t="shared" si="1"/>
        <v>3.7382800000000001E-3</v>
      </c>
      <c r="K34" s="484">
        <f t="shared" si="2"/>
        <v>-224.24</v>
      </c>
      <c r="L34" s="484">
        <f t="shared" si="44"/>
        <v>0</v>
      </c>
      <c r="M34" s="484">
        <f t="shared" si="44"/>
        <v>47.09</v>
      </c>
      <c r="N34" s="485">
        <f t="shared" si="4"/>
        <v>47.09</v>
      </c>
      <c r="O34" s="485">
        <f t="shared" si="45"/>
        <v>0</v>
      </c>
      <c r="P34" s="485">
        <f t="shared" si="45"/>
        <v>0</v>
      </c>
      <c r="Q34" s="485">
        <f t="shared" si="6"/>
        <v>0</v>
      </c>
      <c r="R34" s="484">
        <f t="shared" si="7"/>
        <v>0</v>
      </c>
      <c r="S34" s="485">
        <f t="shared" si="8"/>
        <v>2047</v>
      </c>
      <c r="T34" s="488">
        <f t="shared" si="9"/>
        <v>2445.06</v>
      </c>
      <c r="U34" s="487">
        <v>1596.91</v>
      </c>
      <c r="V34" s="486">
        <f t="shared" si="10"/>
        <v>3.7382800000000001E-3</v>
      </c>
      <c r="W34" s="484">
        <f t="shared" si="11"/>
        <v>105.14</v>
      </c>
      <c r="X34" s="484">
        <v>0</v>
      </c>
      <c r="Y34" s="484">
        <f t="shared" si="46"/>
        <v>63.08</v>
      </c>
      <c r="Z34" s="484">
        <f t="shared" si="46"/>
        <v>-3.8</v>
      </c>
      <c r="AA34" s="484">
        <f t="shared" si="46"/>
        <v>-1.41</v>
      </c>
      <c r="AB34" s="485">
        <f t="shared" si="13"/>
        <v>163.01</v>
      </c>
      <c r="AC34" s="485">
        <f t="shared" si="14"/>
        <v>-29.35</v>
      </c>
      <c r="AD34" s="498">
        <f>(F34/F$184)*AD$184</f>
        <v>-41.12</v>
      </c>
      <c r="AE34" s="498">
        <v>0</v>
      </c>
      <c r="AF34" s="485">
        <f t="shared" si="15"/>
        <v>-41.12</v>
      </c>
      <c r="AG34" s="484">
        <f t="shared" si="16"/>
        <v>-70.47</v>
      </c>
      <c r="AH34" s="381">
        <f t="shared" si="17"/>
        <v>1689.45</v>
      </c>
      <c r="AI34" s="483">
        <f t="shared" si="18"/>
        <v>3736.45</v>
      </c>
      <c r="AJ34" s="483">
        <f t="shared" si="19"/>
        <v>4432.83</v>
      </c>
      <c r="AK34" s="83"/>
      <c r="AL34" s="114">
        <f t="shared" si="20"/>
        <v>1999.91</v>
      </c>
      <c r="AM34" s="497">
        <f t="shared" si="21"/>
        <v>2970.29</v>
      </c>
      <c r="AN34" s="192">
        <f t="shared" si="22"/>
        <v>0</v>
      </c>
      <c r="AO34" s="114">
        <f t="shared" si="23"/>
        <v>-224.24</v>
      </c>
      <c r="AP34" s="137">
        <f t="shared" si="24"/>
        <v>0</v>
      </c>
      <c r="AQ34" s="137">
        <f t="shared" si="25"/>
        <v>47.09</v>
      </c>
      <c r="AR34" s="84">
        <f t="shared" si="26"/>
        <v>47.09</v>
      </c>
      <c r="AS34" s="84">
        <f t="shared" si="27"/>
        <v>0</v>
      </c>
      <c r="AT34" s="84">
        <f t="shared" si="28"/>
        <v>0</v>
      </c>
      <c r="AU34" s="84">
        <f t="shared" si="29"/>
        <v>0</v>
      </c>
      <c r="AV34" s="84">
        <f t="shared" si="30"/>
        <v>0</v>
      </c>
      <c r="AW34" s="487">
        <v>1596.91</v>
      </c>
      <c r="AX34" s="137">
        <f t="shared" si="31"/>
        <v>105.14</v>
      </c>
      <c r="AY34" s="137">
        <f t="shared" si="32"/>
        <v>0</v>
      </c>
      <c r="AZ34" s="137">
        <f t="shared" si="33"/>
        <v>63.08</v>
      </c>
      <c r="BA34" s="137">
        <f t="shared" si="34"/>
        <v>-3.8</v>
      </c>
      <c r="BB34" s="137">
        <f t="shared" si="35"/>
        <v>-1.41</v>
      </c>
      <c r="BC34" s="84">
        <f t="shared" si="36"/>
        <v>163.01</v>
      </c>
      <c r="BD34" s="84">
        <f t="shared" si="37"/>
        <v>-29.35</v>
      </c>
      <c r="BE34" s="84">
        <f t="shared" si="38"/>
        <v>-41.12</v>
      </c>
      <c r="BF34" s="116">
        <f t="shared" si="39"/>
        <v>-70.47</v>
      </c>
      <c r="BG34" s="496">
        <f t="shared" si="40"/>
        <v>2793.14</v>
      </c>
      <c r="BH34" s="496">
        <f t="shared" si="41"/>
        <v>1689.45</v>
      </c>
      <c r="BI34" s="496">
        <f t="shared" si="42"/>
        <v>4482.59</v>
      </c>
    </row>
    <row r="35" spans="1:61" s="480" customFormat="1" ht="16.149999999999999" customHeight="1">
      <c r="A35" s="495" t="s">
        <v>195</v>
      </c>
      <c r="B35" s="494" t="s">
        <v>236</v>
      </c>
      <c r="C35" s="493" t="s">
        <v>62</v>
      </c>
      <c r="D35" s="385" t="s">
        <v>12</v>
      </c>
      <c r="E35" s="314">
        <v>11689</v>
      </c>
      <c r="F35" s="500">
        <v>10</v>
      </c>
      <c r="G35" s="491">
        <v>2999.94</v>
      </c>
      <c r="H35" s="485">
        <v>0</v>
      </c>
      <c r="I35" s="490">
        <f t="shared" si="0"/>
        <v>2999.94</v>
      </c>
      <c r="J35" s="489">
        <f t="shared" si="1"/>
        <v>5.6075600000000001E-3</v>
      </c>
      <c r="K35" s="484">
        <f t="shared" si="2"/>
        <v>-336.37</v>
      </c>
      <c r="L35" s="484">
        <f t="shared" si="44"/>
        <v>0</v>
      </c>
      <c r="M35" s="484">
        <f t="shared" si="44"/>
        <v>70.63</v>
      </c>
      <c r="N35" s="485">
        <f t="shared" si="4"/>
        <v>70.63</v>
      </c>
      <c r="O35" s="485">
        <f t="shared" si="45"/>
        <v>0</v>
      </c>
      <c r="P35" s="485">
        <f t="shared" si="45"/>
        <v>0</v>
      </c>
      <c r="Q35" s="485">
        <f t="shared" si="6"/>
        <v>0</v>
      </c>
      <c r="R35" s="484">
        <f t="shared" si="7"/>
        <v>0</v>
      </c>
      <c r="S35" s="485">
        <f t="shared" si="8"/>
        <v>3070.57</v>
      </c>
      <c r="T35" s="488">
        <f t="shared" si="9"/>
        <v>3667.67</v>
      </c>
      <c r="U35" s="487">
        <v>2634.47</v>
      </c>
      <c r="V35" s="486">
        <f t="shared" si="10"/>
        <v>5.6075600000000001E-3</v>
      </c>
      <c r="W35" s="484">
        <f t="shared" si="11"/>
        <v>157.71</v>
      </c>
      <c r="X35" s="484">
        <v>0</v>
      </c>
      <c r="Y35" s="484">
        <f t="shared" si="46"/>
        <v>94.62</v>
      </c>
      <c r="Z35" s="484">
        <f t="shared" si="46"/>
        <v>-5.7</v>
      </c>
      <c r="AA35" s="484">
        <f t="shared" si="46"/>
        <v>-2.11</v>
      </c>
      <c r="AB35" s="485">
        <f t="shared" si="13"/>
        <v>244.52</v>
      </c>
      <c r="AC35" s="485">
        <f t="shared" si="14"/>
        <v>-44.02</v>
      </c>
      <c r="AD35" s="498">
        <f>(F35/F$184)*AD$184</f>
        <v>-41.12</v>
      </c>
      <c r="AE35" s="498">
        <v>0</v>
      </c>
      <c r="AF35" s="485">
        <f t="shared" si="15"/>
        <v>-41.12</v>
      </c>
      <c r="AG35" s="484">
        <f t="shared" si="16"/>
        <v>-85.14</v>
      </c>
      <c r="AH35" s="381">
        <f t="shared" si="17"/>
        <v>2793.85</v>
      </c>
      <c r="AI35" s="483">
        <f t="shared" si="18"/>
        <v>5864.42</v>
      </c>
      <c r="AJ35" s="483">
        <f t="shared" si="19"/>
        <v>6957.4</v>
      </c>
      <c r="AK35" s="83"/>
      <c r="AL35" s="114">
        <f t="shared" si="20"/>
        <v>2999.94</v>
      </c>
      <c r="AM35" s="497">
        <f t="shared" si="21"/>
        <v>4455.54</v>
      </c>
      <c r="AN35" s="192">
        <f t="shared" si="22"/>
        <v>0</v>
      </c>
      <c r="AO35" s="114">
        <f t="shared" si="23"/>
        <v>-336.37</v>
      </c>
      <c r="AP35" s="137">
        <f t="shared" si="24"/>
        <v>0</v>
      </c>
      <c r="AQ35" s="137">
        <f t="shared" si="25"/>
        <v>70.63</v>
      </c>
      <c r="AR35" s="84">
        <f t="shared" si="26"/>
        <v>70.63</v>
      </c>
      <c r="AS35" s="84">
        <f t="shared" si="27"/>
        <v>0</v>
      </c>
      <c r="AT35" s="84">
        <f t="shared" si="28"/>
        <v>0</v>
      </c>
      <c r="AU35" s="84">
        <f t="shared" si="29"/>
        <v>0</v>
      </c>
      <c r="AV35" s="84">
        <f t="shared" si="30"/>
        <v>0</v>
      </c>
      <c r="AW35" s="487">
        <v>2634.47</v>
      </c>
      <c r="AX35" s="137">
        <f t="shared" si="31"/>
        <v>157.71</v>
      </c>
      <c r="AY35" s="137">
        <f t="shared" si="32"/>
        <v>0</v>
      </c>
      <c r="AZ35" s="137">
        <f t="shared" si="33"/>
        <v>94.62</v>
      </c>
      <c r="BA35" s="137">
        <f t="shared" si="34"/>
        <v>-5.7</v>
      </c>
      <c r="BB35" s="137">
        <f t="shared" si="35"/>
        <v>-2.11</v>
      </c>
      <c r="BC35" s="84">
        <f t="shared" si="36"/>
        <v>244.52</v>
      </c>
      <c r="BD35" s="84">
        <f t="shared" si="37"/>
        <v>-44.02</v>
      </c>
      <c r="BE35" s="84">
        <f t="shared" si="38"/>
        <v>-41.12</v>
      </c>
      <c r="BF35" s="116">
        <f t="shared" si="39"/>
        <v>-85.14</v>
      </c>
      <c r="BG35" s="496">
        <f t="shared" si="40"/>
        <v>4189.8</v>
      </c>
      <c r="BH35" s="496">
        <f t="shared" si="41"/>
        <v>2793.85</v>
      </c>
      <c r="BI35" s="496">
        <f t="shared" si="42"/>
        <v>6983.65</v>
      </c>
    </row>
    <row r="36" spans="1:61" s="480" customFormat="1" ht="16.149999999999999" customHeight="1">
      <c r="A36" s="495" t="s">
        <v>195</v>
      </c>
      <c r="B36" s="494" t="s">
        <v>238</v>
      </c>
      <c r="C36" s="493" t="s">
        <v>62</v>
      </c>
      <c r="D36" s="385" t="s">
        <v>12</v>
      </c>
      <c r="E36" s="314">
        <v>15707</v>
      </c>
      <c r="F36" s="500">
        <v>10</v>
      </c>
      <c r="G36" s="491">
        <v>3999.94</v>
      </c>
      <c r="H36" s="485">
        <v>0</v>
      </c>
      <c r="I36" s="490">
        <f t="shared" si="0"/>
        <v>3999.94</v>
      </c>
      <c r="J36" s="489">
        <f t="shared" si="1"/>
        <v>7.4767899999999997E-3</v>
      </c>
      <c r="K36" s="484">
        <f t="shared" si="2"/>
        <v>-448.5</v>
      </c>
      <c r="L36" s="484">
        <f t="shared" si="44"/>
        <v>0</v>
      </c>
      <c r="M36" s="484">
        <f t="shared" si="44"/>
        <v>94.18</v>
      </c>
      <c r="N36" s="485">
        <f t="shared" si="4"/>
        <v>94.18</v>
      </c>
      <c r="O36" s="485">
        <f t="shared" si="45"/>
        <v>0</v>
      </c>
      <c r="P36" s="485">
        <f t="shared" si="45"/>
        <v>0</v>
      </c>
      <c r="Q36" s="485">
        <f t="shared" si="6"/>
        <v>0</v>
      </c>
      <c r="R36" s="484">
        <f t="shared" si="7"/>
        <v>0</v>
      </c>
      <c r="S36" s="485">
        <f t="shared" si="8"/>
        <v>4094.12</v>
      </c>
      <c r="T36" s="488">
        <f t="shared" si="9"/>
        <v>4890.26</v>
      </c>
      <c r="U36" s="487">
        <v>3672.03</v>
      </c>
      <c r="V36" s="486">
        <f t="shared" si="10"/>
        <v>7.4767899999999997E-3</v>
      </c>
      <c r="W36" s="484">
        <f t="shared" si="11"/>
        <v>210.28</v>
      </c>
      <c r="X36" s="484">
        <v>0</v>
      </c>
      <c r="Y36" s="484">
        <f t="shared" si="46"/>
        <v>126.17</v>
      </c>
      <c r="Z36" s="484">
        <f t="shared" si="46"/>
        <v>-7.6</v>
      </c>
      <c r="AA36" s="484">
        <f t="shared" si="46"/>
        <v>-2.82</v>
      </c>
      <c r="AB36" s="485">
        <f t="shared" si="13"/>
        <v>326.02999999999997</v>
      </c>
      <c r="AC36" s="485">
        <f t="shared" si="14"/>
        <v>-58.7</v>
      </c>
      <c r="AD36" s="498">
        <f>(F36/F$184)*AD$184</f>
        <v>-41.12</v>
      </c>
      <c r="AE36" s="498">
        <v>0</v>
      </c>
      <c r="AF36" s="485">
        <f t="shared" si="15"/>
        <v>-41.12</v>
      </c>
      <c r="AG36" s="484">
        <f t="shared" si="16"/>
        <v>-99.82</v>
      </c>
      <c r="AH36" s="381">
        <f t="shared" si="17"/>
        <v>3898.24</v>
      </c>
      <c r="AI36" s="483">
        <f t="shared" si="18"/>
        <v>7992.36</v>
      </c>
      <c r="AJ36" s="483">
        <f t="shared" si="19"/>
        <v>9481.93</v>
      </c>
      <c r="AK36" s="83"/>
      <c r="AL36" s="114">
        <f t="shared" si="20"/>
        <v>3999.94</v>
      </c>
      <c r="AM36" s="497">
        <f t="shared" si="21"/>
        <v>5940.75</v>
      </c>
      <c r="AN36" s="192">
        <f t="shared" si="22"/>
        <v>0</v>
      </c>
      <c r="AO36" s="114">
        <f t="shared" si="23"/>
        <v>-448.5</v>
      </c>
      <c r="AP36" s="137">
        <f t="shared" si="24"/>
        <v>0</v>
      </c>
      <c r="AQ36" s="137">
        <f t="shared" si="25"/>
        <v>94.18</v>
      </c>
      <c r="AR36" s="84">
        <f t="shared" si="26"/>
        <v>94.18</v>
      </c>
      <c r="AS36" s="84">
        <f t="shared" si="27"/>
        <v>0</v>
      </c>
      <c r="AT36" s="84">
        <f t="shared" si="28"/>
        <v>0</v>
      </c>
      <c r="AU36" s="84">
        <f t="shared" si="29"/>
        <v>0</v>
      </c>
      <c r="AV36" s="84">
        <f t="shared" si="30"/>
        <v>0</v>
      </c>
      <c r="AW36" s="487">
        <v>3672.03</v>
      </c>
      <c r="AX36" s="137">
        <f t="shared" si="31"/>
        <v>210.28</v>
      </c>
      <c r="AY36" s="137">
        <f t="shared" si="32"/>
        <v>0</v>
      </c>
      <c r="AZ36" s="137">
        <f t="shared" si="33"/>
        <v>126.17</v>
      </c>
      <c r="BA36" s="137">
        <f t="shared" si="34"/>
        <v>-7.6</v>
      </c>
      <c r="BB36" s="137">
        <f t="shared" si="35"/>
        <v>-2.82</v>
      </c>
      <c r="BC36" s="84">
        <f t="shared" si="36"/>
        <v>326.02999999999997</v>
      </c>
      <c r="BD36" s="84">
        <f t="shared" si="37"/>
        <v>-58.7</v>
      </c>
      <c r="BE36" s="84">
        <f t="shared" si="38"/>
        <v>-41.12</v>
      </c>
      <c r="BF36" s="116">
        <f t="shared" si="39"/>
        <v>-99.82</v>
      </c>
      <c r="BG36" s="496">
        <f t="shared" si="40"/>
        <v>5586.43</v>
      </c>
      <c r="BH36" s="496">
        <f t="shared" si="41"/>
        <v>3898.24</v>
      </c>
      <c r="BI36" s="496">
        <f t="shared" si="42"/>
        <v>9484.67</v>
      </c>
    </row>
    <row r="37" spans="1:61" s="480" customFormat="1" ht="16.149999999999999" customHeight="1">
      <c r="A37" s="495" t="s">
        <v>195</v>
      </c>
      <c r="B37" s="494" t="s">
        <v>346</v>
      </c>
      <c r="C37" s="615" t="s">
        <v>63</v>
      </c>
      <c r="D37" s="385" t="s">
        <v>12</v>
      </c>
      <c r="E37" s="314">
        <v>7306</v>
      </c>
      <c r="F37" s="499"/>
      <c r="G37" s="491">
        <v>3999.9</v>
      </c>
      <c r="H37" s="485">
        <v>0</v>
      </c>
      <c r="I37" s="490">
        <f t="shared" si="0"/>
        <v>3999.9</v>
      </c>
      <c r="J37" s="489">
        <f t="shared" si="1"/>
        <v>7.4767100000000001E-3</v>
      </c>
      <c r="K37" s="484">
        <f t="shared" si="2"/>
        <v>-448.49</v>
      </c>
      <c r="L37" s="484">
        <f t="shared" si="44"/>
        <v>0</v>
      </c>
      <c r="M37" s="484">
        <f t="shared" si="44"/>
        <v>94.18</v>
      </c>
      <c r="N37" s="485">
        <f t="shared" si="4"/>
        <v>94.18</v>
      </c>
      <c r="O37" s="485">
        <f t="shared" si="45"/>
        <v>0</v>
      </c>
      <c r="P37" s="485">
        <f t="shared" si="45"/>
        <v>0</v>
      </c>
      <c r="Q37" s="485">
        <f t="shared" si="6"/>
        <v>0</v>
      </c>
      <c r="R37" s="484">
        <f t="shared" si="7"/>
        <v>0</v>
      </c>
      <c r="S37" s="485">
        <f t="shared" si="8"/>
        <v>4094.08</v>
      </c>
      <c r="T37" s="488">
        <f t="shared" si="9"/>
        <v>4890.21</v>
      </c>
      <c r="U37" s="487">
        <v>4150.22</v>
      </c>
      <c r="V37" s="486">
        <f t="shared" si="10"/>
        <v>7.4767100000000001E-3</v>
      </c>
      <c r="W37" s="484">
        <f t="shared" si="11"/>
        <v>210.27</v>
      </c>
      <c r="X37" s="484">
        <v>0</v>
      </c>
      <c r="Y37" s="484">
        <f t="shared" si="46"/>
        <v>126.16</v>
      </c>
      <c r="Z37" s="484">
        <f t="shared" si="46"/>
        <v>-7.6</v>
      </c>
      <c r="AA37" s="484">
        <f t="shared" si="46"/>
        <v>-2.82</v>
      </c>
      <c r="AB37" s="485">
        <f t="shared" si="13"/>
        <v>326.01</v>
      </c>
      <c r="AC37" s="485">
        <f t="shared" si="14"/>
        <v>-58.7</v>
      </c>
      <c r="AD37" s="498">
        <v>0</v>
      </c>
      <c r="AE37" s="498">
        <v>0</v>
      </c>
      <c r="AF37" s="485">
        <f t="shared" si="15"/>
        <v>0</v>
      </c>
      <c r="AG37" s="484">
        <f t="shared" si="16"/>
        <v>-58.7</v>
      </c>
      <c r="AH37" s="381">
        <f t="shared" si="17"/>
        <v>4417.53</v>
      </c>
      <c r="AI37" s="483">
        <f t="shared" si="18"/>
        <v>8511.61</v>
      </c>
      <c r="AJ37" s="483">
        <f t="shared" si="19"/>
        <v>10097.959999999999</v>
      </c>
      <c r="AK37" s="83"/>
      <c r="AL37" s="114">
        <f t="shared" si="20"/>
        <v>3999.9</v>
      </c>
      <c r="AM37" s="497">
        <f t="shared" si="21"/>
        <v>5940.69</v>
      </c>
      <c r="AN37" s="192">
        <f t="shared" si="22"/>
        <v>0</v>
      </c>
      <c r="AO37" s="114">
        <f t="shared" si="23"/>
        <v>-448.49</v>
      </c>
      <c r="AP37" s="137">
        <f t="shared" si="24"/>
        <v>0</v>
      </c>
      <c r="AQ37" s="137">
        <f t="shared" si="25"/>
        <v>94.18</v>
      </c>
      <c r="AR37" s="84">
        <f t="shared" si="26"/>
        <v>94.18</v>
      </c>
      <c r="AS37" s="84">
        <f t="shared" si="27"/>
        <v>0</v>
      </c>
      <c r="AT37" s="84">
        <f t="shared" si="28"/>
        <v>0</v>
      </c>
      <c r="AU37" s="84">
        <f t="shared" si="29"/>
        <v>0</v>
      </c>
      <c r="AV37" s="84">
        <f t="shared" si="30"/>
        <v>0</v>
      </c>
      <c r="AW37" s="487">
        <v>4150.22</v>
      </c>
      <c r="AX37" s="137">
        <f t="shared" si="31"/>
        <v>210.27</v>
      </c>
      <c r="AY37" s="137">
        <f t="shared" si="32"/>
        <v>0</v>
      </c>
      <c r="AZ37" s="137">
        <f t="shared" si="33"/>
        <v>126.16</v>
      </c>
      <c r="BA37" s="137">
        <f t="shared" si="34"/>
        <v>-7.6</v>
      </c>
      <c r="BB37" s="137">
        <f t="shared" si="35"/>
        <v>-2.82</v>
      </c>
      <c r="BC37" s="84">
        <f t="shared" si="36"/>
        <v>326.01</v>
      </c>
      <c r="BD37" s="84">
        <f t="shared" si="37"/>
        <v>-58.7</v>
      </c>
      <c r="BE37" s="84">
        <f t="shared" si="38"/>
        <v>0</v>
      </c>
      <c r="BF37" s="116">
        <f t="shared" si="39"/>
        <v>-58.7</v>
      </c>
      <c r="BG37" s="496">
        <f t="shared" si="40"/>
        <v>5586.38</v>
      </c>
      <c r="BH37" s="496">
        <f t="shared" si="41"/>
        <v>4417.53</v>
      </c>
      <c r="BI37" s="496">
        <f t="shared" si="42"/>
        <v>10003.91</v>
      </c>
    </row>
    <row r="38" spans="1:61" s="480" customFormat="1" ht="16.149999999999999" customHeight="1">
      <c r="A38" s="495" t="s">
        <v>195</v>
      </c>
      <c r="B38" s="494" t="s">
        <v>239</v>
      </c>
      <c r="C38" s="493" t="s">
        <v>62</v>
      </c>
      <c r="D38" s="385" t="s">
        <v>12</v>
      </c>
      <c r="E38" s="314">
        <v>16438</v>
      </c>
      <c r="F38" s="500">
        <v>10</v>
      </c>
      <c r="G38" s="491">
        <v>1999.91</v>
      </c>
      <c r="H38" s="485">
        <v>0</v>
      </c>
      <c r="I38" s="490">
        <f t="shared" si="0"/>
        <v>1999.91</v>
      </c>
      <c r="J38" s="489">
        <f t="shared" si="1"/>
        <v>3.7382800000000001E-3</v>
      </c>
      <c r="K38" s="484">
        <f t="shared" si="2"/>
        <v>-224.24</v>
      </c>
      <c r="L38" s="484">
        <f t="shared" si="44"/>
        <v>0</v>
      </c>
      <c r="M38" s="484">
        <f t="shared" si="44"/>
        <v>47.09</v>
      </c>
      <c r="N38" s="485">
        <f t="shared" si="4"/>
        <v>47.09</v>
      </c>
      <c r="O38" s="485">
        <f t="shared" si="45"/>
        <v>0</v>
      </c>
      <c r="P38" s="485">
        <f t="shared" si="45"/>
        <v>0</v>
      </c>
      <c r="Q38" s="485">
        <f t="shared" si="6"/>
        <v>0</v>
      </c>
      <c r="R38" s="484">
        <f t="shared" si="7"/>
        <v>0</v>
      </c>
      <c r="S38" s="485">
        <f t="shared" si="8"/>
        <v>2047</v>
      </c>
      <c r="T38" s="488">
        <f t="shared" si="9"/>
        <v>2445.06</v>
      </c>
      <c r="U38" s="487">
        <v>1596.91</v>
      </c>
      <c r="V38" s="486">
        <f t="shared" si="10"/>
        <v>3.7382800000000001E-3</v>
      </c>
      <c r="W38" s="484">
        <f t="shared" si="11"/>
        <v>105.14</v>
      </c>
      <c r="X38" s="484">
        <v>0</v>
      </c>
      <c r="Y38" s="484">
        <f t="shared" si="46"/>
        <v>63.08</v>
      </c>
      <c r="Z38" s="484">
        <f t="shared" si="46"/>
        <v>-3.8</v>
      </c>
      <c r="AA38" s="484">
        <f t="shared" si="46"/>
        <v>-1.41</v>
      </c>
      <c r="AB38" s="485">
        <f t="shared" si="13"/>
        <v>163.01</v>
      </c>
      <c r="AC38" s="485">
        <f t="shared" si="14"/>
        <v>-29.35</v>
      </c>
      <c r="AD38" s="498">
        <f>(F38/F$184)*AD$184</f>
        <v>-41.12</v>
      </c>
      <c r="AE38" s="498">
        <v>0</v>
      </c>
      <c r="AF38" s="485">
        <f t="shared" si="15"/>
        <v>-41.12</v>
      </c>
      <c r="AG38" s="484">
        <f t="shared" si="16"/>
        <v>-70.47</v>
      </c>
      <c r="AH38" s="381">
        <f t="shared" si="17"/>
        <v>1689.45</v>
      </c>
      <c r="AI38" s="483">
        <f t="shared" si="18"/>
        <v>3736.45</v>
      </c>
      <c r="AJ38" s="483">
        <f t="shared" si="19"/>
        <v>4432.83</v>
      </c>
      <c r="AK38" s="83"/>
      <c r="AL38" s="114">
        <f t="shared" si="20"/>
        <v>1999.91</v>
      </c>
      <c r="AM38" s="497">
        <f t="shared" si="21"/>
        <v>2970.29</v>
      </c>
      <c r="AN38" s="192">
        <f t="shared" si="22"/>
        <v>0</v>
      </c>
      <c r="AO38" s="114">
        <f t="shared" si="23"/>
        <v>-224.24</v>
      </c>
      <c r="AP38" s="137">
        <f t="shared" si="24"/>
        <v>0</v>
      </c>
      <c r="AQ38" s="137">
        <f t="shared" si="25"/>
        <v>47.09</v>
      </c>
      <c r="AR38" s="84">
        <f t="shared" si="26"/>
        <v>47.09</v>
      </c>
      <c r="AS38" s="84">
        <f t="shared" si="27"/>
        <v>0</v>
      </c>
      <c r="AT38" s="84">
        <f t="shared" si="28"/>
        <v>0</v>
      </c>
      <c r="AU38" s="84">
        <f t="shared" si="29"/>
        <v>0</v>
      </c>
      <c r="AV38" s="84">
        <f t="shared" si="30"/>
        <v>0</v>
      </c>
      <c r="AW38" s="487">
        <v>1596.91</v>
      </c>
      <c r="AX38" s="137">
        <f t="shared" si="31"/>
        <v>105.14</v>
      </c>
      <c r="AY38" s="137">
        <f t="shared" si="32"/>
        <v>0</v>
      </c>
      <c r="AZ38" s="137">
        <f t="shared" si="33"/>
        <v>63.08</v>
      </c>
      <c r="BA38" s="137">
        <f t="shared" si="34"/>
        <v>-3.8</v>
      </c>
      <c r="BB38" s="137">
        <f t="shared" si="35"/>
        <v>-1.41</v>
      </c>
      <c r="BC38" s="84">
        <f t="shared" si="36"/>
        <v>163.01</v>
      </c>
      <c r="BD38" s="84">
        <f t="shared" si="37"/>
        <v>-29.35</v>
      </c>
      <c r="BE38" s="84">
        <f t="shared" si="38"/>
        <v>-41.12</v>
      </c>
      <c r="BF38" s="116">
        <f t="shared" si="39"/>
        <v>-70.47</v>
      </c>
      <c r="BG38" s="496">
        <f t="shared" si="40"/>
        <v>2793.14</v>
      </c>
      <c r="BH38" s="496">
        <f t="shared" si="41"/>
        <v>1689.45</v>
      </c>
      <c r="BI38" s="496">
        <f t="shared" si="42"/>
        <v>4482.59</v>
      </c>
    </row>
    <row r="39" spans="1:61" s="480" customFormat="1" ht="16.149999999999999" customHeight="1">
      <c r="A39" s="495" t="s">
        <v>195</v>
      </c>
      <c r="B39" s="494" t="s">
        <v>240</v>
      </c>
      <c r="C39" s="493" t="s">
        <v>62</v>
      </c>
      <c r="D39" s="385" t="s">
        <v>12</v>
      </c>
      <c r="E39" s="314">
        <v>16803</v>
      </c>
      <c r="F39" s="500">
        <v>10</v>
      </c>
      <c r="G39" s="491">
        <v>1999.91</v>
      </c>
      <c r="H39" s="485">
        <v>0</v>
      </c>
      <c r="I39" s="490">
        <f t="shared" si="0"/>
        <v>1999.91</v>
      </c>
      <c r="J39" s="489">
        <f t="shared" si="1"/>
        <v>3.7382800000000001E-3</v>
      </c>
      <c r="K39" s="484">
        <f t="shared" si="2"/>
        <v>-224.24</v>
      </c>
      <c r="L39" s="484">
        <f t="shared" si="44"/>
        <v>0</v>
      </c>
      <c r="M39" s="484">
        <f t="shared" si="44"/>
        <v>47.09</v>
      </c>
      <c r="N39" s="485">
        <f t="shared" si="4"/>
        <v>47.09</v>
      </c>
      <c r="O39" s="485">
        <f t="shared" si="45"/>
        <v>0</v>
      </c>
      <c r="P39" s="485">
        <f t="shared" si="45"/>
        <v>0</v>
      </c>
      <c r="Q39" s="485">
        <f t="shared" si="6"/>
        <v>0</v>
      </c>
      <c r="R39" s="484">
        <f t="shared" si="7"/>
        <v>0</v>
      </c>
      <c r="S39" s="485">
        <f t="shared" si="8"/>
        <v>2047</v>
      </c>
      <c r="T39" s="488">
        <f t="shared" si="9"/>
        <v>2445.06</v>
      </c>
      <c r="U39" s="487">
        <v>1596.91</v>
      </c>
      <c r="V39" s="486">
        <f t="shared" si="10"/>
        <v>3.7382800000000001E-3</v>
      </c>
      <c r="W39" s="484">
        <f t="shared" si="11"/>
        <v>105.14</v>
      </c>
      <c r="X39" s="484">
        <v>0</v>
      </c>
      <c r="Y39" s="484">
        <f t="shared" si="46"/>
        <v>63.08</v>
      </c>
      <c r="Z39" s="484">
        <f t="shared" si="46"/>
        <v>-3.8</v>
      </c>
      <c r="AA39" s="484">
        <f t="shared" si="46"/>
        <v>-1.41</v>
      </c>
      <c r="AB39" s="485">
        <f t="shared" si="13"/>
        <v>163.01</v>
      </c>
      <c r="AC39" s="485">
        <f t="shared" si="14"/>
        <v>-29.35</v>
      </c>
      <c r="AD39" s="498">
        <f>(F39/F$184)*AD$184</f>
        <v>-41.12</v>
      </c>
      <c r="AE39" s="498">
        <v>0</v>
      </c>
      <c r="AF39" s="485">
        <f t="shared" si="15"/>
        <v>-41.12</v>
      </c>
      <c r="AG39" s="484">
        <f t="shared" si="16"/>
        <v>-70.47</v>
      </c>
      <c r="AH39" s="381">
        <f t="shared" si="17"/>
        <v>1689.45</v>
      </c>
      <c r="AI39" s="483">
        <f t="shared" si="18"/>
        <v>3736.45</v>
      </c>
      <c r="AJ39" s="483">
        <f t="shared" si="19"/>
        <v>4432.83</v>
      </c>
      <c r="AK39" s="83"/>
      <c r="AL39" s="114">
        <f t="shared" si="20"/>
        <v>1999.91</v>
      </c>
      <c r="AM39" s="497">
        <f t="shared" si="21"/>
        <v>2970.29</v>
      </c>
      <c r="AN39" s="192">
        <f t="shared" si="22"/>
        <v>0</v>
      </c>
      <c r="AO39" s="114">
        <f t="shared" si="23"/>
        <v>-224.24</v>
      </c>
      <c r="AP39" s="137">
        <f t="shared" si="24"/>
        <v>0</v>
      </c>
      <c r="AQ39" s="137">
        <f t="shared" si="25"/>
        <v>47.09</v>
      </c>
      <c r="AR39" s="84">
        <f t="shared" si="26"/>
        <v>47.09</v>
      </c>
      <c r="AS39" s="84">
        <f t="shared" si="27"/>
        <v>0</v>
      </c>
      <c r="AT39" s="84">
        <f t="shared" si="28"/>
        <v>0</v>
      </c>
      <c r="AU39" s="84">
        <f t="shared" si="29"/>
        <v>0</v>
      </c>
      <c r="AV39" s="84">
        <f t="shared" si="30"/>
        <v>0</v>
      </c>
      <c r="AW39" s="487">
        <v>1596.91</v>
      </c>
      <c r="AX39" s="137">
        <f t="shared" si="31"/>
        <v>105.14</v>
      </c>
      <c r="AY39" s="137">
        <f t="shared" si="32"/>
        <v>0</v>
      </c>
      <c r="AZ39" s="137">
        <f t="shared" si="33"/>
        <v>63.08</v>
      </c>
      <c r="BA39" s="137">
        <f t="shared" si="34"/>
        <v>-3.8</v>
      </c>
      <c r="BB39" s="137">
        <f t="shared" si="35"/>
        <v>-1.41</v>
      </c>
      <c r="BC39" s="84">
        <f t="shared" si="36"/>
        <v>163.01</v>
      </c>
      <c r="BD39" s="84">
        <f t="shared" si="37"/>
        <v>-29.35</v>
      </c>
      <c r="BE39" s="84">
        <f t="shared" si="38"/>
        <v>-41.12</v>
      </c>
      <c r="BF39" s="116">
        <f t="shared" si="39"/>
        <v>-70.47</v>
      </c>
      <c r="BG39" s="496">
        <f t="shared" si="40"/>
        <v>2793.14</v>
      </c>
      <c r="BH39" s="496">
        <f t="shared" si="41"/>
        <v>1689.45</v>
      </c>
      <c r="BI39" s="496">
        <f t="shared" si="42"/>
        <v>4482.59</v>
      </c>
    </row>
    <row r="40" spans="1:61" s="480" customFormat="1" ht="16.149999999999999" customHeight="1">
      <c r="A40" s="495" t="s">
        <v>195</v>
      </c>
      <c r="B40" s="494" t="s">
        <v>380</v>
      </c>
      <c r="C40" s="615" t="s">
        <v>63</v>
      </c>
      <c r="D40" s="385" t="s">
        <v>12</v>
      </c>
      <c r="E40" s="314">
        <v>13150</v>
      </c>
      <c r="F40" s="499"/>
      <c r="G40" s="491">
        <v>1999.91</v>
      </c>
      <c r="H40" s="485">
        <v>0</v>
      </c>
      <c r="I40" s="490">
        <f t="shared" si="0"/>
        <v>1999.91</v>
      </c>
      <c r="J40" s="489">
        <f t="shared" si="1"/>
        <v>3.7382800000000001E-3</v>
      </c>
      <c r="K40" s="484">
        <f t="shared" si="2"/>
        <v>-224.24</v>
      </c>
      <c r="L40" s="484">
        <f t="shared" si="44"/>
        <v>0</v>
      </c>
      <c r="M40" s="484">
        <f t="shared" si="44"/>
        <v>47.09</v>
      </c>
      <c r="N40" s="485">
        <f t="shared" si="4"/>
        <v>47.09</v>
      </c>
      <c r="O40" s="485">
        <f t="shared" si="45"/>
        <v>0</v>
      </c>
      <c r="P40" s="485">
        <f t="shared" si="45"/>
        <v>0</v>
      </c>
      <c r="Q40" s="485">
        <f t="shared" si="6"/>
        <v>0</v>
      </c>
      <c r="R40" s="484">
        <f t="shared" si="7"/>
        <v>0</v>
      </c>
      <c r="S40" s="485">
        <f t="shared" si="8"/>
        <v>2047</v>
      </c>
      <c r="T40" s="488">
        <f t="shared" si="9"/>
        <v>2445.06</v>
      </c>
      <c r="U40" s="487">
        <v>2075.08</v>
      </c>
      <c r="V40" s="486">
        <f t="shared" si="10"/>
        <v>3.7382800000000001E-3</v>
      </c>
      <c r="W40" s="484">
        <f t="shared" si="11"/>
        <v>105.14</v>
      </c>
      <c r="X40" s="484">
        <v>0</v>
      </c>
      <c r="Y40" s="484">
        <f t="shared" si="46"/>
        <v>63.08</v>
      </c>
      <c r="Z40" s="484">
        <f t="shared" si="46"/>
        <v>-3.8</v>
      </c>
      <c r="AA40" s="484">
        <f t="shared" si="46"/>
        <v>-1.41</v>
      </c>
      <c r="AB40" s="485">
        <f t="shared" si="13"/>
        <v>163.01</v>
      </c>
      <c r="AC40" s="485">
        <f t="shared" si="14"/>
        <v>-29.35</v>
      </c>
      <c r="AD40" s="498">
        <v>0</v>
      </c>
      <c r="AE40" s="498">
        <v>0</v>
      </c>
      <c r="AF40" s="485">
        <f t="shared" si="15"/>
        <v>0</v>
      </c>
      <c r="AG40" s="484">
        <f t="shared" si="16"/>
        <v>-29.35</v>
      </c>
      <c r="AH40" s="381">
        <f t="shared" si="17"/>
        <v>2208.7399999999998</v>
      </c>
      <c r="AI40" s="483">
        <f t="shared" si="18"/>
        <v>4255.74</v>
      </c>
      <c r="AJ40" s="483">
        <f t="shared" si="19"/>
        <v>5048.8999999999996</v>
      </c>
      <c r="AK40" s="83"/>
      <c r="AL40" s="114">
        <f t="shared" si="20"/>
        <v>1999.91</v>
      </c>
      <c r="AM40" s="497">
        <f t="shared" si="21"/>
        <v>2970.29</v>
      </c>
      <c r="AN40" s="192">
        <f t="shared" si="22"/>
        <v>0</v>
      </c>
      <c r="AO40" s="114">
        <f t="shared" si="23"/>
        <v>-224.24</v>
      </c>
      <c r="AP40" s="137">
        <f t="shared" si="24"/>
        <v>0</v>
      </c>
      <c r="AQ40" s="137">
        <f t="shared" si="25"/>
        <v>47.09</v>
      </c>
      <c r="AR40" s="84">
        <f t="shared" si="26"/>
        <v>47.09</v>
      </c>
      <c r="AS40" s="84">
        <f t="shared" si="27"/>
        <v>0</v>
      </c>
      <c r="AT40" s="84">
        <f t="shared" si="28"/>
        <v>0</v>
      </c>
      <c r="AU40" s="84">
        <f t="shared" si="29"/>
        <v>0</v>
      </c>
      <c r="AV40" s="84">
        <f t="shared" si="30"/>
        <v>0</v>
      </c>
      <c r="AW40" s="487">
        <v>2075.08</v>
      </c>
      <c r="AX40" s="137">
        <f t="shared" si="31"/>
        <v>105.14</v>
      </c>
      <c r="AY40" s="137">
        <f t="shared" si="32"/>
        <v>0</v>
      </c>
      <c r="AZ40" s="137">
        <f t="shared" si="33"/>
        <v>63.08</v>
      </c>
      <c r="BA40" s="137">
        <f t="shared" si="34"/>
        <v>-3.8</v>
      </c>
      <c r="BB40" s="137">
        <f t="shared" si="35"/>
        <v>-1.41</v>
      </c>
      <c r="BC40" s="84">
        <f t="shared" si="36"/>
        <v>163.01</v>
      </c>
      <c r="BD40" s="84">
        <f t="shared" si="37"/>
        <v>-29.35</v>
      </c>
      <c r="BE40" s="84">
        <f t="shared" si="38"/>
        <v>0</v>
      </c>
      <c r="BF40" s="116">
        <f t="shared" si="39"/>
        <v>-29.35</v>
      </c>
      <c r="BG40" s="496">
        <f t="shared" si="40"/>
        <v>2793.14</v>
      </c>
      <c r="BH40" s="496">
        <f t="shared" si="41"/>
        <v>2208.7399999999998</v>
      </c>
      <c r="BI40" s="496">
        <f t="shared" si="42"/>
        <v>5001.88</v>
      </c>
    </row>
    <row r="41" spans="1:61" s="480" customFormat="1" ht="16.149999999999999" customHeight="1">
      <c r="A41" s="495" t="s">
        <v>195</v>
      </c>
      <c r="B41" s="494" t="s">
        <v>242</v>
      </c>
      <c r="C41" s="493" t="s">
        <v>62</v>
      </c>
      <c r="D41" s="385" t="s">
        <v>12</v>
      </c>
      <c r="E41" s="314">
        <v>18629</v>
      </c>
      <c r="F41" s="500">
        <v>10</v>
      </c>
      <c r="G41" s="491">
        <v>3999.94</v>
      </c>
      <c r="H41" s="485">
        <v>0</v>
      </c>
      <c r="I41" s="490">
        <f t="shared" si="0"/>
        <v>3999.94</v>
      </c>
      <c r="J41" s="489">
        <f t="shared" si="1"/>
        <v>7.4767899999999997E-3</v>
      </c>
      <c r="K41" s="484">
        <f t="shared" si="2"/>
        <v>-448.5</v>
      </c>
      <c r="L41" s="484">
        <f t="shared" si="44"/>
        <v>0</v>
      </c>
      <c r="M41" s="484">
        <f t="shared" si="44"/>
        <v>94.18</v>
      </c>
      <c r="N41" s="485">
        <f t="shared" si="4"/>
        <v>94.18</v>
      </c>
      <c r="O41" s="485">
        <f t="shared" si="45"/>
        <v>0</v>
      </c>
      <c r="P41" s="485">
        <f t="shared" si="45"/>
        <v>0</v>
      </c>
      <c r="Q41" s="485">
        <f t="shared" si="6"/>
        <v>0</v>
      </c>
      <c r="R41" s="484">
        <f t="shared" si="7"/>
        <v>0</v>
      </c>
      <c r="S41" s="485">
        <f t="shared" si="8"/>
        <v>4094.12</v>
      </c>
      <c r="T41" s="488">
        <f t="shared" si="9"/>
        <v>4890.26</v>
      </c>
      <c r="U41" s="487">
        <v>3672.03</v>
      </c>
      <c r="V41" s="486">
        <f t="shared" si="10"/>
        <v>7.4767899999999997E-3</v>
      </c>
      <c r="W41" s="484">
        <f t="shared" si="11"/>
        <v>210.28</v>
      </c>
      <c r="X41" s="484">
        <v>0</v>
      </c>
      <c r="Y41" s="484">
        <f t="shared" si="46"/>
        <v>126.17</v>
      </c>
      <c r="Z41" s="484">
        <f t="shared" si="46"/>
        <v>-7.6</v>
      </c>
      <c r="AA41" s="484">
        <f t="shared" si="46"/>
        <v>-2.82</v>
      </c>
      <c r="AB41" s="485">
        <f t="shared" si="13"/>
        <v>326.02999999999997</v>
      </c>
      <c r="AC41" s="485">
        <f t="shared" si="14"/>
        <v>-58.7</v>
      </c>
      <c r="AD41" s="498">
        <f t="shared" ref="AD41:AD46" si="47">(F41/F$184)*AD$184</f>
        <v>-41.12</v>
      </c>
      <c r="AE41" s="498">
        <v>0</v>
      </c>
      <c r="AF41" s="485">
        <f t="shared" si="15"/>
        <v>-41.12</v>
      </c>
      <c r="AG41" s="484">
        <f t="shared" si="16"/>
        <v>-99.82</v>
      </c>
      <c r="AH41" s="381">
        <f t="shared" si="17"/>
        <v>3898.24</v>
      </c>
      <c r="AI41" s="483">
        <f t="shared" si="18"/>
        <v>7992.36</v>
      </c>
      <c r="AJ41" s="483">
        <f t="shared" si="19"/>
        <v>9481.93</v>
      </c>
      <c r="AK41" s="83"/>
      <c r="AL41" s="114">
        <f t="shared" si="20"/>
        <v>3999.94</v>
      </c>
      <c r="AM41" s="497">
        <f t="shared" si="21"/>
        <v>5940.75</v>
      </c>
      <c r="AN41" s="192">
        <f t="shared" si="22"/>
        <v>0</v>
      </c>
      <c r="AO41" s="114">
        <f t="shared" si="23"/>
        <v>-448.5</v>
      </c>
      <c r="AP41" s="137">
        <f t="shared" si="24"/>
        <v>0</v>
      </c>
      <c r="AQ41" s="137">
        <f t="shared" si="25"/>
        <v>94.18</v>
      </c>
      <c r="AR41" s="84">
        <f t="shared" si="26"/>
        <v>94.18</v>
      </c>
      <c r="AS41" s="84">
        <f t="shared" si="27"/>
        <v>0</v>
      </c>
      <c r="AT41" s="84">
        <f t="shared" si="28"/>
        <v>0</v>
      </c>
      <c r="AU41" s="84">
        <f t="shared" si="29"/>
        <v>0</v>
      </c>
      <c r="AV41" s="84">
        <f t="shared" si="30"/>
        <v>0</v>
      </c>
      <c r="AW41" s="487">
        <v>3672.03</v>
      </c>
      <c r="AX41" s="137">
        <f t="shared" si="31"/>
        <v>210.28</v>
      </c>
      <c r="AY41" s="137">
        <f t="shared" si="32"/>
        <v>0</v>
      </c>
      <c r="AZ41" s="137">
        <f t="shared" si="33"/>
        <v>126.17</v>
      </c>
      <c r="BA41" s="137">
        <f t="shared" si="34"/>
        <v>-7.6</v>
      </c>
      <c r="BB41" s="137">
        <f t="shared" si="35"/>
        <v>-2.82</v>
      </c>
      <c r="BC41" s="84">
        <f t="shared" si="36"/>
        <v>326.02999999999997</v>
      </c>
      <c r="BD41" s="84">
        <f t="shared" si="37"/>
        <v>-58.7</v>
      </c>
      <c r="BE41" s="84">
        <f t="shared" si="38"/>
        <v>-41.12</v>
      </c>
      <c r="BF41" s="116">
        <f t="shared" si="39"/>
        <v>-99.82</v>
      </c>
      <c r="BG41" s="496">
        <f t="shared" si="40"/>
        <v>5586.43</v>
      </c>
      <c r="BH41" s="496">
        <f t="shared" si="41"/>
        <v>3898.24</v>
      </c>
      <c r="BI41" s="496">
        <f t="shared" si="42"/>
        <v>9484.67</v>
      </c>
    </row>
    <row r="42" spans="1:61" s="480" customFormat="1" ht="16.149999999999999" customHeight="1">
      <c r="A42" s="495" t="s">
        <v>195</v>
      </c>
      <c r="B42" s="494" t="s">
        <v>241</v>
      </c>
      <c r="C42" s="493" t="s">
        <v>62</v>
      </c>
      <c r="D42" s="385" t="s">
        <v>12</v>
      </c>
      <c r="E42" s="314">
        <v>18264</v>
      </c>
      <c r="F42" s="500">
        <v>10</v>
      </c>
      <c r="G42" s="491">
        <v>3999.94</v>
      </c>
      <c r="H42" s="485">
        <v>0</v>
      </c>
      <c r="I42" s="490">
        <f t="shared" si="0"/>
        <v>3999.94</v>
      </c>
      <c r="J42" s="489">
        <f t="shared" si="1"/>
        <v>7.4767899999999997E-3</v>
      </c>
      <c r="K42" s="484">
        <f t="shared" si="2"/>
        <v>-448.5</v>
      </c>
      <c r="L42" s="484">
        <f t="shared" si="44"/>
        <v>0</v>
      </c>
      <c r="M42" s="484">
        <f t="shared" si="44"/>
        <v>94.18</v>
      </c>
      <c r="N42" s="485">
        <f t="shared" si="4"/>
        <v>94.18</v>
      </c>
      <c r="O42" s="485">
        <f t="shared" si="45"/>
        <v>0</v>
      </c>
      <c r="P42" s="485">
        <f t="shared" si="45"/>
        <v>0</v>
      </c>
      <c r="Q42" s="485">
        <f t="shared" si="6"/>
        <v>0</v>
      </c>
      <c r="R42" s="484">
        <f t="shared" si="7"/>
        <v>0</v>
      </c>
      <c r="S42" s="485">
        <f t="shared" si="8"/>
        <v>4094.12</v>
      </c>
      <c r="T42" s="488">
        <f t="shared" si="9"/>
        <v>4890.26</v>
      </c>
      <c r="U42" s="487">
        <v>3672.03</v>
      </c>
      <c r="V42" s="486">
        <f t="shared" si="10"/>
        <v>7.4767899999999997E-3</v>
      </c>
      <c r="W42" s="484">
        <f t="shared" si="11"/>
        <v>210.28</v>
      </c>
      <c r="X42" s="484">
        <v>0</v>
      </c>
      <c r="Y42" s="484">
        <f t="shared" si="46"/>
        <v>126.17</v>
      </c>
      <c r="Z42" s="484">
        <f t="shared" si="46"/>
        <v>-7.6</v>
      </c>
      <c r="AA42" s="484">
        <f t="shared" si="46"/>
        <v>-2.82</v>
      </c>
      <c r="AB42" s="485">
        <f t="shared" si="13"/>
        <v>326.02999999999997</v>
      </c>
      <c r="AC42" s="485">
        <f t="shared" si="14"/>
        <v>-58.7</v>
      </c>
      <c r="AD42" s="498">
        <f t="shared" si="47"/>
        <v>-41.12</v>
      </c>
      <c r="AE42" s="498">
        <v>0</v>
      </c>
      <c r="AF42" s="485">
        <f t="shared" si="15"/>
        <v>-41.12</v>
      </c>
      <c r="AG42" s="484">
        <f t="shared" si="16"/>
        <v>-99.82</v>
      </c>
      <c r="AH42" s="381">
        <f t="shared" si="17"/>
        <v>3898.24</v>
      </c>
      <c r="AI42" s="483">
        <f t="shared" si="18"/>
        <v>7992.36</v>
      </c>
      <c r="AJ42" s="483">
        <f t="shared" si="19"/>
        <v>9481.93</v>
      </c>
      <c r="AK42" s="83"/>
      <c r="AL42" s="114">
        <f t="shared" si="20"/>
        <v>3999.94</v>
      </c>
      <c r="AM42" s="497">
        <f t="shared" si="21"/>
        <v>5940.75</v>
      </c>
      <c r="AN42" s="192">
        <f t="shared" si="22"/>
        <v>0</v>
      </c>
      <c r="AO42" s="114">
        <f t="shared" si="23"/>
        <v>-448.5</v>
      </c>
      <c r="AP42" s="137">
        <f t="shared" si="24"/>
        <v>0</v>
      </c>
      <c r="AQ42" s="137">
        <f t="shared" si="25"/>
        <v>94.18</v>
      </c>
      <c r="AR42" s="84">
        <f t="shared" si="26"/>
        <v>94.18</v>
      </c>
      <c r="AS42" s="84">
        <f t="shared" si="27"/>
        <v>0</v>
      </c>
      <c r="AT42" s="84">
        <f t="shared" si="28"/>
        <v>0</v>
      </c>
      <c r="AU42" s="84">
        <f t="shared" si="29"/>
        <v>0</v>
      </c>
      <c r="AV42" s="84">
        <f t="shared" si="30"/>
        <v>0</v>
      </c>
      <c r="AW42" s="487">
        <v>3672.03</v>
      </c>
      <c r="AX42" s="137">
        <f t="shared" si="31"/>
        <v>210.28</v>
      </c>
      <c r="AY42" s="137">
        <f t="shared" si="32"/>
        <v>0</v>
      </c>
      <c r="AZ42" s="137">
        <f t="shared" si="33"/>
        <v>126.17</v>
      </c>
      <c r="BA42" s="137">
        <f t="shared" si="34"/>
        <v>-7.6</v>
      </c>
      <c r="BB42" s="137">
        <f t="shared" si="35"/>
        <v>-2.82</v>
      </c>
      <c r="BC42" s="84">
        <f t="shared" si="36"/>
        <v>326.02999999999997</v>
      </c>
      <c r="BD42" s="84">
        <f t="shared" si="37"/>
        <v>-58.7</v>
      </c>
      <c r="BE42" s="84">
        <f t="shared" si="38"/>
        <v>-41.12</v>
      </c>
      <c r="BF42" s="116">
        <f t="shared" si="39"/>
        <v>-99.82</v>
      </c>
      <c r="BG42" s="496">
        <f t="shared" si="40"/>
        <v>5586.43</v>
      </c>
      <c r="BH42" s="496">
        <f t="shared" si="41"/>
        <v>3898.24</v>
      </c>
      <c r="BI42" s="496">
        <f t="shared" si="42"/>
        <v>9484.67</v>
      </c>
    </row>
    <row r="43" spans="1:61" s="480" customFormat="1" ht="16.149999999999999" customHeight="1">
      <c r="A43" s="495" t="s">
        <v>195</v>
      </c>
      <c r="B43" s="494" t="s">
        <v>237</v>
      </c>
      <c r="C43" s="493" t="s">
        <v>62</v>
      </c>
      <c r="D43" s="385" t="s">
        <v>12</v>
      </c>
      <c r="E43" s="314">
        <v>13516</v>
      </c>
      <c r="F43" s="500">
        <v>10</v>
      </c>
      <c r="G43" s="491">
        <v>2599.94</v>
      </c>
      <c r="H43" s="485">
        <v>0</v>
      </c>
      <c r="I43" s="490">
        <f t="shared" si="0"/>
        <v>2599.94</v>
      </c>
      <c r="J43" s="489">
        <f t="shared" si="1"/>
        <v>4.8598699999999996E-3</v>
      </c>
      <c r="K43" s="484">
        <f t="shared" si="2"/>
        <v>-291.52</v>
      </c>
      <c r="L43" s="484">
        <f t="shared" si="44"/>
        <v>0</v>
      </c>
      <c r="M43" s="484">
        <f t="shared" si="44"/>
        <v>61.22</v>
      </c>
      <c r="N43" s="485">
        <f t="shared" si="4"/>
        <v>61.22</v>
      </c>
      <c r="O43" s="485">
        <f t="shared" si="45"/>
        <v>0</v>
      </c>
      <c r="P43" s="485">
        <f t="shared" si="45"/>
        <v>0</v>
      </c>
      <c r="Q43" s="485">
        <f t="shared" si="6"/>
        <v>0</v>
      </c>
      <c r="R43" s="484">
        <f t="shared" si="7"/>
        <v>0</v>
      </c>
      <c r="S43" s="485">
        <f t="shared" si="8"/>
        <v>2661.16</v>
      </c>
      <c r="T43" s="488">
        <f t="shared" si="9"/>
        <v>3178.65</v>
      </c>
      <c r="U43" s="487">
        <v>2219.48</v>
      </c>
      <c r="V43" s="486">
        <f t="shared" si="10"/>
        <v>4.8598699999999996E-3</v>
      </c>
      <c r="W43" s="484">
        <f t="shared" si="11"/>
        <v>136.68</v>
      </c>
      <c r="X43" s="484">
        <v>0</v>
      </c>
      <c r="Y43" s="484">
        <f t="shared" si="46"/>
        <v>82.01</v>
      </c>
      <c r="Z43" s="484">
        <f t="shared" si="46"/>
        <v>-4.9400000000000004</v>
      </c>
      <c r="AA43" s="484">
        <f t="shared" si="46"/>
        <v>-1.83</v>
      </c>
      <c r="AB43" s="485">
        <f t="shared" si="13"/>
        <v>211.92</v>
      </c>
      <c r="AC43" s="485">
        <f t="shared" si="14"/>
        <v>-38.15</v>
      </c>
      <c r="AD43" s="498">
        <f t="shared" si="47"/>
        <v>-41.12</v>
      </c>
      <c r="AE43" s="498">
        <v>0</v>
      </c>
      <c r="AF43" s="485">
        <f t="shared" si="15"/>
        <v>-41.12</v>
      </c>
      <c r="AG43" s="484">
        <f t="shared" si="16"/>
        <v>-79.27</v>
      </c>
      <c r="AH43" s="381">
        <f t="shared" si="17"/>
        <v>2352.13</v>
      </c>
      <c r="AI43" s="483">
        <f t="shared" si="18"/>
        <v>5013.29</v>
      </c>
      <c r="AJ43" s="483">
        <f t="shared" si="19"/>
        <v>5947.64</v>
      </c>
      <c r="AK43" s="83"/>
      <c r="AL43" s="114">
        <f t="shared" si="20"/>
        <v>2599.94</v>
      </c>
      <c r="AM43" s="497">
        <f t="shared" si="21"/>
        <v>3861.46</v>
      </c>
      <c r="AN43" s="192">
        <f t="shared" si="22"/>
        <v>0</v>
      </c>
      <c r="AO43" s="114">
        <f t="shared" si="23"/>
        <v>-291.52</v>
      </c>
      <c r="AP43" s="137">
        <f t="shared" si="24"/>
        <v>0</v>
      </c>
      <c r="AQ43" s="137">
        <f t="shared" si="25"/>
        <v>61.22</v>
      </c>
      <c r="AR43" s="84">
        <f t="shared" si="26"/>
        <v>61.22</v>
      </c>
      <c r="AS43" s="84">
        <f t="shared" si="27"/>
        <v>0</v>
      </c>
      <c r="AT43" s="84">
        <f t="shared" si="28"/>
        <v>0</v>
      </c>
      <c r="AU43" s="84">
        <f t="shared" si="29"/>
        <v>0</v>
      </c>
      <c r="AV43" s="84">
        <f t="shared" si="30"/>
        <v>0</v>
      </c>
      <c r="AW43" s="487">
        <v>2219.48</v>
      </c>
      <c r="AX43" s="137">
        <f t="shared" si="31"/>
        <v>136.68</v>
      </c>
      <c r="AY43" s="137">
        <f t="shared" si="32"/>
        <v>0</v>
      </c>
      <c r="AZ43" s="137">
        <f t="shared" si="33"/>
        <v>82.01</v>
      </c>
      <c r="BA43" s="137">
        <f t="shared" si="34"/>
        <v>-4.9400000000000004</v>
      </c>
      <c r="BB43" s="137">
        <f t="shared" si="35"/>
        <v>-1.83</v>
      </c>
      <c r="BC43" s="84">
        <f t="shared" si="36"/>
        <v>211.92</v>
      </c>
      <c r="BD43" s="84">
        <f t="shared" si="37"/>
        <v>-38.15</v>
      </c>
      <c r="BE43" s="84">
        <f t="shared" si="38"/>
        <v>-41.12</v>
      </c>
      <c r="BF43" s="116">
        <f t="shared" si="39"/>
        <v>-79.27</v>
      </c>
      <c r="BG43" s="496">
        <f t="shared" si="40"/>
        <v>3631.16</v>
      </c>
      <c r="BH43" s="496">
        <f t="shared" si="41"/>
        <v>2352.13</v>
      </c>
      <c r="BI43" s="496">
        <f t="shared" si="42"/>
        <v>5983.29</v>
      </c>
    </row>
    <row r="44" spans="1:61" s="480" customFormat="1" ht="16.149999999999999" customHeight="1">
      <c r="A44" s="495" t="s">
        <v>195</v>
      </c>
      <c r="B44" s="494" t="s">
        <v>244</v>
      </c>
      <c r="C44" s="493" t="s">
        <v>62</v>
      </c>
      <c r="D44" s="385" t="s">
        <v>12</v>
      </c>
      <c r="E44" s="314">
        <v>5845</v>
      </c>
      <c r="F44" s="500">
        <v>10</v>
      </c>
      <c r="G44" s="491">
        <v>1999.91</v>
      </c>
      <c r="H44" s="485">
        <v>0</v>
      </c>
      <c r="I44" s="490">
        <f t="shared" ref="I44:I75" si="48">G44+H44</f>
        <v>1999.91</v>
      </c>
      <c r="J44" s="489">
        <f t="shared" ref="J44:J60" si="49">(I44/(I$184))</f>
        <v>3.7382800000000001E-3</v>
      </c>
      <c r="K44" s="484">
        <f t="shared" ref="K44:K60" si="50">J44*K$184</f>
        <v>-224.24</v>
      </c>
      <c r="L44" s="484">
        <f t="shared" si="44"/>
        <v>0</v>
      </c>
      <c r="M44" s="484">
        <f t="shared" si="44"/>
        <v>47.09</v>
      </c>
      <c r="N44" s="485">
        <f t="shared" ref="N44:N75" si="51">L44+M44</f>
        <v>47.09</v>
      </c>
      <c r="O44" s="485">
        <f t="shared" si="45"/>
        <v>0</v>
      </c>
      <c r="P44" s="485">
        <f t="shared" si="45"/>
        <v>0</v>
      </c>
      <c r="Q44" s="485">
        <f t="shared" ref="Q44:Q75" si="52">Q$184*J44</f>
        <v>0</v>
      </c>
      <c r="R44" s="484">
        <f t="shared" ref="R44:R75" si="53">P44+Q44</f>
        <v>0</v>
      </c>
      <c r="S44" s="485">
        <f t="shared" ref="S44:S75" si="54">G44+H44+N44+O44+R44</f>
        <v>2047</v>
      </c>
      <c r="T44" s="488">
        <f t="shared" ref="T44:T60" si="55">((S44/S$184)*T$184)</f>
        <v>2445.06</v>
      </c>
      <c r="U44" s="487">
        <v>1596.91</v>
      </c>
      <c r="V44" s="486">
        <f t="shared" ref="V44:V75" si="56">J44</f>
        <v>3.7382800000000001E-3</v>
      </c>
      <c r="W44" s="484">
        <f t="shared" ref="W44:W60" si="57">($V44*W$184)</f>
        <v>105.14</v>
      </c>
      <c r="X44" s="484">
        <v>0</v>
      </c>
      <c r="Y44" s="484">
        <f t="shared" si="46"/>
        <v>63.08</v>
      </c>
      <c r="Z44" s="484">
        <f t="shared" si="46"/>
        <v>-3.8</v>
      </c>
      <c r="AA44" s="484">
        <f t="shared" si="46"/>
        <v>-1.41</v>
      </c>
      <c r="AB44" s="485">
        <f t="shared" ref="AB44:AB75" si="58">SUM(W44:AA44)</f>
        <v>163.01</v>
      </c>
      <c r="AC44" s="485">
        <f t="shared" ref="AC44:AC60" si="59">(V44*AC$184)</f>
        <v>-29.35</v>
      </c>
      <c r="AD44" s="498">
        <f t="shared" si="47"/>
        <v>-41.12</v>
      </c>
      <c r="AE44" s="498">
        <v>0</v>
      </c>
      <c r="AF44" s="485">
        <f t="shared" ref="AF44:AF75" si="60">AD44+AE44</f>
        <v>-41.12</v>
      </c>
      <c r="AG44" s="484">
        <f t="shared" ref="AG44:AG75" si="61">AC44+AF44</f>
        <v>-70.47</v>
      </c>
      <c r="AH44" s="381">
        <f t="shared" ref="AH44:AH75" si="62">U44+AB44+AG44</f>
        <v>1689.45</v>
      </c>
      <c r="AI44" s="483">
        <f t="shared" ref="AI44:AI75" si="63">S44+AH44</f>
        <v>3736.45</v>
      </c>
      <c r="AJ44" s="483">
        <f t="shared" ref="AJ44:AJ75" si="64">(AI44/AI$184)*AJ$184</f>
        <v>4432.83</v>
      </c>
      <c r="AK44" s="83"/>
      <c r="AL44" s="114">
        <f t="shared" ref="AL44:AL75" si="65">G44</f>
        <v>1999.91</v>
      </c>
      <c r="AM44" s="497">
        <f t="shared" ref="AM44:AM60" si="66">(AL44/AL$184)*AM$184</f>
        <v>2970.29</v>
      </c>
      <c r="AN44" s="192">
        <f t="shared" ref="AN44:AN75" si="67">H44</f>
        <v>0</v>
      </c>
      <c r="AO44" s="114">
        <f t="shared" ref="AO44:AO75" si="68">K44</f>
        <v>-224.24</v>
      </c>
      <c r="AP44" s="137">
        <f t="shared" ref="AP44:AP75" si="69">L44</f>
        <v>0</v>
      </c>
      <c r="AQ44" s="137">
        <f t="shared" ref="AQ44:AQ75" si="70">M44</f>
        <v>47.09</v>
      </c>
      <c r="AR44" s="84">
        <f t="shared" ref="AR44:AR75" si="71">AP44+AQ44</f>
        <v>47.09</v>
      </c>
      <c r="AS44" s="84">
        <f t="shared" ref="AS44:AS75" si="72">O44</f>
        <v>0</v>
      </c>
      <c r="AT44" s="84">
        <f t="shared" ref="AT44:AT75" si="73">P44</f>
        <v>0</v>
      </c>
      <c r="AU44" s="84">
        <f t="shared" ref="AU44:AU75" si="74">Q44</f>
        <v>0</v>
      </c>
      <c r="AV44" s="84">
        <f t="shared" ref="AV44:AV75" si="75">AT44+AU44</f>
        <v>0</v>
      </c>
      <c r="AW44" s="487">
        <v>1596.91</v>
      </c>
      <c r="AX44" s="137">
        <f t="shared" ref="AX44:AX75" si="76">W44</f>
        <v>105.14</v>
      </c>
      <c r="AY44" s="137">
        <f t="shared" ref="AY44:AY75" si="77">X44</f>
        <v>0</v>
      </c>
      <c r="AZ44" s="137">
        <f t="shared" ref="AZ44:AZ75" si="78">Y44</f>
        <v>63.08</v>
      </c>
      <c r="BA44" s="137">
        <f t="shared" ref="BA44:BA75" si="79">Z44</f>
        <v>-3.8</v>
      </c>
      <c r="BB44" s="137">
        <f t="shared" ref="BB44:BB75" si="80">AA44</f>
        <v>-1.41</v>
      </c>
      <c r="BC44" s="84">
        <f t="shared" ref="BC44:BC75" si="81">SUM(AX44:BB44)</f>
        <v>163.01</v>
      </c>
      <c r="BD44" s="84">
        <f t="shared" ref="BD44:BD75" si="82">AC44</f>
        <v>-29.35</v>
      </c>
      <c r="BE44" s="84">
        <f t="shared" ref="BE44:BE75" si="83">AF44</f>
        <v>-41.12</v>
      </c>
      <c r="BF44" s="116">
        <f t="shared" ref="BF44:BF75" si="84">BD44+BE44</f>
        <v>-70.47</v>
      </c>
      <c r="BG44" s="496">
        <f t="shared" ref="BG44:BG75" si="85">AM44+AN44+AO44+AR44+AS44+AV44</f>
        <v>2793.14</v>
      </c>
      <c r="BH44" s="496">
        <f t="shared" ref="BH44:BH75" si="86">AW44+BC44+BF44</f>
        <v>1689.45</v>
      </c>
      <c r="BI44" s="496">
        <f t="shared" ref="BI44:BI75" si="87">AM44+AN44+AO44+AR44+AS44+AV44+AW44+BC44+BF44</f>
        <v>4482.59</v>
      </c>
    </row>
    <row r="45" spans="1:61" s="480" customFormat="1" ht="16.149999999999999" customHeight="1">
      <c r="A45" s="495" t="s">
        <v>195</v>
      </c>
      <c r="B45" s="494" t="s">
        <v>245</v>
      </c>
      <c r="C45" s="493" t="s">
        <v>62</v>
      </c>
      <c r="D45" s="385" t="s">
        <v>12</v>
      </c>
      <c r="E45" s="314">
        <v>10228</v>
      </c>
      <c r="F45" s="500">
        <v>10</v>
      </c>
      <c r="G45" s="491">
        <v>2999.89</v>
      </c>
      <c r="H45" s="485">
        <v>0</v>
      </c>
      <c r="I45" s="490">
        <f t="shared" si="48"/>
        <v>2999.89</v>
      </c>
      <c r="J45" s="489">
        <f t="shared" si="49"/>
        <v>5.6074699999999998E-3</v>
      </c>
      <c r="K45" s="484">
        <f t="shared" si="50"/>
        <v>-336.37</v>
      </c>
      <c r="L45" s="484">
        <f t="shared" si="44"/>
        <v>0</v>
      </c>
      <c r="M45" s="484">
        <f t="shared" si="44"/>
        <v>70.63</v>
      </c>
      <c r="N45" s="485">
        <f t="shared" si="51"/>
        <v>70.63</v>
      </c>
      <c r="O45" s="485">
        <f t="shared" si="45"/>
        <v>0</v>
      </c>
      <c r="P45" s="485">
        <f t="shared" si="45"/>
        <v>0</v>
      </c>
      <c r="Q45" s="485">
        <f t="shared" si="52"/>
        <v>0</v>
      </c>
      <c r="R45" s="484">
        <f t="shared" si="53"/>
        <v>0</v>
      </c>
      <c r="S45" s="485">
        <f t="shared" si="54"/>
        <v>3070.52</v>
      </c>
      <c r="T45" s="488">
        <f t="shared" si="55"/>
        <v>3667.61</v>
      </c>
      <c r="U45" s="487">
        <v>2634.45</v>
      </c>
      <c r="V45" s="486">
        <f t="shared" si="56"/>
        <v>5.6074699999999998E-3</v>
      </c>
      <c r="W45" s="484">
        <f t="shared" si="57"/>
        <v>157.69999999999999</v>
      </c>
      <c r="X45" s="484">
        <v>0</v>
      </c>
      <c r="Y45" s="484">
        <f t="shared" si="46"/>
        <v>94.62</v>
      </c>
      <c r="Z45" s="484">
        <f t="shared" si="46"/>
        <v>-5.7</v>
      </c>
      <c r="AA45" s="484">
        <f t="shared" si="46"/>
        <v>-2.11</v>
      </c>
      <c r="AB45" s="485">
        <f t="shared" si="58"/>
        <v>244.51</v>
      </c>
      <c r="AC45" s="485">
        <f t="shared" si="59"/>
        <v>-44.02</v>
      </c>
      <c r="AD45" s="498">
        <f t="shared" si="47"/>
        <v>-41.12</v>
      </c>
      <c r="AE45" s="498">
        <v>0</v>
      </c>
      <c r="AF45" s="485">
        <f t="shared" si="60"/>
        <v>-41.12</v>
      </c>
      <c r="AG45" s="484">
        <f t="shared" si="61"/>
        <v>-85.14</v>
      </c>
      <c r="AH45" s="381">
        <f t="shared" si="62"/>
        <v>2793.82</v>
      </c>
      <c r="AI45" s="483">
        <f t="shared" si="63"/>
        <v>5864.34</v>
      </c>
      <c r="AJ45" s="483">
        <f t="shared" si="64"/>
        <v>6957.3</v>
      </c>
      <c r="AK45" s="83"/>
      <c r="AL45" s="114">
        <f t="shared" si="65"/>
        <v>2999.89</v>
      </c>
      <c r="AM45" s="497">
        <f t="shared" si="66"/>
        <v>4455.47</v>
      </c>
      <c r="AN45" s="192">
        <f t="shared" si="67"/>
        <v>0</v>
      </c>
      <c r="AO45" s="114">
        <f t="shared" si="68"/>
        <v>-336.37</v>
      </c>
      <c r="AP45" s="137">
        <f t="shared" si="69"/>
        <v>0</v>
      </c>
      <c r="AQ45" s="137">
        <f t="shared" si="70"/>
        <v>70.63</v>
      </c>
      <c r="AR45" s="84">
        <f t="shared" si="71"/>
        <v>70.63</v>
      </c>
      <c r="AS45" s="84">
        <f t="shared" si="72"/>
        <v>0</v>
      </c>
      <c r="AT45" s="84">
        <f t="shared" si="73"/>
        <v>0</v>
      </c>
      <c r="AU45" s="84">
        <f t="shared" si="74"/>
        <v>0</v>
      </c>
      <c r="AV45" s="84">
        <f t="shared" si="75"/>
        <v>0</v>
      </c>
      <c r="AW45" s="487">
        <v>2634.45</v>
      </c>
      <c r="AX45" s="137">
        <f t="shared" si="76"/>
        <v>157.69999999999999</v>
      </c>
      <c r="AY45" s="137">
        <f t="shared" si="77"/>
        <v>0</v>
      </c>
      <c r="AZ45" s="137">
        <f t="shared" si="78"/>
        <v>94.62</v>
      </c>
      <c r="BA45" s="137">
        <f t="shared" si="79"/>
        <v>-5.7</v>
      </c>
      <c r="BB45" s="137">
        <f t="shared" si="80"/>
        <v>-2.11</v>
      </c>
      <c r="BC45" s="84">
        <f t="shared" si="81"/>
        <v>244.51</v>
      </c>
      <c r="BD45" s="84">
        <f t="shared" si="82"/>
        <v>-44.02</v>
      </c>
      <c r="BE45" s="84">
        <f t="shared" si="83"/>
        <v>-41.12</v>
      </c>
      <c r="BF45" s="116">
        <f t="shared" si="84"/>
        <v>-85.14</v>
      </c>
      <c r="BG45" s="496">
        <f t="shared" si="85"/>
        <v>4189.7299999999996</v>
      </c>
      <c r="BH45" s="496">
        <f t="shared" si="86"/>
        <v>2793.82</v>
      </c>
      <c r="BI45" s="496">
        <f t="shared" si="87"/>
        <v>6983.55</v>
      </c>
    </row>
    <row r="46" spans="1:61" s="480" customFormat="1" ht="16.149999999999999" customHeight="1">
      <c r="A46" s="495" t="s">
        <v>195</v>
      </c>
      <c r="B46" s="494" t="s">
        <v>246</v>
      </c>
      <c r="C46" s="493" t="s">
        <v>62</v>
      </c>
      <c r="D46" s="385" t="s">
        <v>12</v>
      </c>
      <c r="E46" s="314">
        <v>5845</v>
      </c>
      <c r="F46" s="500">
        <v>10</v>
      </c>
      <c r="G46" s="491">
        <v>1999.91</v>
      </c>
      <c r="H46" s="485">
        <v>0</v>
      </c>
      <c r="I46" s="490">
        <f t="shared" si="48"/>
        <v>1999.91</v>
      </c>
      <c r="J46" s="489">
        <f t="shared" si="49"/>
        <v>3.7382800000000001E-3</v>
      </c>
      <c r="K46" s="484">
        <f t="shared" si="50"/>
        <v>-224.24</v>
      </c>
      <c r="L46" s="484">
        <f t="shared" si="44"/>
        <v>0</v>
      </c>
      <c r="M46" s="484">
        <f t="shared" si="44"/>
        <v>47.09</v>
      </c>
      <c r="N46" s="485">
        <f t="shared" si="51"/>
        <v>47.09</v>
      </c>
      <c r="O46" s="485">
        <f t="shared" si="45"/>
        <v>0</v>
      </c>
      <c r="P46" s="485">
        <f t="shared" si="45"/>
        <v>0</v>
      </c>
      <c r="Q46" s="485">
        <f t="shared" si="52"/>
        <v>0</v>
      </c>
      <c r="R46" s="484">
        <f t="shared" si="53"/>
        <v>0</v>
      </c>
      <c r="S46" s="485">
        <f t="shared" si="54"/>
        <v>2047</v>
      </c>
      <c r="T46" s="488">
        <f t="shared" si="55"/>
        <v>2445.06</v>
      </c>
      <c r="U46" s="487">
        <v>1596.91</v>
      </c>
      <c r="V46" s="486">
        <f t="shared" si="56"/>
        <v>3.7382800000000001E-3</v>
      </c>
      <c r="W46" s="484">
        <f t="shared" si="57"/>
        <v>105.14</v>
      </c>
      <c r="X46" s="484">
        <v>0</v>
      </c>
      <c r="Y46" s="484">
        <f t="shared" si="46"/>
        <v>63.08</v>
      </c>
      <c r="Z46" s="484">
        <f t="shared" si="46"/>
        <v>-3.8</v>
      </c>
      <c r="AA46" s="484">
        <f t="shared" si="46"/>
        <v>-1.41</v>
      </c>
      <c r="AB46" s="485">
        <f t="shared" si="58"/>
        <v>163.01</v>
      </c>
      <c r="AC46" s="485">
        <f t="shared" si="59"/>
        <v>-29.35</v>
      </c>
      <c r="AD46" s="498">
        <f t="shared" si="47"/>
        <v>-41.12</v>
      </c>
      <c r="AE46" s="498">
        <v>0</v>
      </c>
      <c r="AF46" s="485">
        <f t="shared" si="60"/>
        <v>-41.12</v>
      </c>
      <c r="AG46" s="484">
        <f t="shared" si="61"/>
        <v>-70.47</v>
      </c>
      <c r="AH46" s="381">
        <f t="shared" si="62"/>
        <v>1689.45</v>
      </c>
      <c r="AI46" s="483">
        <f t="shared" si="63"/>
        <v>3736.45</v>
      </c>
      <c r="AJ46" s="483">
        <f t="shared" si="64"/>
        <v>4432.83</v>
      </c>
      <c r="AK46" s="83"/>
      <c r="AL46" s="114">
        <f t="shared" si="65"/>
        <v>1999.91</v>
      </c>
      <c r="AM46" s="497">
        <f t="shared" si="66"/>
        <v>2970.29</v>
      </c>
      <c r="AN46" s="192">
        <f t="shared" si="67"/>
        <v>0</v>
      </c>
      <c r="AO46" s="114">
        <f t="shared" si="68"/>
        <v>-224.24</v>
      </c>
      <c r="AP46" s="137">
        <f t="shared" si="69"/>
        <v>0</v>
      </c>
      <c r="AQ46" s="137">
        <f t="shared" si="70"/>
        <v>47.09</v>
      </c>
      <c r="AR46" s="84">
        <f t="shared" si="71"/>
        <v>47.09</v>
      </c>
      <c r="AS46" s="84">
        <f t="shared" si="72"/>
        <v>0</v>
      </c>
      <c r="AT46" s="84">
        <f t="shared" si="73"/>
        <v>0</v>
      </c>
      <c r="AU46" s="84">
        <f t="shared" si="74"/>
        <v>0</v>
      </c>
      <c r="AV46" s="84">
        <f t="shared" si="75"/>
        <v>0</v>
      </c>
      <c r="AW46" s="487">
        <v>1596.91</v>
      </c>
      <c r="AX46" s="137">
        <f t="shared" si="76"/>
        <v>105.14</v>
      </c>
      <c r="AY46" s="137">
        <f t="shared" si="77"/>
        <v>0</v>
      </c>
      <c r="AZ46" s="137">
        <f t="shared" si="78"/>
        <v>63.08</v>
      </c>
      <c r="BA46" s="137">
        <f t="shared" si="79"/>
        <v>-3.8</v>
      </c>
      <c r="BB46" s="137">
        <f t="shared" si="80"/>
        <v>-1.41</v>
      </c>
      <c r="BC46" s="84">
        <f t="shared" si="81"/>
        <v>163.01</v>
      </c>
      <c r="BD46" s="84">
        <f t="shared" si="82"/>
        <v>-29.35</v>
      </c>
      <c r="BE46" s="84">
        <f t="shared" si="83"/>
        <v>-41.12</v>
      </c>
      <c r="BF46" s="116">
        <f t="shared" si="84"/>
        <v>-70.47</v>
      </c>
      <c r="BG46" s="496">
        <f t="shared" si="85"/>
        <v>2793.14</v>
      </c>
      <c r="BH46" s="496">
        <f t="shared" si="86"/>
        <v>1689.45</v>
      </c>
      <c r="BI46" s="496">
        <f t="shared" si="87"/>
        <v>4482.59</v>
      </c>
    </row>
    <row r="47" spans="1:61" s="480" customFormat="1" ht="16.149999999999999" customHeight="1">
      <c r="A47" s="495" t="s">
        <v>195</v>
      </c>
      <c r="B47" s="494" t="s">
        <v>382</v>
      </c>
      <c r="C47" s="615" t="s">
        <v>63</v>
      </c>
      <c r="D47" s="385" t="s">
        <v>12</v>
      </c>
      <c r="E47" s="314">
        <v>8402</v>
      </c>
      <c r="F47" s="499"/>
      <c r="G47" s="491">
        <v>3999.9</v>
      </c>
      <c r="H47" s="485">
        <v>0</v>
      </c>
      <c r="I47" s="490">
        <f t="shared" si="48"/>
        <v>3999.9</v>
      </c>
      <c r="J47" s="489">
        <f t="shared" si="49"/>
        <v>7.4767100000000001E-3</v>
      </c>
      <c r="K47" s="484">
        <f t="shared" si="50"/>
        <v>-448.49</v>
      </c>
      <c r="L47" s="484">
        <f t="shared" si="44"/>
        <v>0</v>
      </c>
      <c r="M47" s="484">
        <f t="shared" si="44"/>
        <v>94.18</v>
      </c>
      <c r="N47" s="485">
        <f t="shared" si="51"/>
        <v>94.18</v>
      </c>
      <c r="O47" s="485">
        <f t="shared" si="45"/>
        <v>0</v>
      </c>
      <c r="P47" s="485">
        <f t="shared" si="45"/>
        <v>0</v>
      </c>
      <c r="Q47" s="485">
        <f t="shared" si="52"/>
        <v>0</v>
      </c>
      <c r="R47" s="484">
        <f t="shared" si="53"/>
        <v>0</v>
      </c>
      <c r="S47" s="485">
        <f t="shared" si="54"/>
        <v>4094.08</v>
      </c>
      <c r="T47" s="488">
        <f t="shared" si="55"/>
        <v>4890.21</v>
      </c>
      <c r="U47" s="487">
        <v>4150.2299999999996</v>
      </c>
      <c r="V47" s="486">
        <f t="shared" si="56"/>
        <v>7.4767100000000001E-3</v>
      </c>
      <c r="W47" s="484">
        <f t="shared" si="57"/>
        <v>210.27</v>
      </c>
      <c r="X47" s="484">
        <v>0</v>
      </c>
      <c r="Y47" s="484">
        <f t="shared" si="46"/>
        <v>126.16</v>
      </c>
      <c r="Z47" s="484">
        <f t="shared" si="46"/>
        <v>-7.6</v>
      </c>
      <c r="AA47" s="484">
        <f t="shared" si="46"/>
        <v>-2.82</v>
      </c>
      <c r="AB47" s="485">
        <f t="shared" si="58"/>
        <v>326.01</v>
      </c>
      <c r="AC47" s="485">
        <f t="shared" si="59"/>
        <v>-58.7</v>
      </c>
      <c r="AD47" s="498">
        <v>0</v>
      </c>
      <c r="AE47" s="498">
        <v>0</v>
      </c>
      <c r="AF47" s="485">
        <f t="shared" si="60"/>
        <v>0</v>
      </c>
      <c r="AG47" s="484">
        <f t="shared" si="61"/>
        <v>-58.7</v>
      </c>
      <c r="AH47" s="381">
        <f t="shared" si="62"/>
        <v>4417.54</v>
      </c>
      <c r="AI47" s="483">
        <f t="shared" si="63"/>
        <v>8511.6200000000008</v>
      </c>
      <c r="AJ47" s="483">
        <f t="shared" si="64"/>
        <v>10097.969999999999</v>
      </c>
      <c r="AK47" s="83"/>
      <c r="AL47" s="114">
        <f t="shared" si="65"/>
        <v>3999.9</v>
      </c>
      <c r="AM47" s="497">
        <f t="shared" si="66"/>
        <v>5940.69</v>
      </c>
      <c r="AN47" s="192">
        <f t="shared" si="67"/>
        <v>0</v>
      </c>
      <c r="AO47" s="114">
        <f t="shared" si="68"/>
        <v>-448.49</v>
      </c>
      <c r="AP47" s="137">
        <f t="shared" si="69"/>
        <v>0</v>
      </c>
      <c r="AQ47" s="137">
        <f t="shared" si="70"/>
        <v>94.18</v>
      </c>
      <c r="AR47" s="84">
        <f t="shared" si="71"/>
        <v>94.18</v>
      </c>
      <c r="AS47" s="84">
        <f t="shared" si="72"/>
        <v>0</v>
      </c>
      <c r="AT47" s="84">
        <f t="shared" si="73"/>
        <v>0</v>
      </c>
      <c r="AU47" s="84">
        <f t="shared" si="74"/>
        <v>0</v>
      </c>
      <c r="AV47" s="84">
        <f t="shared" si="75"/>
        <v>0</v>
      </c>
      <c r="AW47" s="487">
        <v>4150.2299999999996</v>
      </c>
      <c r="AX47" s="137">
        <f t="shared" si="76"/>
        <v>210.27</v>
      </c>
      <c r="AY47" s="137">
        <f t="shared" si="77"/>
        <v>0</v>
      </c>
      <c r="AZ47" s="137">
        <f t="shared" si="78"/>
        <v>126.16</v>
      </c>
      <c r="BA47" s="137">
        <f t="shared" si="79"/>
        <v>-7.6</v>
      </c>
      <c r="BB47" s="137">
        <f t="shared" si="80"/>
        <v>-2.82</v>
      </c>
      <c r="BC47" s="84">
        <f t="shared" si="81"/>
        <v>326.01</v>
      </c>
      <c r="BD47" s="84">
        <f t="shared" si="82"/>
        <v>-58.7</v>
      </c>
      <c r="BE47" s="84">
        <f t="shared" si="83"/>
        <v>0</v>
      </c>
      <c r="BF47" s="116">
        <f t="shared" si="84"/>
        <v>-58.7</v>
      </c>
      <c r="BG47" s="496">
        <f t="shared" si="85"/>
        <v>5586.38</v>
      </c>
      <c r="BH47" s="496">
        <f t="shared" si="86"/>
        <v>4417.54</v>
      </c>
      <c r="BI47" s="496">
        <f t="shared" si="87"/>
        <v>10003.92</v>
      </c>
    </row>
    <row r="48" spans="1:61" s="480" customFormat="1" ht="16.149999999999999" customHeight="1">
      <c r="A48" s="495" t="s">
        <v>195</v>
      </c>
      <c r="B48" s="494" t="s">
        <v>260</v>
      </c>
      <c r="C48" s="493" t="s">
        <v>62</v>
      </c>
      <c r="D48" s="385" t="s">
        <v>12</v>
      </c>
      <c r="E48" s="314">
        <v>15707</v>
      </c>
      <c r="F48" s="500">
        <v>10</v>
      </c>
      <c r="G48" s="491">
        <v>3999.94</v>
      </c>
      <c r="H48" s="485">
        <v>0</v>
      </c>
      <c r="I48" s="490">
        <f t="shared" si="48"/>
        <v>3999.94</v>
      </c>
      <c r="J48" s="489">
        <f t="shared" si="49"/>
        <v>7.4767899999999997E-3</v>
      </c>
      <c r="K48" s="484">
        <f t="shared" si="50"/>
        <v>-448.5</v>
      </c>
      <c r="L48" s="484">
        <f t="shared" si="44"/>
        <v>0</v>
      </c>
      <c r="M48" s="484">
        <f t="shared" si="44"/>
        <v>94.18</v>
      </c>
      <c r="N48" s="485">
        <f t="shared" si="51"/>
        <v>94.18</v>
      </c>
      <c r="O48" s="485">
        <f t="shared" si="45"/>
        <v>0</v>
      </c>
      <c r="P48" s="485">
        <f t="shared" si="45"/>
        <v>0</v>
      </c>
      <c r="Q48" s="485">
        <f t="shared" si="52"/>
        <v>0</v>
      </c>
      <c r="R48" s="484">
        <f t="shared" si="53"/>
        <v>0</v>
      </c>
      <c r="S48" s="485">
        <f t="shared" si="54"/>
        <v>4094.12</v>
      </c>
      <c r="T48" s="488">
        <f t="shared" si="55"/>
        <v>4890.26</v>
      </c>
      <c r="U48" s="487">
        <v>3672.03</v>
      </c>
      <c r="V48" s="486">
        <f t="shared" si="56"/>
        <v>7.4767899999999997E-3</v>
      </c>
      <c r="W48" s="484">
        <f t="shared" si="57"/>
        <v>210.28</v>
      </c>
      <c r="X48" s="484">
        <v>0</v>
      </c>
      <c r="Y48" s="484">
        <f t="shared" si="46"/>
        <v>126.17</v>
      </c>
      <c r="Z48" s="484">
        <f t="shared" si="46"/>
        <v>-7.6</v>
      </c>
      <c r="AA48" s="484">
        <f t="shared" si="46"/>
        <v>-2.82</v>
      </c>
      <c r="AB48" s="485">
        <f t="shared" si="58"/>
        <v>326.02999999999997</v>
      </c>
      <c r="AC48" s="485">
        <f t="shared" si="59"/>
        <v>-58.7</v>
      </c>
      <c r="AD48" s="498">
        <f>(F48/F$184)*AD$184</f>
        <v>-41.12</v>
      </c>
      <c r="AE48" s="498">
        <v>0</v>
      </c>
      <c r="AF48" s="485">
        <f t="shared" si="60"/>
        <v>-41.12</v>
      </c>
      <c r="AG48" s="484">
        <f t="shared" si="61"/>
        <v>-99.82</v>
      </c>
      <c r="AH48" s="381">
        <f t="shared" si="62"/>
        <v>3898.24</v>
      </c>
      <c r="AI48" s="483">
        <f t="shared" si="63"/>
        <v>7992.36</v>
      </c>
      <c r="AJ48" s="483">
        <f t="shared" si="64"/>
        <v>9481.93</v>
      </c>
      <c r="AK48" s="83"/>
      <c r="AL48" s="114">
        <f t="shared" si="65"/>
        <v>3999.94</v>
      </c>
      <c r="AM48" s="497">
        <f t="shared" si="66"/>
        <v>5940.75</v>
      </c>
      <c r="AN48" s="192">
        <f t="shared" si="67"/>
        <v>0</v>
      </c>
      <c r="AO48" s="114">
        <f t="shared" si="68"/>
        <v>-448.5</v>
      </c>
      <c r="AP48" s="137">
        <f t="shared" si="69"/>
        <v>0</v>
      </c>
      <c r="AQ48" s="137">
        <f t="shared" si="70"/>
        <v>94.18</v>
      </c>
      <c r="AR48" s="84">
        <f t="shared" si="71"/>
        <v>94.18</v>
      </c>
      <c r="AS48" s="84">
        <f t="shared" si="72"/>
        <v>0</v>
      </c>
      <c r="AT48" s="84">
        <f t="shared" si="73"/>
        <v>0</v>
      </c>
      <c r="AU48" s="84">
        <f t="shared" si="74"/>
        <v>0</v>
      </c>
      <c r="AV48" s="84">
        <f t="shared" si="75"/>
        <v>0</v>
      </c>
      <c r="AW48" s="487">
        <v>3672.03</v>
      </c>
      <c r="AX48" s="137">
        <f t="shared" si="76"/>
        <v>210.28</v>
      </c>
      <c r="AY48" s="137">
        <f t="shared" si="77"/>
        <v>0</v>
      </c>
      <c r="AZ48" s="137">
        <f t="shared" si="78"/>
        <v>126.17</v>
      </c>
      <c r="BA48" s="137">
        <f t="shared" si="79"/>
        <v>-7.6</v>
      </c>
      <c r="BB48" s="137">
        <f t="shared" si="80"/>
        <v>-2.82</v>
      </c>
      <c r="BC48" s="84">
        <f t="shared" si="81"/>
        <v>326.02999999999997</v>
      </c>
      <c r="BD48" s="84">
        <f t="shared" si="82"/>
        <v>-58.7</v>
      </c>
      <c r="BE48" s="84">
        <f t="shared" si="83"/>
        <v>-41.12</v>
      </c>
      <c r="BF48" s="116">
        <f t="shared" si="84"/>
        <v>-99.82</v>
      </c>
      <c r="BG48" s="496">
        <f t="shared" si="85"/>
        <v>5586.43</v>
      </c>
      <c r="BH48" s="496">
        <f t="shared" si="86"/>
        <v>3898.24</v>
      </c>
      <c r="BI48" s="496">
        <f t="shared" si="87"/>
        <v>9484.67</v>
      </c>
    </row>
    <row r="49" spans="1:61" s="480" customFormat="1" ht="16.149999999999999" customHeight="1">
      <c r="A49" s="495" t="s">
        <v>195</v>
      </c>
      <c r="B49" s="494" t="s">
        <v>347</v>
      </c>
      <c r="C49" s="615" t="s">
        <v>63</v>
      </c>
      <c r="D49" s="385" t="s">
        <v>12</v>
      </c>
      <c r="E49" s="314">
        <v>2923</v>
      </c>
      <c r="F49" s="499"/>
      <c r="G49" s="491">
        <v>1999.91</v>
      </c>
      <c r="H49" s="485">
        <v>0</v>
      </c>
      <c r="I49" s="490">
        <f t="shared" si="48"/>
        <v>1999.91</v>
      </c>
      <c r="J49" s="489">
        <f t="shared" si="49"/>
        <v>3.7382800000000001E-3</v>
      </c>
      <c r="K49" s="484">
        <f t="shared" si="50"/>
        <v>-224.24</v>
      </c>
      <c r="L49" s="484">
        <f t="shared" si="44"/>
        <v>0</v>
      </c>
      <c r="M49" s="484">
        <f t="shared" si="44"/>
        <v>47.09</v>
      </c>
      <c r="N49" s="485">
        <f t="shared" si="51"/>
        <v>47.09</v>
      </c>
      <c r="O49" s="485">
        <f t="shared" si="45"/>
        <v>0</v>
      </c>
      <c r="P49" s="485">
        <f t="shared" si="45"/>
        <v>0</v>
      </c>
      <c r="Q49" s="485">
        <f t="shared" si="52"/>
        <v>0</v>
      </c>
      <c r="R49" s="484">
        <f t="shared" si="53"/>
        <v>0</v>
      </c>
      <c r="S49" s="485">
        <f t="shared" si="54"/>
        <v>2047</v>
      </c>
      <c r="T49" s="488">
        <f t="shared" si="55"/>
        <v>2445.06</v>
      </c>
      <c r="U49" s="487">
        <v>2075.08</v>
      </c>
      <c r="V49" s="486">
        <f t="shared" si="56"/>
        <v>3.7382800000000001E-3</v>
      </c>
      <c r="W49" s="484">
        <f t="shared" si="57"/>
        <v>105.14</v>
      </c>
      <c r="X49" s="484">
        <v>0</v>
      </c>
      <c r="Y49" s="484">
        <f t="shared" si="46"/>
        <v>63.08</v>
      </c>
      <c r="Z49" s="484">
        <f t="shared" si="46"/>
        <v>-3.8</v>
      </c>
      <c r="AA49" s="484">
        <f t="shared" si="46"/>
        <v>-1.41</v>
      </c>
      <c r="AB49" s="485">
        <f t="shared" si="58"/>
        <v>163.01</v>
      </c>
      <c r="AC49" s="485">
        <f t="shared" si="59"/>
        <v>-29.35</v>
      </c>
      <c r="AD49" s="498">
        <v>0</v>
      </c>
      <c r="AE49" s="498">
        <v>0</v>
      </c>
      <c r="AF49" s="485">
        <f t="shared" si="60"/>
        <v>0</v>
      </c>
      <c r="AG49" s="484">
        <f t="shared" si="61"/>
        <v>-29.35</v>
      </c>
      <c r="AH49" s="381">
        <f t="shared" si="62"/>
        <v>2208.7399999999998</v>
      </c>
      <c r="AI49" s="483">
        <f t="shared" si="63"/>
        <v>4255.74</v>
      </c>
      <c r="AJ49" s="483">
        <f t="shared" si="64"/>
        <v>5048.8999999999996</v>
      </c>
      <c r="AK49" s="83"/>
      <c r="AL49" s="114">
        <f t="shared" si="65"/>
        <v>1999.91</v>
      </c>
      <c r="AM49" s="497">
        <f t="shared" si="66"/>
        <v>2970.29</v>
      </c>
      <c r="AN49" s="192">
        <f t="shared" si="67"/>
        <v>0</v>
      </c>
      <c r="AO49" s="114">
        <f t="shared" si="68"/>
        <v>-224.24</v>
      </c>
      <c r="AP49" s="137">
        <f t="shared" si="69"/>
        <v>0</v>
      </c>
      <c r="AQ49" s="137">
        <f t="shared" si="70"/>
        <v>47.09</v>
      </c>
      <c r="AR49" s="84">
        <f t="shared" si="71"/>
        <v>47.09</v>
      </c>
      <c r="AS49" s="84">
        <f t="shared" si="72"/>
        <v>0</v>
      </c>
      <c r="AT49" s="84">
        <f t="shared" si="73"/>
        <v>0</v>
      </c>
      <c r="AU49" s="84">
        <f t="shared" si="74"/>
        <v>0</v>
      </c>
      <c r="AV49" s="84">
        <f t="shared" si="75"/>
        <v>0</v>
      </c>
      <c r="AW49" s="487">
        <v>2075.08</v>
      </c>
      <c r="AX49" s="137">
        <f t="shared" si="76"/>
        <v>105.14</v>
      </c>
      <c r="AY49" s="137">
        <f t="shared" si="77"/>
        <v>0</v>
      </c>
      <c r="AZ49" s="137">
        <f t="shared" si="78"/>
        <v>63.08</v>
      </c>
      <c r="BA49" s="137">
        <f t="shared" si="79"/>
        <v>-3.8</v>
      </c>
      <c r="BB49" s="137">
        <f t="shared" si="80"/>
        <v>-1.41</v>
      </c>
      <c r="BC49" s="84">
        <f t="shared" si="81"/>
        <v>163.01</v>
      </c>
      <c r="BD49" s="84">
        <f t="shared" si="82"/>
        <v>-29.35</v>
      </c>
      <c r="BE49" s="84">
        <f t="shared" si="83"/>
        <v>0</v>
      </c>
      <c r="BF49" s="116">
        <f t="shared" si="84"/>
        <v>-29.35</v>
      </c>
      <c r="BG49" s="496">
        <f t="shared" si="85"/>
        <v>2793.14</v>
      </c>
      <c r="BH49" s="496">
        <f t="shared" si="86"/>
        <v>2208.7399999999998</v>
      </c>
      <c r="BI49" s="496">
        <f t="shared" si="87"/>
        <v>5001.88</v>
      </c>
    </row>
    <row r="50" spans="1:61" s="480" customFormat="1" ht="16.149999999999999" customHeight="1">
      <c r="A50" s="495" t="s">
        <v>195</v>
      </c>
      <c r="B50" s="494" t="s">
        <v>248</v>
      </c>
      <c r="C50" s="493" t="s">
        <v>62</v>
      </c>
      <c r="D50" s="385" t="s">
        <v>12</v>
      </c>
      <c r="E50" s="314">
        <v>7306</v>
      </c>
      <c r="F50" s="500">
        <v>10</v>
      </c>
      <c r="G50" s="491">
        <v>1999.91</v>
      </c>
      <c r="H50" s="485">
        <v>0</v>
      </c>
      <c r="I50" s="490">
        <f t="shared" si="48"/>
        <v>1999.91</v>
      </c>
      <c r="J50" s="489">
        <f t="shared" si="49"/>
        <v>3.7382800000000001E-3</v>
      </c>
      <c r="K50" s="484">
        <f t="shared" si="50"/>
        <v>-224.24</v>
      </c>
      <c r="L50" s="484">
        <f t="shared" si="44"/>
        <v>0</v>
      </c>
      <c r="M50" s="484">
        <f t="shared" si="44"/>
        <v>47.09</v>
      </c>
      <c r="N50" s="485">
        <f t="shared" si="51"/>
        <v>47.09</v>
      </c>
      <c r="O50" s="485">
        <f t="shared" si="45"/>
        <v>0</v>
      </c>
      <c r="P50" s="485">
        <f t="shared" si="45"/>
        <v>0</v>
      </c>
      <c r="Q50" s="485">
        <f t="shared" si="52"/>
        <v>0</v>
      </c>
      <c r="R50" s="484">
        <f t="shared" si="53"/>
        <v>0</v>
      </c>
      <c r="S50" s="485">
        <f t="shared" si="54"/>
        <v>2047</v>
      </c>
      <c r="T50" s="488">
        <f t="shared" si="55"/>
        <v>2445.06</v>
      </c>
      <c r="U50" s="487">
        <v>1596.91</v>
      </c>
      <c r="V50" s="486">
        <f t="shared" si="56"/>
        <v>3.7382800000000001E-3</v>
      </c>
      <c r="W50" s="484">
        <f t="shared" si="57"/>
        <v>105.14</v>
      </c>
      <c r="X50" s="484">
        <v>0</v>
      </c>
      <c r="Y50" s="484">
        <f t="shared" si="46"/>
        <v>63.08</v>
      </c>
      <c r="Z50" s="484">
        <f t="shared" si="46"/>
        <v>-3.8</v>
      </c>
      <c r="AA50" s="484">
        <f t="shared" si="46"/>
        <v>-1.41</v>
      </c>
      <c r="AB50" s="485">
        <f t="shared" si="58"/>
        <v>163.01</v>
      </c>
      <c r="AC50" s="485">
        <f t="shared" si="59"/>
        <v>-29.35</v>
      </c>
      <c r="AD50" s="498">
        <f>(F50/F$184)*AD$184</f>
        <v>-41.12</v>
      </c>
      <c r="AE50" s="498">
        <v>0</v>
      </c>
      <c r="AF50" s="485">
        <f t="shared" si="60"/>
        <v>-41.12</v>
      </c>
      <c r="AG50" s="484">
        <f t="shared" si="61"/>
        <v>-70.47</v>
      </c>
      <c r="AH50" s="381">
        <f t="shared" si="62"/>
        <v>1689.45</v>
      </c>
      <c r="AI50" s="483">
        <f t="shared" si="63"/>
        <v>3736.45</v>
      </c>
      <c r="AJ50" s="483">
        <f t="shared" si="64"/>
        <v>4432.83</v>
      </c>
      <c r="AK50" s="83"/>
      <c r="AL50" s="114">
        <f t="shared" si="65"/>
        <v>1999.91</v>
      </c>
      <c r="AM50" s="497">
        <f t="shared" si="66"/>
        <v>2970.29</v>
      </c>
      <c r="AN50" s="192">
        <f t="shared" si="67"/>
        <v>0</v>
      </c>
      <c r="AO50" s="114">
        <f t="shared" si="68"/>
        <v>-224.24</v>
      </c>
      <c r="AP50" s="137">
        <f t="shared" si="69"/>
        <v>0</v>
      </c>
      <c r="AQ50" s="137">
        <f t="shared" si="70"/>
        <v>47.09</v>
      </c>
      <c r="AR50" s="84">
        <f t="shared" si="71"/>
        <v>47.09</v>
      </c>
      <c r="AS50" s="84">
        <f t="shared" si="72"/>
        <v>0</v>
      </c>
      <c r="AT50" s="84">
        <f t="shared" si="73"/>
        <v>0</v>
      </c>
      <c r="AU50" s="84">
        <f t="shared" si="74"/>
        <v>0</v>
      </c>
      <c r="AV50" s="84">
        <f t="shared" si="75"/>
        <v>0</v>
      </c>
      <c r="AW50" s="487">
        <v>1596.91</v>
      </c>
      <c r="AX50" s="137">
        <f t="shared" si="76"/>
        <v>105.14</v>
      </c>
      <c r="AY50" s="137">
        <f t="shared" si="77"/>
        <v>0</v>
      </c>
      <c r="AZ50" s="137">
        <f t="shared" si="78"/>
        <v>63.08</v>
      </c>
      <c r="BA50" s="137">
        <f t="shared" si="79"/>
        <v>-3.8</v>
      </c>
      <c r="BB50" s="137">
        <f t="shared" si="80"/>
        <v>-1.41</v>
      </c>
      <c r="BC50" s="84">
        <f t="shared" si="81"/>
        <v>163.01</v>
      </c>
      <c r="BD50" s="84">
        <f t="shared" si="82"/>
        <v>-29.35</v>
      </c>
      <c r="BE50" s="84">
        <f t="shared" si="83"/>
        <v>-41.12</v>
      </c>
      <c r="BF50" s="116">
        <f t="shared" si="84"/>
        <v>-70.47</v>
      </c>
      <c r="BG50" s="496">
        <f t="shared" si="85"/>
        <v>2793.14</v>
      </c>
      <c r="BH50" s="496">
        <f t="shared" si="86"/>
        <v>1689.45</v>
      </c>
      <c r="BI50" s="496">
        <f t="shared" si="87"/>
        <v>4482.59</v>
      </c>
    </row>
    <row r="51" spans="1:61" s="480" customFormat="1" ht="16.149999999999999" customHeight="1">
      <c r="A51" s="495" t="s">
        <v>195</v>
      </c>
      <c r="B51" s="494" t="s">
        <v>249</v>
      </c>
      <c r="C51" s="493" t="s">
        <v>62</v>
      </c>
      <c r="D51" s="385" t="s">
        <v>12</v>
      </c>
      <c r="E51" s="314">
        <v>6941</v>
      </c>
      <c r="F51" s="500">
        <v>10</v>
      </c>
      <c r="G51" s="491">
        <v>1999.91</v>
      </c>
      <c r="H51" s="485">
        <v>0</v>
      </c>
      <c r="I51" s="490">
        <f t="shared" si="48"/>
        <v>1999.91</v>
      </c>
      <c r="J51" s="489">
        <f t="shared" si="49"/>
        <v>3.7382800000000001E-3</v>
      </c>
      <c r="K51" s="484">
        <f t="shared" si="50"/>
        <v>-224.24</v>
      </c>
      <c r="L51" s="484">
        <f t="shared" si="44"/>
        <v>0</v>
      </c>
      <c r="M51" s="484">
        <f t="shared" si="44"/>
        <v>47.09</v>
      </c>
      <c r="N51" s="485">
        <f t="shared" si="51"/>
        <v>47.09</v>
      </c>
      <c r="O51" s="485">
        <f t="shared" si="45"/>
        <v>0</v>
      </c>
      <c r="P51" s="485">
        <f t="shared" si="45"/>
        <v>0</v>
      </c>
      <c r="Q51" s="485">
        <f t="shared" si="52"/>
        <v>0</v>
      </c>
      <c r="R51" s="484">
        <f t="shared" si="53"/>
        <v>0</v>
      </c>
      <c r="S51" s="485">
        <f t="shared" si="54"/>
        <v>2047</v>
      </c>
      <c r="T51" s="488">
        <f t="shared" si="55"/>
        <v>2445.06</v>
      </c>
      <c r="U51" s="487">
        <v>1596.91</v>
      </c>
      <c r="V51" s="486">
        <f t="shared" si="56"/>
        <v>3.7382800000000001E-3</v>
      </c>
      <c r="W51" s="484">
        <f t="shared" si="57"/>
        <v>105.14</v>
      </c>
      <c r="X51" s="484">
        <v>0</v>
      </c>
      <c r="Y51" s="484">
        <f t="shared" si="46"/>
        <v>63.08</v>
      </c>
      <c r="Z51" s="484">
        <f t="shared" si="46"/>
        <v>-3.8</v>
      </c>
      <c r="AA51" s="484">
        <f t="shared" si="46"/>
        <v>-1.41</v>
      </c>
      <c r="AB51" s="485">
        <f t="shared" si="58"/>
        <v>163.01</v>
      </c>
      <c r="AC51" s="485">
        <f t="shared" si="59"/>
        <v>-29.35</v>
      </c>
      <c r="AD51" s="498">
        <f>(F51/F$184)*AD$184</f>
        <v>-41.12</v>
      </c>
      <c r="AE51" s="498">
        <v>0</v>
      </c>
      <c r="AF51" s="485">
        <f t="shared" si="60"/>
        <v>-41.12</v>
      </c>
      <c r="AG51" s="484">
        <f t="shared" si="61"/>
        <v>-70.47</v>
      </c>
      <c r="AH51" s="381">
        <f t="shared" si="62"/>
        <v>1689.45</v>
      </c>
      <c r="AI51" s="483">
        <f t="shared" si="63"/>
        <v>3736.45</v>
      </c>
      <c r="AJ51" s="483">
        <f t="shared" si="64"/>
        <v>4432.83</v>
      </c>
      <c r="AK51" s="83"/>
      <c r="AL51" s="114">
        <f t="shared" si="65"/>
        <v>1999.91</v>
      </c>
      <c r="AM51" s="497">
        <f t="shared" si="66"/>
        <v>2970.29</v>
      </c>
      <c r="AN51" s="192">
        <f t="shared" si="67"/>
        <v>0</v>
      </c>
      <c r="AO51" s="114">
        <f t="shared" si="68"/>
        <v>-224.24</v>
      </c>
      <c r="AP51" s="137">
        <f t="shared" si="69"/>
        <v>0</v>
      </c>
      <c r="AQ51" s="137">
        <f t="shared" si="70"/>
        <v>47.09</v>
      </c>
      <c r="AR51" s="84">
        <f t="shared" si="71"/>
        <v>47.09</v>
      </c>
      <c r="AS51" s="84">
        <f t="shared" si="72"/>
        <v>0</v>
      </c>
      <c r="AT51" s="84">
        <f t="shared" si="73"/>
        <v>0</v>
      </c>
      <c r="AU51" s="84">
        <f t="shared" si="74"/>
        <v>0</v>
      </c>
      <c r="AV51" s="84">
        <f t="shared" si="75"/>
        <v>0</v>
      </c>
      <c r="AW51" s="487">
        <v>1596.91</v>
      </c>
      <c r="AX51" s="137">
        <f t="shared" si="76"/>
        <v>105.14</v>
      </c>
      <c r="AY51" s="137">
        <f t="shared" si="77"/>
        <v>0</v>
      </c>
      <c r="AZ51" s="137">
        <f t="shared" si="78"/>
        <v>63.08</v>
      </c>
      <c r="BA51" s="137">
        <f t="shared" si="79"/>
        <v>-3.8</v>
      </c>
      <c r="BB51" s="137">
        <f t="shared" si="80"/>
        <v>-1.41</v>
      </c>
      <c r="BC51" s="84">
        <f t="shared" si="81"/>
        <v>163.01</v>
      </c>
      <c r="BD51" s="84">
        <f t="shared" si="82"/>
        <v>-29.35</v>
      </c>
      <c r="BE51" s="84">
        <f t="shared" si="83"/>
        <v>-41.12</v>
      </c>
      <c r="BF51" s="116">
        <f t="shared" si="84"/>
        <v>-70.47</v>
      </c>
      <c r="BG51" s="496">
        <f t="shared" si="85"/>
        <v>2793.14</v>
      </c>
      <c r="BH51" s="496">
        <f t="shared" si="86"/>
        <v>1689.45</v>
      </c>
      <c r="BI51" s="496">
        <f t="shared" si="87"/>
        <v>4482.59</v>
      </c>
    </row>
    <row r="52" spans="1:61" s="480" customFormat="1" ht="16.149999999999999" customHeight="1">
      <c r="A52" s="495" t="s">
        <v>195</v>
      </c>
      <c r="B52" s="494" t="s">
        <v>348</v>
      </c>
      <c r="C52" s="615" t="s">
        <v>63</v>
      </c>
      <c r="D52" s="385" t="s">
        <v>12</v>
      </c>
      <c r="E52" s="314">
        <v>14611</v>
      </c>
      <c r="F52" s="499"/>
      <c r="G52" s="491">
        <v>1999.91</v>
      </c>
      <c r="H52" s="485">
        <v>0</v>
      </c>
      <c r="I52" s="490">
        <f t="shared" si="48"/>
        <v>1999.91</v>
      </c>
      <c r="J52" s="489">
        <f t="shared" si="49"/>
        <v>3.7382800000000001E-3</v>
      </c>
      <c r="K52" s="484">
        <f t="shared" si="50"/>
        <v>-224.24</v>
      </c>
      <c r="L52" s="484">
        <f t="shared" ref="L52:M60" si="88">$J52*L$184</f>
        <v>0</v>
      </c>
      <c r="M52" s="484">
        <f t="shared" si="88"/>
        <v>47.09</v>
      </c>
      <c r="N52" s="485">
        <f t="shared" si="51"/>
        <v>47.09</v>
      </c>
      <c r="O52" s="485">
        <f t="shared" ref="O52:P71" si="89">$J52*O$184</f>
        <v>0</v>
      </c>
      <c r="P52" s="485">
        <f t="shared" si="89"/>
        <v>0</v>
      </c>
      <c r="Q52" s="485">
        <f t="shared" si="52"/>
        <v>0</v>
      </c>
      <c r="R52" s="484">
        <f t="shared" si="53"/>
        <v>0</v>
      </c>
      <c r="S52" s="485">
        <f t="shared" si="54"/>
        <v>2047</v>
      </c>
      <c r="T52" s="488">
        <f t="shared" si="55"/>
        <v>2445.06</v>
      </c>
      <c r="U52" s="487">
        <v>2075.08</v>
      </c>
      <c r="V52" s="486">
        <f t="shared" si="56"/>
        <v>3.7382800000000001E-3</v>
      </c>
      <c r="W52" s="484">
        <f t="shared" si="57"/>
        <v>105.14</v>
      </c>
      <c r="X52" s="484">
        <v>0</v>
      </c>
      <c r="Y52" s="484">
        <f t="shared" ref="Y52:AA60" si="90">$V52*Y$184</f>
        <v>63.08</v>
      </c>
      <c r="Z52" s="484">
        <f t="shared" si="90"/>
        <v>-3.8</v>
      </c>
      <c r="AA52" s="484">
        <f t="shared" si="90"/>
        <v>-1.41</v>
      </c>
      <c r="AB52" s="485">
        <f t="shared" si="58"/>
        <v>163.01</v>
      </c>
      <c r="AC52" s="485">
        <f t="shared" si="59"/>
        <v>-29.35</v>
      </c>
      <c r="AD52" s="498">
        <v>0</v>
      </c>
      <c r="AE52" s="498">
        <v>0</v>
      </c>
      <c r="AF52" s="485">
        <f t="shared" si="60"/>
        <v>0</v>
      </c>
      <c r="AG52" s="484">
        <f t="shared" si="61"/>
        <v>-29.35</v>
      </c>
      <c r="AH52" s="381">
        <f t="shared" si="62"/>
        <v>2208.7399999999998</v>
      </c>
      <c r="AI52" s="483">
        <f t="shared" si="63"/>
        <v>4255.74</v>
      </c>
      <c r="AJ52" s="483">
        <f t="shared" si="64"/>
        <v>5048.8999999999996</v>
      </c>
      <c r="AK52" s="83"/>
      <c r="AL52" s="114">
        <f t="shared" si="65"/>
        <v>1999.91</v>
      </c>
      <c r="AM52" s="497">
        <f t="shared" si="66"/>
        <v>2970.29</v>
      </c>
      <c r="AN52" s="192">
        <f t="shared" si="67"/>
        <v>0</v>
      </c>
      <c r="AO52" s="114">
        <f t="shared" si="68"/>
        <v>-224.24</v>
      </c>
      <c r="AP52" s="137">
        <f t="shared" si="69"/>
        <v>0</v>
      </c>
      <c r="AQ52" s="137">
        <f t="shared" si="70"/>
        <v>47.09</v>
      </c>
      <c r="AR52" s="84">
        <f t="shared" si="71"/>
        <v>47.09</v>
      </c>
      <c r="AS52" s="84">
        <f t="shared" si="72"/>
        <v>0</v>
      </c>
      <c r="AT52" s="84">
        <f t="shared" si="73"/>
        <v>0</v>
      </c>
      <c r="AU52" s="84">
        <f t="shared" si="74"/>
        <v>0</v>
      </c>
      <c r="AV52" s="84">
        <f t="shared" si="75"/>
        <v>0</v>
      </c>
      <c r="AW52" s="487">
        <v>2075.08</v>
      </c>
      <c r="AX52" s="137">
        <f t="shared" si="76"/>
        <v>105.14</v>
      </c>
      <c r="AY52" s="137">
        <f t="shared" si="77"/>
        <v>0</v>
      </c>
      <c r="AZ52" s="137">
        <f t="shared" si="78"/>
        <v>63.08</v>
      </c>
      <c r="BA52" s="137">
        <f t="shared" si="79"/>
        <v>-3.8</v>
      </c>
      <c r="BB52" s="137">
        <f t="shared" si="80"/>
        <v>-1.41</v>
      </c>
      <c r="BC52" s="84">
        <f t="shared" si="81"/>
        <v>163.01</v>
      </c>
      <c r="BD52" s="84">
        <f t="shared" si="82"/>
        <v>-29.35</v>
      </c>
      <c r="BE52" s="84">
        <f t="shared" si="83"/>
        <v>0</v>
      </c>
      <c r="BF52" s="116">
        <f t="shared" si="84"/>
        <v>-29.35</v>
      </c>
      <c r="BG52" s="496">
        <f t="shared" si="85"/>
        <v>2793.14</v>
      </c>
      <c r="BH52" s="496">
        <f t="shared" si="86"/>
        <v>2208.7399999999998</v>
      </c>
      <c r="BI52" s="496">
        <f t="shared" si="87"/>
        <v>5001.88</v>
      </c>
    </row>
    <row r="53" spans="1:61" s="480" customFormat="1" ht="16.149999999999999" customHeight="1">
      <c r="A53" s="495" t="s">
        <v>195</v>
      </c>
      <c r="B53" s="494" t="s">
        <v>349</v>
      </c>
      <c r="C53" s="615" t="s">
        <v>63</v>
      </c>
      <c r="D53" s="385" t="s">
        <v>12</v>
      </c>
      <c r="E53" s="314">
        <v>8037</v>
      </c>
      <c r="F53" s="499"/>
      <c r="G53" s="491">
        <v>2999.89</v>
      </c>
      <c r="H53" s="485">
        <v>0</v>
      </c>
      <c r="I53" s="490">
        <f t="shared" si="48"/>
        <v>2999.89</v>
      </c>
      <c r="J53" s="489">
        <f t="shared" si="49"/>
        <v>5.6074699999999998E-3</v>
      </c>
      <c r="K53" s="484">
        <f t="shared" si="50"/>
        <v>-336.37</v>
      </c>
      <c r="L53" s="484">
        <f t="shared" si="88"/>
        <v>0</v>
      </c>
      <c r="M53" s="484">
        <f t="shared" si="88"/>
        <v>70.63</v>
      </c>
      <c r="N53" s="485">
        <f t="shared" si="51"/>
        <v>70.63</v>
      </c>
      <c r="O53" s="485">
        <f t="shared" si="89"/>
        <v>0</v>
      </c>
      <c r="P53" s="485">
        <f t="shared" si="89"/>
        <v>0</v>
      </c>
      <c r="Q53" s="485">
        <f t="shared" si="52"/>
        <v>0</v>
      </c>
      <c r="R53" s="484">
        <f t="shared" si="53"/>
        <v>0</v>
      </c>
      <c r="S53" s="485">
        <f t="shared" si="54"/>
        <v>3070.52</v>
      </c>
      <c r="T53" s="488">
        <f t="shared" si="55"/>
        <v>3667.61</v>
      </c>
      <c r="U53" s="487">
        <v>3112.63</v>
      </c>
      <c r="V53" s="486">
        <f t="shared" si="56"/>
        <v>5.6074699999999998E-3</v>
      </c>
      <c r="W53" s="484">
        <f t="shared" si="57"/>
        <v>157.69999999999999</v>
      </c>
      <c r="X53" s="484">
        <v>0</v>
      </c>
      <c r="Y53" s="484">
        <f t="shared" si="90"/>
        <v>94.62</v>
      </c>
      <c r="Z53" s="484">
        <f t="shared" si="90"/>
        <v>-5.7</v>
      </c>
      <c r="AA53" s="484">
        <f t="shared" si="90"/>
        <v>-2.11</v>
      </c>
      <c r="AB53" s="485">
        <f t="shared" si="58"/>
        <v>244.51</v>
      </c>
      <c r="AC53" s="485">
        <f t="shared" si="59"/>
        <v>-44.02</v>
      </c>
      <c r="AD53" s="498">
        <v>0</v>
      </c>
      <c r="AE53" s="498">
        <v>0</v>
      </c>
      <c r="AF53" s="485">
        <f t="shared" si="60"/>
        <v>0</v>
      </c>
      <c r="AG53" s="484">
        <f t="shared" si="61"/>
        <v>-44.02</v>
      </c>
      <c r="AH53" s="381">
        <f t="shared" si="62"/>
        <v>3313.12</v>
      </c>
      <c r="AI53" s="483">
        <f t="shared" si="63"/>
        <v>6383.64</v>
      </c>
      <c r="AJ53" s="483">
        <f t="shared" si="64"/>
        <v>7573.39</v>
      </c>
      <c r="AK53" s="83"/>
      <c r="AL53" s="114">
        <f t="shared" si="65"/>
        <v>2999.89</v>
      </c>
      <c r="AM53" s="497">
        <f t="shared" si="66"/>
        <v>4455.47</v>
      </c>
      <c r="AN53" s="192">
        <f t="shared" si="67"/>
        <v>0</v>
      </c>
      <c r="AO53" s="114">
        <f t="shared" si="68"/>
        <v>-336.37</v>
      </c>
      <c r="AP53" s="137">
        <f t="shared" si="69"/>
        <v>0</v>
      </c>
      <c r="AQ53" s="137">
        <f t="shared" si="70"/>
        <v>70.63</v>
      </c>
      <c r="AR53" s="84">
        <f t="shared" si="71"/>
        <v>70.63</v>
      </c>
      <c r="AS53" s="84">
        <f t="shared" si="72"/>
        <v>0</v>
      </c>
      <c r="AT53" s="84">
        <f t="shared" si="73"/>
        <v>0</v>
      </c>
      <c r="AU53" s="84">
        <f t="shared" si="74"/>
        <v>0</v>
      </c>
      <c r="AV53" s="84">
        <f t="shared" si="75"/>
        <v>0</v>
      </c>
      <c r="AW53" s="487">
        <v>3112.63</v>
      </c>
      <c r="AX53" s="137">
        <f t="shared" si="76"/>
        <v>157.69999999999999</v>
      </c>
      <c r="AY53" s="137">
        <f t="shared" si="77"/>
        <v>0</v>
      </c>
      <c r="AZ53" s="137">
        <f t="shared" si="78"/>
        <v>94.62</v>
      </c>
      <c r="BA53" s="137">
        <f t="shared" si="79"/>
        <v>-5.7</v>
      </c>
      <c r="BB53" s="137">
        <f t="shared" si="80"/>
        <v>-2.11</v>
      </c>
      <c r="BC53" s="84">
        <f t="shared" si="81"/>
        <v>244.51</v>
      </c>
      <c r="BD53" s="84">
        <f t="shared" si="82"/>
        <v>-44.02</v>
      </c>
      <c r="BE53" s="84">
        <f t="shared" si="83"/>
        <v>0</v>
      </c>
      <c r="BF53" s="116">
        <f t="shared" si="84"/>
        <v>-44.02</v>
      </c>
      <c r="BG53" s="496">
        <f t="shared" si="85"/>
        <v>4189.7299999999996</v>
      </c>
      <c r="BH53" s="496">
        <f t="shared" si="86"/>
        <v>3313.12</v>
      </c>
      <c r="BI53" s="496">
        <f t="shared" si="87"/>
        <v>7502.85</v>
      </c>
    </row>
    <row r="54" spans="1:61" s="480" customFormat="1" ht="16.149999999999999" customHeight="1">
      <c r="A54" s="495" t="s">
        <v>195</v>
      </c>
      <c r="B54" s="494" t="s">
        <v>256</v>
      </c>
      <c r="C54" s="493" t="s">
        <v>62</v>
      </c>
      <c r="D54" s="385" t="s">
        <v>12</v>
      </c>
      <c r="E54" s="314">
        <v>17168</v>
      </c>
      <c r="F54" s="500">
        <v>10</v>
      </c>
      <c r="G54" s="491">
        <v>3999.94</v>
      </c>
      <c r="H54" s="485">
        <v>0</v>
      </c>
      <c r="I54" s="490">
        <f t="shared" si="48"/>
        <v>3999.94</v>
      </c>
      <c r="J54" s="489">
        <f t="shared" si="49"/>
        <v>7.4767899999999997E-3</v>
      </c>
      <c r="K54" s="484">
        <f t="shared" si="50"/>
        <v>-448.5</v>
      </c>
      <c r="L54" s="484">
        <f t="shared" si="88"/>
        <v>0</v>
      </c>
      <c r="M54" s="484">
        <f t="shared" si="88"/>
        <v>94.18</v>
      </c>
      <c r="N54" s="485">
        <f t="shared" si="51"/>
        <v>94.18</v>
      </c>
      <c r="O54" s="485">
        <f t="shared" si="89"/>
        <v>0</v>
      </c>
      <c r="P54" s="485">
        <f t="shared" si="89"/>
        <v>0</v>
      </c>
      <c r="Q54" s="485">
        <f t="shared" si="52"/>
        <v>0</v>
      </c>
      <c r="R54" s="484">
        <f t="shared" si="53"/>
        <v>0</v>
      </c>
      <c r="S54" s="485">
        <f t="shared" si="54"/>
        <v>4094.12</v>
      </c>
      <c r="T54" s="488">
        <f t="shared" si="55"/>
        <v>4890.26</v>
      </c>
      <c r="U54" s="487">
        <v>3672.03</v>
      </c>
      <c r="V54" s="486">
        <f t="shared" si="56"/>
        <v>7.4767899999999997E-3</v>
      </c>
      <c r="W54" s="484">
        <f t="shared" si="57"/>
        <v>210.28</v>
      </c>
      <c r="X54" s="484">
        <v>0</v>
      </c>
      <c r="Y54" s="484">
        <f t="shared" si="90"/>
        <v>126.17</v>
      </c>
      <c r="Z54" s="484">
        <f t="shared" si="90"/>
        <v>-7.6</v>
      </c>
      <c r="AA54" s="484">
        <f t="shared" si="90"/>
        <v>-2.82</v>
      </c>
      <c r="AB54" s="485">
        <f t="shared" si="58"/>
        <v>326.02999999999997</v>
      </c>
      <c r="AC54" s="485">
        <f t="shared" si="59"/>
        <v>-58.7</v>
      </c>
      <c r="AD54" s="498">
        <f>(F54/F$184)*AD$184</f>
        <v>-41.12</v>
      </c>
      <c r="AE54" s="498">
        <v>0</v>
      </c>
      <c r="AF54" s="485">
        <f t="shared" si="60"/>
        <v>-41.12</v>
      </c>
      <c r="AG54" s="484">
        <f t="shared" si="61"/>
        <v>-99.82</v>
      </c>
      <c r="AH54" s="381">
        <f t="shared" si="62"/>
        <v>3898.24</v>
      </c>
      <c r="AI54" s="483">
        <f t="shared" si="63"/>
        <v>7992.36</v>
      </c>
      <c r="AJ54" s="483">
        <f t="shared" si="64"/>
        <v>9481.93</v>
      </c>
      <c r="AK54" s="83"/>
      <c r="AL54" s="114">
        <f t="shared" si="65"/>
        <v>3999.94</v>
      </c>
      <c r="AM54" s="497">
        <f t="shared" si="66"/>
        <v>5940.75</v>
      </c>
      <c r="AN54" s="192">
        <f t="shared" si="67"/>
        <v>0</v>
      </c>
      <c r="AO54" s="114">
        <f t="shared" si="68"/>
        <v>-448.5</v>
      </c>
      <c r="AP54" s="137">
        <f t="shared" si="69"/>
        <v>0</v>
      </c>
      <c r="AQ54" s="137">
        <f t="shared" si="70"/>
        <v>94.18</v>
      </c>
      <c r="AR54" s="84">
        <f t="shared" si="71"/>
        <v>94.18</v>
      </c>
      <c r="AS54" s="84">
        <f t="shared" si="72"/>
        <v>0</v>
      </c>
      <c r="AT54" s="84">
        <f t="shared" si="73"/>
        <v>0</v>
      </c>
      <c r="AU54" s="84">
        <f t="shared" si="74"/>
        <v>0</v>
      </c>
      <c r="AV54" s="84">
        <f t="shared" si="75"/>
        <v>0</v>
      </c>
      <c r="AW54" s="487">
        <v>3672.03</v>
      </c>
      <c r="AX54" s="137">
        <f t="shared" si="76"/>
        <v>210.28</v>
      </c>
      <c r="AY54" s="137">
        <f t="shared" si="77"/>
        <v>0</v>
      </c>
      <c r="AZ54" s="137">
        <f t="shared" si="78"/>
        <v>126.17</v>
      </c>
      <c r="BA54" s="137">
        <f t="shared" si="79"/>
        <v>-7.6</v>
      </c>
      <c r="BB54" s="137">
        <f t="shared" si="80"/>
        <v>-2.82</v>
      </c>
      <c r="BC54" s="84">
        <f t="shared" si="81"/>
        <v>326.02999999999997</v>
      </c>
      <c r="BD54" s="84">
        <f t="shared" si="82"/>
        <v>-58.7</v>
      </c>
      <c r="BE54" s="84">
        <f t="shared" si="83"/>
        <v>-41.12</v>
      </c>
      <c r="BF54" s="116">
        <f t="shared" si="84"/>
        <v>-99.82</v>
      </c>
      <c r="BG54" s="496">
        <f t="shared" si="85"/>
        <v>5586.43</v>
      </c>
      <c r="BH54" s="496">
        <f t="shared" si="86"/>
        <v>3898.24</v>
      </c>
      <c r="BI54" s="496">
        <f t="shared" si="87"/>
        <v>9484.67</v>
      </c>
    </row>
    <row r="55" spans="1:61" s="480" customFormat="1" ht="16.149999999999999" customHeight="1">
      <c r="A55" s="495" t="s">
        <v>195</v>
      </c>
      <c r="B55" s="494" t="s">
        <v>367</v>
      </c>
      <c r="C55" s="615" t="s">
        <v>63</v>
      </c>
      <c r="D55" s="385" t="s">
        <v>12</v>
      </c>
      <c r="E55" s="314">
        <v>28126</v>
      </c>
      <c r="F55" s="499"/>
      <c r="G55" s="491">
        <v>542.29</v>
      </c>
      <c r="H55" s="485">
        <v>0</v>
      </c>
      <c r="I55" s="490">
        <f t="shared" si="48"/>
        <v>542.29</v>
      </c>
      <c r="J55" s="489">
        <f t="shared" si="49"/>
        <v>1.01366E-3</v>
      </c>
      <c r="K55" s="484">
        <f t="shared" si="50"/>
        <v>-60.8</v>
      </c>
      <c r="L55" s="484">
        <f t="shared" si="88"/>
        <v>0</v>
      </c>
      <c r="M55" s="484">
        <f t="shared" si="88"/>
        <v>12.77</v>
      </c>
      <c r="N55" s="485">
        <f t="shared" si="51"/>
        <v>12.77</v>
      </c>
      <c r="O55" s="485">
        <f t="shared" si="89"/>
        <v>0</v>
      </c>
      <c r="P55" s="485">
        <f t="shared" si="89"/>
        <v>0</v>
      </c>
      <c r="Q55" s="485">
        <f t="shared" si="52"/>
        <v>0</v>
      </c>
      <c r="R55" s="484">
        <f t="shared" si="53"/>
        <v>0</v>
      </c>
      <c r="S55" s="485">
        <f t="shared" si="54"/>
        <v>555.05999999999995</v>
      </c>
      <c r="T55" s="488">
        <f t="shared" si="55"/>
        <v>663</v>
      </c>
      <c r="U55" s="487">
        <v>562.66999999999996</v>
      </c>
      <c r="V55" s="486">
        <f t="shared" si="56"/>
        <v>1.01366E-3</v>
      </c>
      <c r="W55" s="484">
        <f t="shared" si="57"/>
        <v>28.51</v>
      </c>
      <c r="X55" s="484">
        <v>0</v>
      </c>
      <c r="Y55" s="484">
        <f t="shared" si="90"/>
        <v>17.100000000000001</v>
      </c>
      <c r="Z55" s="484">
        <f t="shared" si="90"/>
        <v>-1.03</v>
      </c>
      <c r="AA55" s="484">
        <f t="shared" si="90"/>
        <v>-0.38</v>
      </c>
      <c r="AB55" s="485">
        <f t="shared" si="58"/>
        <v>44.2</v>
      </c>
      <c r="AC55" s="485">
        <f t="shared" si="59"/>
        <v>-7.96</v>
      </c>
      <c r="AD55" s="498">
        <v>0</v>
      </c>
      <c r="AE55" s="498">
        <v>0</v>
      </c>
      <c r="AF55" s="485">
        <f t="shared" si="60"/>
        <v>0</v>
      </c>
      <c r="AG55" s="484">
        <f t="shared" si="61"/>
        <v>-7.96</v>
      </c>
      <c r="AH55" s="381">
        <f t="shared" si="62"/>
        <v>598.91</v>
      </c>
      <c r="AI55" s="483">
        <f t="shared" si="63"/>
        <v>1153.97</v>
      </c>
      <c r="AJ55" s="483">
        <f t="shared" si="64"/>
        <v>1369.04</v>
      </c>
      <c r="AK55" s="83"/>
      <c r="AL55" s="114">
        <f t="shared" si="65"/>
        <v>542.29</v>
      </c>
      <c r="AM55" s="497">
        <f t="shared" si="66"/>
        <v>805.41</v>
      </c>
      <c r="AN55" s="192">
        <f t="shared" si="67"/>
        <v>0</v>
      </c>
      <c r="AO55" s="114">
        <f t="shared" si="68"/>
        <v>-60.8</v>
      </c>
      <c r="AP55" s="137">
        <f t="shared" si="69"/>
        <v>0</v>
      </c>
      <c r="AQ55" s="137">
        <f t="shared" si="70"/>
        <v>12.77</v>
      </c>
      <c r="AR55" s="84">
        <f t="shared" si="71"/>
        <v>12.77</v>
      </c>
      <c r="AS55" s="84">
        <f t="shared" si="72"/>
        <v>0</v>
      </c>
      <c r="AT55" s="84">
        <f t="shared" si="73"/>
        <v>0</v>
      </c>
      <c r="AU55" s="84">
        <f t="shared" si="74"/>
        <v>0</v>
      </c>
      <c r="AV55" s="84">
        <f t="shared" si="75"/>
        <v>0</v>
      </c>
      <c r="AW55" s="487">
        <v>562.66999999999996</v>
      </c>
      <c r="AX55" s="137">
        <f t="shared" si="76"/>
        <v>28.51</v>
      </c>
      <c r="AY55" s="137">
        <f t="shared" si="77"/>
        <v>0</v>
      </c>
      <c r="AZ55" s="137">
        <f t="shared" si="78"/>
        <v>17.100000000000001</v>
      </c>
      <c r="BA55" s="137">
        <f t="shared" si="79"/>
        <v>-1.03</v>
      </c>
      <c r="BB55" s="137">
        <f t="shared" si="80"/>
        <v>-0.38</v>
      </c>
      <c r="BC55" s="84">
        <f t="shared" si="81"/>
        <v>44.2</v>
      </c>
      <c r="BD55" s="84">
        <f t="shared" si="82"/>
        <v>-7.96</v>
      </c>
      <c r="BE55" s="84">
        <f t="shared" si="83"/>
        <v>0</v>
      </c>
      <c r="BF55" s="116">
        <f t="shared" si="84"/>
        <v>-7.96</v>
      </c>
      <c r="BG55" s="496">
        <f t="shared" si="85"/>
        <v>757.38</v>
      </c>
      <c r="BH55" s="496">
        <f t="shared" si="86"/>
        <v>598.91</v>
      </c>
      <c r="BI55" s="496">
        <f t="shared" si="87"/>
        <v>1356.29</v>
      </c>
    </row>
    <row r="56" spans="1:61" s="480" customFormat="1" ht="16.149999999999999" customHeight="1">
      <c r="A56" s="495" t="s">
        <v>195</v>
      </c>
      <c r="B56" s="494" t="s">
        <v>250</v>
      </c>
      <c r="C56" s="493" t="s">
        <v>62</v>
      </c>
      <c r="D56" s="385" t="s">
        <v>12</v>
      </c>
      <c r="E56" s="314">
        <v>4384</v>
      </c>
      <c r="F56" s="500">
        <v>10</v>
      </c>
      <c r="G56" s="491">
        <v>1999.91</v>
      </c>
      <c r="H56" s="485">
        <v>0</v>
      </c>
      <c r="I56" s="490">
        <f t="shared" si="48"/>
        <v>1999.91</v>
      </c>
      <c r="J56" s="489">
        <f t="shared" si="49"/>
        <v>3.7382800000000001E-3</v>
      </c>
      <c r="K56" s="484">
        <f t="shared" si="50"/>
        <v>-224.24</v>
      </c>
      <c r="L56" s="484">
        <f t="shared" si="88"/>
        <v>0</v>
      </c>
      <c r="M56" s="484">
        <f t="shared" si="88"/>
        <v>47.09</v>
      </c>
      <c r="N56" s="485">
        <f t="shared" si="51"/>
        <v>47.09</v>
      </c>
      <c r="O56" s="485">
        <f t="shared" si="89"/>
        <v>0</v>
      </c>
      <c r="P56" s="485">
        <f t="shared" si="89"/>
        <v>0</v>
      </c>
      <c r="Q56" s="485">
        <f t="shared" si="52"/>
        <v>0</v>
      </c>
      <c r="R56" s="484">
        <f t="shared" si="53"/>
        <v>0</v>
      </c>
      <c r="S56" s="485">
        <f t="shared" si="54"/>
        <v>2047</v>
      </c>
      <c r="T56" s="488">
        <f t="shared" si="55"/>
        <v>2445.06</v>
      </c>
      <c r="U56" s="487">
        <v>1596.91</v>
      </c>
      <c r="V56" s="486">
        <f t="shared" si="56"/>
        <v>3.7382800000000001E-3</v>
      </c>
      <c r="W56" s="484">
        <f t="shared" si="57"/>
        <v>105.14</v>
      </c>
      <c r="X56" s="484">
        <v>0</v>
      </c>
      <c r="Y56" s="484">
        <f t="shared" si="90"/>
        <v>63.08</v>
      </c>
      <c r="Z56" s="484">
        <f t="shared" si="90"/>
        <v>-3.8</v>
      </c>
      <c r="AA56" s="484">
        <f t="shared" si="90"/>
        <v>-1.41</v>
      </c>
      <c r="AB56" s="485">
        <f t="shared" si="58"/>
        <v>163.01</v>
      </c>
      <c r="AC56" s="485">
        <f t="shared" si="59"/>
        <v>-29.35</v>
      </c>
      <c r="AD56" s="498">
        <f>(F56/F$184)*AD$184</f>
        <v>-41.12</v>
      </c>
      <c r="AE56" s="498">
        <v>0</v>
      </c>
      <c r="AF56" s="485">
        <f t="shared" si="60"/>
        <v>-41.12</v>
      </c>
      <c r="AG56" s="484">
        <f t="shared" si="61"/>
        <v>-70.47</v>
      </c>
      <c r="AH56" s="381">
        <f t="shared" si="62"/>
        <v>1689.45</v>
      </c>
      <c r="AI56" s="483">
        <f t="shared" si="63"/>
        <v>3736.45</v>
      </c>
      <c r="AJ56" s="483">
        <f t="shared" si="64"/>
        <v>4432.83</v>
      </c>
      <c r="AK56" s="83"/>
      <c r="AL56" s="114">
        <f t="shared" si="65"/>
        <v>1999.91</v>
      </c>
      <c r="AM56" s="497">
        <f t="shared" si="66"/>
        <v>2970.29</v>
      </c>
      <c r="AN56" s="192">
        <f t="shared" si="67"/>
        <v>0</v>
      </c>
      <c r="AO56" s="114">
        <f t="shared" si="68"/>
        <v>-224.24</v>
      </c>
      <c r="AP56" s="137">
        <f t="shared" si="69"/>
        <v>0</v>
      </c>
      <c r="AQ56" s="137">
        <f t="shared" si="70"/>
        <v>47.09</v>
      </c>
      <c r="AR56" s="84">
        <f t="shared" si="71"/>
        <v>47.09</v>
      </c>
      <c r="AS56" s="84">
        <f t="shared" si="72"/>
        <v>0</v>
      </c>
      <c r="AT56" s="84">
        <f t="shared" si="73"/>
        <v>0</v>
      </c>
      <c r="AU56" s="84">
        <f t="shared" si="74"/>
        <v>0</v>
      </c>
      <c r="AV56" s="84">
        <f t="shared" si="75"/>
        <v>0</v>
      </c>
      <c r="AW56" s="487">
        <v>1596.91</v>
      </c>
      <c r="AX56" s="137">
        <f t="shared" si="76"/>
        <v>105.14</v>
      </c>
      <c r="AY56" s="137">
        <f t="shared" si="77"/>
        <v>0</v>
      </c>
      <c r="AZ56" s="137">
        <f t="shared" si="78"/>
        <v>63.08</v>
      </c>
      <c r="BA56" s="137">
        <f t="shared" si="79"/>
        <v>-3.8</v>
      </c>
      <c r="BB56" s="137">
        <f t="shared" si="80"/>
        <v>-1.41</v>
      </c>
      <c r="BC56" s="84">
        <f t="shared" si="81"/>
        <v>163.01</v>
      </c>
      <c r="BD56" s="84">
        <f t="shared" si="82"/>
        <v>-29.35</v>
      </c>
      <c r="BE56" s="84">
        <f t="shared" si="83"/>
        <v>-41.12</v>
      </c>
      <c r="BF56" s="116">
        <f t="shared" si="84"/>
        <v>-70.47</v>
      </c>
      <c r="BG56" s="496">
        <f t="shared" si="85"/>
        <v>2793.14</v>
      </c>
      <c r="BH56" s="496">
        <f t="shared" si="86"/>
        <v>1689.45</v>
      </c>
      <c r="BI56" s="496">
        <f t="shared" si="87"/>
        <v>4482.59</v>
      </c>
    </row>
    <row r="57" spans="1:61" s="480" customFormat="1" ht="16.149999999999999" customHeight="1">
      <c r="A57" s="495" t="s">
        <v>195</v>
      </c>
      <c r="B57" s="494" t="s">
        <v>255</v>
      </c>
      <c r="C57" s="493" t="s">
        <v>62</v>
      </c>
      <c r="D57" s="385" t="s">
        <v>12</v>
      </c>
      <c r="E57" s="314">
        <v>15342</v>
      </c>
      <c r="F57" s="500">
        <v>10</v>
      </c>
      <c r="G57" s="491">
        <v>1199.9000000000001</v>
      </c>
      <c r="H57" s="485">
        <v>0</v>
      </c>
      <c r="I57" s="490">
        <f t="shared" si="48"/>
        <v>1199.9000000000001</v>
      </c>
      <c r="J57" s="489">
        <f t="shared" si="49"/>
        <v>2.24288E-3</v>
      </c>
      <c r="K57" s="484">
        <f t="shared" si="50"/>
        <v>-134.54</v>
      </c>
      <c r="L57" s="484">
        <f t="shared" si="88"/>
        <v>0</v>
      </c>
      <c r="M57" s="484">
        <f t="shared" si="88"/>
        <v>28.25</v>
      </c>
      <c r="N57" s="485">
        <f t="shared" si="51"/>
        <v>28.25</v>
      </c>
      <c r="O57" s="485">
        <f t="shared" si="89"/>
        <v>0</v>
      </c>
      <c r="P57" s="485">
        <f t="shared" si="89"/>
        <v>0</v>
      </c>
      <c r="Q57" s="485">
        <f t="shared" si="52"/>
        <v>0</v>
      </c>
      <c r="R57" s="484">
        <f t="shared" si="53"/>
        <v>0</v>
      </c>
      <c r="S57" s="485">
        <f t="shared" si="54"/>
        <v>1228.1500000000001</v>
      </c>
      <c r="T57" s="488">
        <f t="shared" si="55"/>
        <v>1466.97</v>
      </c>
      <c r="U57" s="487">
        <v>766.81</v>
      </c>
      <c r="V57" s="486">
        <f t="shared" si="56"/>
        <v>2.24288E-3</v>
      </c>
      <c r="W57" s="484">
        <f t="shared" si="57"/>
        <v>63.08</v>
      </c>
      <c r="X57" s="484">
        <v>0</v>
      </c>
      <c r="Y57" s="484">
        <f t="shared" si="90"/>
        <v>37.85</v>
      </c>
      <c r="Z57" s="484">
        <f t="shared" si="90"/>
        <v>-2.2799999999999998</v>
      </c>
      <c r="AA57" s="484">
        <f t="shared" si="90"/>
        <v>-0.84</v>
      </c>
      <c r="AB57" s="485">
        <f t="shared" si="58"/>
        <v>97.81</v>
      </c>
      <c r="AC57" s="485">
        <f t="shared" si="59"/>
        <v>-17.61</v>
      </c>
      <c r="AD57" s="498">
        <f>(F57/F$184)*AD$184</f>
        <v>-41.12</v>
      </c>
      <c r="AE57" s="498">
        <v>0</v>
      </c>
      <c r="AF57" s="485">
        <f t="shared" si="60"/>
        <v>-41.12</v>
      </c>
      <c r="AG57" s="484">
        <f t="shared" si="61"/>
        <v>-58.73</v>
      </c>
      <c r="AH57" s="381">
        <f t="shared" si="62"/>
        <v>805.89</v>
      </c>
      <c r="AI57" s="483">
        <f t="shared" si="63"/>
        <v>2034.04</v>
      </c>
      <c r="AJ57" s="483">
        <f t="shared" si="64"/>
        <v>2413.13</v>
      </c>
      <c r="AK57" s="83"/>
      <c r="AL57" s="114">
        <f t="shared" si="65"/>
        <v>1199.9000000000001</v>
      </c>
      <c r="AM57" s="497">
        <f t="shared" si="66"/>
        <v>1782.1</v>
      </c>
      <c r="AN57" s="192">
        <f t="shared" si="67"/>
        <v>0</v>
      </c>
      <c r="AO57" s="114">
        <f t="shared" si="68"/>
        <v>-134.54</v>
      </c>
      <c r="AP57" s="137">
        <f t="shared" si="69"/>
        <v>0</v>
      </c>
      <c r="AQ57" s="137">
        <f t="shared" si="70"/>
        <v>28.25</v>
      </c>
      <c r="AR57" s="84">
        <f t="shared" si="71"/>
        <v>28.25</v>
      </c>
      <c r="AS57" s="84">
        <f t="shared" si="72"/>
        <v>0</v>
      </c>
      <c r="AT57" s="84">
        <f t="shared" si="73"/>
        <v>0</v>
      </c>
      <c r="AU57" s="84">
        <f t="shared" si="74"/>
        <v>0</v>
      </c>
      <c r="AV57" s="84">
        <f t="shared" si="75"/>
        <v>0</v>
      </c>
      <c r="AW57" s="487">
        <v>766.81</v>
      </c>
      <c r="AX57" s="137">
        <f t="shared" si="76"/>
        <v>63.08</v>
      </c>
      <c r="AY57" s="137">
        <f t="shared" si="77"/>
        <v>0</v>
      </c>
      <c r="AZ57" s="137">
        <f t="shared" si="78"/>
        <v>37.85</v>
      </c>
      <c r="BA57" s="137">
        <f t="shared" si="79"/>
        <v>-2.2799999999999998</v>
      </c>
      <c r="BB57" s="137">
        <f t="shared" si="80"/>
        <v>-0.84</v>
      </c>
      <c r="BC57" s="84">
        <f t="shared" si="81"/>
        <v>97.81</v>
      </c>
      <c r="BD57" s="84">
        <f t="shared" si="82"/>
        <v>-17.61</v>
      </c>
      <c r="BE57" s="84">
        <f t="shared" si="83"/>
        <v>-41.12</v>
      </c>
      <c r="BF57" s="116">
        <f t="shared" si="84"/>
        <v>-58.73</v>
      </c>
      <c r="BG57" s="496">
        <f t="shared" si="85"/>
        <v>1675.81</v>
      </c>
      <c r="BH57" s="496">
        <f t="shared" si="86"/>
        <v>805.89</v>
      </c>
      <c r="BI57" s="496">
        <f t="shared" si="87"/>
        <v>2481.6999999999998</v>
      </c>
    </row>
    <row r="58" spans="1:61" s="480" customFormat="1" ht="16.149999999999999" customHeight="1">
      <c r="A58" s="495" t="s">
        <v>195</v>
      </c>
      <c r="B58" s="494" t="s">
        <v>252</v>
      </c>
      <c r="C58" s="493" t="s">
        <v>62</v>
      </c>
      <c r="D58" s="385" t="s">
        <v>12</v>
      </c>
      <c r="E58" s="314">
        <v>10959</v>
      </c>
      <c r="F58" s="500">
        <v>10</v>
      </c>
      <c r="G58" s="491">
        <v>5999.83</v>
      </c>
      <c r="H58" s="485">
        <v>0</v>
      </c>
      <c r="I58" s="490">
        <f t="shared" si="48"/>
        <v>5999.83</v>
      </c>
      <c r="J58" s="489">
        <f t="shared" si="49"/>
        <v>1.1215030000000001E-2</v>
      </c>
      <c r="K58" s="484">
        <f t="shared" si="50"/>
        <v>-672.74</v>
      </c>
      <c r="L58" s="484">
        <f t="shared" si="88"/>
        <v>0</v>
      </c>
      <c r="M58" s="484">
        <f t="shared" si="88"/>
        <v>141.27000000000001</v>
      </c>
      <c r="N58" s="485">
        <f t="shared" si="51"/>
        <v>141.27000000000001</v>
      </c>
      <c r="O58" s="485">
        <f t="shared" si="89"/>
        <v>0</v>
      </c>
      <c r="P58" s="485">
        <f t="shared" si="89"/>
        <v>0</v>
      </c>
      <c r="Q58" s="485">
        <f t="shared" si="52"/>
        <v>0</v>
      </c>
      <c r="R58" s="484">
        <f t="shared" si="53"/>
        <v>0</v>
      </c>
      <c r="S58" s="485">
        <f t="shared" si="54"/>
        <v>6141.1</v>
      </c>
      <c r="T58" s="488">
        <f t="shared" si="55"/>
        <v>7335.29</v>
      </c>
      <c r="U58" s="487">
        <v>5747.11</v>
      </c>
      <c r="V58" s="486">
        <f t="shared" si="56"/>
        <v>1.1215030000000001E-2</v>
      </c>
      <c r="W58" s="484">
        <f t="shared" si="57"/>
        <v>315.41000000000003</v>
      </c>
      <c r="X58" s="484">
        <v>0</v>
      </c>
      <c r="Y58" s="484">
        <f t="shared" si="90"/>
        <v>189.25</v>
      </c>
      <c r="Z58" s="484">
        <f t="shared" si="90"/>
        <v>-11.4</v>
      </c>
      <c r="AA58" s="484">
        <f t="shared" si="90"/>
        <v>-4.22</v>
      </c>
      <c r="AB58" s="485">
        <f t="shared" si="58"/>
        <v>489.04</v>
      </c>
      <c r="AC58" s="485">
        <f t="shared" si="59"/>
        <v>-88.04</v>
      </c>
      <c r="AD58" s="498">
        <f>(F58/F$184)*AD$184</f>
        <v>-41.12</v>
      </c>
      <c r="AE58" s="498">
        <v>0</v>
      </c>
      <c r="AF58" s="485">
        <f t="shared" si="60"/>
        <v>-41.12</v>
      </c>
      <c r="AG58" s="484">
        <f t="shared" si="61"/>
        <v>-129.16</v>
      </c>
      <c r="AH58" s="381">
        <f t="shared" si="62"/>
        <v>6106.99</v>
      </c>
      <c r="AI58" s="483">
        <f t="shared" si="63"/>
        <v>12248.09</v>
      </c>
      <c r="AJ58" s="483">
        <f t="shared" si="64"/>
        <v>14530.82</v>
      </c>
      <c r="AK58" s="83"/>
      <c r="AL58" s="114">
        <f t="shared" si="65"/>
        <v>5999.83</v>
      </c>
      <c r="AM58" s="497">
        <f t="shared" si="66"/>
        <v>8911.01</v>
      </c>
      <c r="AN58" s="192">
        <f t="shared" si="67"/>
        <v>0</v>
      </c>
      <c r="AO58" s="114">
        <f t="shared" si="68"/>
        <v>-672.74</v>
      </c>
      <c r="AP58" s="137">
        <f t="shared" si="69"/>
        <v>0</v>
      </c>
      <c r="AQ58" s="137">
        <f t="shared" si="70"/>
        <v>141.27000000000001</v>
      </c>
      <c r="AR58" s="84">
        <f t="shared" si="71"/>
        <v>141.27000000000001</v>
      </c>
      <c r="AS58" s="84">
        <f t="shared" si="72"/>
        <v>0</v>
      </c>
      <c r="AT58" s="84">
        <f t="shared" si="73"/>
        <v>0</v>
      </c>
      <c r="AU58" s="84">
        <f t="shared" si="74"/>
        <v>0</v>
      </c>
      <c r="AV58" s="84">
        <f t="shared" si="75"/>
        <v>0</v>
      </c>
      <c r="AW58" s="487">
        <v>5747.11</v>
      </c>
      <c r="AX58" s="137">
        <f t="shared" si="76"/>
        <v>315.41000000000003</v>
      </c>
      <c r="AY58" s="137">
        <f t="shared" si="77"/>
        <v>0</v>
      </c>
      <c r="AZ58" s="137">
        <f t="shared" si="78"/>
        <v>189.25</v>
      </c>
      <c r="BA58" s="137">
        <f t="shared" si="79"/>
        <v>-11.4</v>
      </c>
      <c r="BB58" s="137">
        <f t="shared" si="80"/>
        <v>-4.22</v>
      </c>
      <c r="BC58" s="84">
        <f t="shared" si="81"/>
        <v>489.04</v>
      </c>
      <c r="BD58" s="84">
        <f t="shared" si="82"/>
        <v>-88.04</v>
      </c>
      <c r="BE58" s="84">
        <f t="shared" si="83"/>
        <v>-41.12</v>
      </c>
      <c r="BF58" s="116">
        <f t="shared" si="84"/>
        <v>-129.16</v>
      </c>
      <c r="BG58" s="496">
        <f t="shared" si="85"/>
        <v>8379.5400000000009</v>
      </c>
      <c r="BH58" s="496">
        <f t="shared" si="86"/>
        <v>6106.99</v>
      </c>
      <c r="BI58" s="496">
        <f t="shared" si="87"/>
        <v>14486.53</v>
      </c>
    </row>
    <row r="59" spans="1:61" s="480" customFormat="1" ht="16.149999999999999" customHeight="1">
      <c r="A59" s="495" t="s">
        <v>195</v>
      </c>
      <c r="B59" s="494" t="s">
        <v>254</v>
      </c>
      <c r="C59" s="493" t="s">
        <v>62</v>
      </c>
      <c r="D59" s="385" t="s">
        <v>12</v>
      </c>
      <c r="E59" s="314">
        <v>15342</v>
      </c>
      <c r="F59" s="500">
        <v>10</v>
      </c>
      <c r="G59" s="491">
        <v>3999.94</v>
      </c>
      <c r="H59" s="485">
        <v>0</v>
      </c>
      <c r="I59" s="490">
        <f t="shared" si="48"/>
        <v>3999.94</v>
      </c>
      <c r="J59" s="489">
        <f t="shared" si="49"/>
        <v>7.4767899999999997E-3</v>
      </c>
      <c r="K59" s="484">
        <f t="shared" si="50"/>
        <v>-448.5</v>
      </c>
      <c r="L59" s="484">
        <f t="shared" si="88"/>
        <v>0</v>
      </c>
      <c r="M59" s="484">
        <f t="shared" si="88"/>
        <v>94.18</v>
      </c>
      <c r="N59" s="485">
        <f t="shared" si="51"/>
        <v>94.18</v>
      </c>
      <c r="O59" s="485">
        <f t="shared" si="89"/>
        <v>0</v>
      </c>
      <c r="P59" s="485">
        <f t="shared" si="89"/>
        <v>0</v>
      </c>
      <c r="Q59" s="485">
        <f t="shared" si="52"/>
        <v>0</v>
      </c>
      <c r="R59" s="484">
        <f t="shared" si="53"/>
        <v>0</v>
      </c>
      <c r="S59" s="485">
        <f t="shared" si="54"/>
        <v>4094.12</v>
      </c>
      <c r="T59" s="488">
        <f t="shared" si="55"/>
        <v>4890.26</v>
      </c>
      <c r="U59" s="487">
        <v>3672.03</v>
      </c>
      <c r="V59" s="486">
        <f t="shared" si="56"/>
        <v>7.4767899999999997E-3</v>
      </c>
      <c r="W59" s="484">
        <f t="shared" si="57"/>
        <v>210.28</v>
      </c>
      <c r="X59" s="484">
        <v>0</v>
      </c>
      <c r="Y59" s="484">
        <f t="shared" si="90"/>
        <v>126.17</v>
      </c>
      <c r="Z59" s="484">
        <f t="shared" si="90"/>
        <v>-7.6</v>
      </c>
      <c r="AA59" s="484">
        <f t="shared" si="90"/>
        <v>-2.82</v>
      </c>
      <c r="AB59" s="485">
        <f t="shared" si="58"/>
        <v>326.02999999999997</v>
      </c>
      <c r="AC59" s="485">
        <f t="shared" si="59"/>
        <v>-58.7</v>
      </c>
      <c r="AD59" s="498">
        <f>(F59/F$184)*AD$184</f>
        <v>-41.12</v>
      </c>
      <c r="AE59" s="498">
        <v>0</v>
      </c>
      <c r="AF59" s="485">
        <f t="shared" si="60"/>
        <v>-41.12</v>
      </c>
      <c r="AG59" s="484">
        <f t="shared" si="61"/>
        <v>-99.82</v>
      </c>
      <c r="AH59" s="381">
        <f t="shared" si="62"/>
        <v>3898.24</v>
      </c>
      <c r="AI59" s="483">
        <f t="shared" si="63"/>
        <v>7992.36</v>
      </c>
      <c r="AJ59" s="483">
        <f t="shared" si="64"/>
        <v>9481.93</v>
      </c>
      <c r="AK59" s="83"/>
      <c r="AL59" s="114">
        <f t="shared" si="65"/>
        <v>3999.94</v>
      </c>
      <c r="AM59" s="497">
        <f t="shared" si="66"/>
        <v>5940.75</v>
      </c>
      <c r="AN59" s="192">
        <f t="shared" si="67"/>
        <v>0</v>
      </c>
      <c r="AO59" s="114">
        <f t="shared" si="68"/>
        <v>-448.5</v>
      </c>
      <c r="AP59" s="137">
        <f t="shared" si="69"/>
        <v>0</v>
      </c>
      <c r="AQ59" s="137">
        <f t="shared" si="70"/>
        <v>94.18</v>
      </c>
      <c r="AR59" s="84">
        <f t="shared" si="71"/>
        <v>94.18</v>
      </c>
      <c r="AS59" s="84">
        <f t="shared" si="72"/>
        <v>0</v>
      </c>
      <c r="AT59" s="84">
        <f t="shared" si="73"/>
        <v>0</v>
      </c>
      <c r="AU59" s="84">
        <f t="shared" si="74"/>
        <v>0</v>
      </c>
      <c r="AV59" s="84">
        <f t="shared" si="75"/>
        <v>0</v>
      </c>
      <c r="AW59" s="487">
        <v>3672.03</v>
      </c>
      <c r="AX59" s="137">
        <f t="shared" si="76"/>
        <v>210.28</v>
      </c>
      <c r="AY59" s="137">
        <f t="shared" si="77"/>
        <v>0</v>
      </c>
      <c r="AZ59" s="137">
        <f t="shared" si="78"/>
        <v>126.17</v>
      </c>
      <c r="BA59" s="137">
        <f t="shared" si="79"/>
        <v>-7.6</v>
      </c>
      <c r="BB59" s="137">
        <f t="shared" si="80"/>
        <v>-2.82</v>
      </c>
      <c r="BC59" s="84">
        <f t="shared" si="81"/>
        <v>326.02999999999997</v>
      </c>
      <c r="BD59" s="84">
        <f t="shared" si="82"/>
        <v>-58.7</v>
      </c>
      <c r="BE59" s="84">
        <f t="shared" si="83"/>
        <v>-41.12</v>
      </c>
      <c r="BF59" s="116">
        <f t="shared" si="84"/>
        <v>-99.82</v>
      </c>
      <c r="BG59" s="496">
        <f t="shared" si="85"/>
        <v>5586.43</v>
      </c>
      <c r="BH59" s="496">
        <f t="shared" si="86"/>
        <v>3898.24</v>
      </c>
      <c r="BI59" s="496">
        <f t="shared" si="87"/>
        <v>9484.67</v>
      </c>
    </row>
    <row r="60" spans="1:61" s="480" customFormat="1" ht="16.149999999999999" customHeight="1">
      <c r="A60" s="495" t="s">
        <v>195</v>
      </c>
      <c r="B60" s="494" t="s">
        <v>251</v>
      </c>
      <c r="C60" s="493" t="s">
        <v>62</v>
      </c>
      <c r="D60" s="385" t="s">
        <v>12</v>
      </c>
      <c r="E60" s="314">
        <v>9498</v>
      </c>
      <c r="F60" s="500">
        <v>10</v>
      </c>
      <c r="G60" s="491">
        <v>1999.91</v>
      </c>
      <c r="H60" s="485">
        <v>0</v>
      </c>
      <c r="I60" s="490">
        <f t="shared" si="48"/>
        <v>1999.91</v>
      </c>
      <c r="J60" s="489">
        <f t="shared" si="49"/>
        <v>3.7382800000000001E-3</v>
      </c>
      <c r="K60" s="484">
        <f t="shared" si="50"/>
        <v>-224.24</v>
      </c>
      <c r="L60" s="484">
        <f t="shared" si="88"/>
        <v>0</v>
      </c>
      <c r="M60" s="484">
        <f t="shared" si="88"/>
        <v>47.09</v>
      </c>
      <c r="N60" s="485">
        <f t="shared" si="51"/>
        <v>47.09</v>
      </c>
      <c r="O60" s="485">
        <f t="shared" si="89"/>
        <v>0</v>
      </c>
      <c r="P60" s="485">
        <f t="shared" si="89"/>
        <v>0</v>
      </c>
      <c r="Q60" s="485">
        <f t="shared" si="52"/>
        <v>0</v>
      </c>
      <c r="R60" s="484">
        <f t="shared" si="53"/>
        <v>0</v>
      </c>
      <c r="S60" s="485">
        <f t="shared" si="54"/>
        <v>2047</v>
      </c>
      <c r="T60" s="488">
        <f t="shared" si="55"/>
        <v>2445.06</v>
      </c>
      <c r="U60" s="487">
        <v>1596.91</v>
      </c>
      <c r="V60" s="486">
        <f t="shared" si="56"/>
        <v>3.7382800000000001E-3</v>
      </c>
      <c r="W60" s="484">
        <f t="shared" si="57"/>
        <v>105.14</v>
      </c>
      <c r="X60" s="484">
        <v>0</v>
      </c>
      <c r="Y60" s="484">
        <f t="shared" si="90"/>
        <v>63.08</v>
      </c>
      <c r="Z60" s="484">
        <f t="shared" si="90"/>
        <v>-3.8</v>
      </c>
      <c r="AA60" s="484">
        <f t="shared" si="90"/>
        <v>-1.41</v>
      </c>
      <c r="AB60" s="485">
        <f t="shared" si="58"/>
        <v>163.01</v>
      </c>
      <c r="AC60" s="485">
        <f t="shared" si="59"/>
        <v>-29.35</v>
      </c>
      <c r="AD60" s="498">
        <f>(F60/F$184)*AD$184</f>
        <v>-41.12</v>
      </c>
      <c r="AE60" s="498">
        <v>0</v>
      </c>
      <c r="AF60" s="485">
        <f t="shared" si="60"/>
        <v>-41.12</v>
      </c>
      <c r="AG60" s="484">
        <f t="shared" si="61"/>
        <v>-70.47</v>
      </c>
      <c r="AH60" s="381">
        <f t="shared" si="62"/>
        <v>1689.45</v>
      </c>
      <c r="AI60" s="483">
        <f t="shared" si="63"/>
        <v>3736.45</v>
      </c>
      <c r="AJ60" s="483">
        <f t="shared" si="64"/>
        <v>4432.83</v>
      </c>
      <c r="AK60" s="83"/>
      <c r="AL60" s="114">
        <f t="shared" si="65"/>
        <v>1999.91</v>
      </c>
      <c r="AM60" s="497">
        <f t="shared" si="66"/>
        <v>2970.29</v>
      </c>
      <c r="AN60" s="192">
        <f t="shared" si="67"/>
        <v>0</v>
      </c>
      <c r="AO60" s="114">
        <f t="shared" si="68"/>
        <v>-224.24</v>
      </c>
      <c r="AP60" s="137">
        <f t="shared" si="69"/>
        <v>0</v>
      </c>
      <c r="AQ60" s="137">
        <f t="shared" si="70"/>
        <v>47.09</v>
      </c>
      <c r="AR60" s="84">
        <f t="shared" si="71"/>
        <v>47.09</v>
      </c>
      <c r="AS60" s="84">
        <f t="shared" si="72"/>
        <v>0</v>
      </c>
      <c r="AT60" s="84">
        <f t="shared" si="73"/>
        <v>0</v>
      </c>
      <c r="AU60" s="84">
        <f t="shared" si="74"/>
        <v>0</v>
      </c>
      <c r="AV60" s="84">
        <f t="shared" si="75"/>
        <v>0</v>
      </c>
      <c r="AW60" s="487">
        <v>1596.91</v>
      </c>
      <c r="AX60" s="137">
        <f t="shared" si="76"/>
        <v>105.14</v>
      </c>
      <c r="AY60" s="137">
        <f t="shared" si="77"/>
        <v>0</v>
      </c>
      <c r="AZ60" s="137">
        <f t="shared" si="78"/>
        <v>63.08</v>
      </c>
      <c r="BA60" s="137">
        <f t="shared" si="79"/>
        <v>-3.8</v>
      </c>
      <c r="BB60" s="137">
        <f t="shared" si="80"/>
        <v>-1.41</v>
      </c>
      <c r="BC60" s="84">
        <f t="shared" si="81"/>
        <v>163.01</v>
      </c>
      <c r="BD60" s="84">
        <f t="shared" si="82"/>
        <v>-29.35</v>
      </c>
      <c r="BE60" s="84">
        <f t="shared" si="83"/>
        <v>-41.12</v>
      </c>
      <c r="BF60" s="116">
        <f t="shared" si="84"/>
        <v>-70.47</v>
      </c>
      <c r="BG60" s="496">
        <f t="shared" si="85"/>
        <v>2793.14</v>
      </c>
      <c r="BH60" s="496">
        <f t="shared" si="86"/>
        <v>1689.45</v>
      </c>
      <c r="BI60" s="496">
        <f t="shared" si="87"/>
        <v>4482.59</v>
      </c>
    </row>
    <row r="61" spans="1:61" s="480" customFormat="1" ht="16.149999999999999" customHeight="1">
      <c r="A61" s="495" t="s">
        <v>195</v>
      </c>
      <c r="B61" s="494" t="s">
        <v>354</v>
      </c>
      <c r="C61" s="615" t="s">
        <v>63</v>
      </c>
      <c r="D61" s="385" t="s">
        <v>12</v>
      </c>
      <c r="E61" s="314">
        <v>6576</v>
      </c>
      <c r="F61" s="499"/>
      <c r="G61" s="491">
        <f>19475.61-0.16</f>
        <v>19475.45</v>
      </c>
      <c r="H61" s="485">
        <v>0</v>
      </c>
      <c r="I61" s="490">
        <f t="shared" si="48"/>
        <v>19475.45</v>
      </c>
      <c r="J61" s="489">
        <f>(I61/(I$184))-0.00000013</f>
        <v>3.6403860000000003E-2</v>
      </c>
      <c r="K61" s="484">
        <f>(J61*K$184)-0.2</f>
        <v>-2183.9</v>
      </c>
      <c r="L61" s="484">
        <f t="shared" ref="L61:L92" si="91">$J61*L$184</f>
        <v>0</v>
      </c>
      <c r="M61" s="484">
        <f>($J61*M$184)-0.06</f>
        <v>458.5</v>
      </c>
      <c r="N61" s="485">
        <f t="shared" si="51"/>
        <v>458.5</v>
      </c>
      <c r="O61" s="485">
        <f t="shared" si="89"/>
        <v>0</v>
      </c>
      <c r="P61" s="485">
        <f t="shared" si="89"/>
        <v>0</v>
      </c>
      <c r="Q61" s="485">
        <f t="shared" si="52"/>
        <v>0</v>
      </c>
      <c r="R61" s="484">
        <f t="shared" si="53"/>
        <v>0</v>
      </c>
      <c r="S61" s="485">
        <f t="shared" si="54"/>
        <v>19933.95</v>
      </c>
      <c r="T61" s="488">
        <f>((S61/S$184)*T$184)-0.26</f>
        <v>23810.02</v>
      </c>
      <c r="U61" s="487">
        <f>20207.6-0.17</f>
        <v>20207.43</v>
      </c>
      <c r="V61" s="486">
        <f t="shared" si="56"/>
        <v>3.6403860000000003E-2</v>
      </c>
      <c r="W61" s="484">
        <f>($V61*W$184)-0.28</f>
        <v>1023.54</v>
      </c>
      <c r="X61" s="484">
        <v>0</v>
      </c>
      <c r="Y61" s="484">
        <f>($V61*Y$184)-0.06</f>
        <v>614.23</v>
      </c>
      <c r="Z61" s="484">
        <f>($V61*Z$184)+0.24</f>
        <v>-36.76</v>
      </c>
      <c r="AA61" s="484">
        <f>($V61*AA$184)+0.2</f>
        <v>-13.51</v>
      </c>
      <c r="AB61" s="485">
        <f t="shared" si="58"/>
        <v>1587.5</v>
      </c>
      <c r="AC61" s="485">
        <f>(V61*AC$184)+0.28</f>
        <v>-285.51</v>
      </c>
      <c r="AD61" s="498">
        <v>0</v>
      </c>
      <c r="AE61" s="498">
        <v>0</v>
      </c>
      <c r="AF61" s="485">
        <f t="shared" si="60"/>
        <v>0</v>
      </c>
      <c r="AG61" s="484">
        <f t="shared" si="61"/>
        <v>-285.51</v>
      </c>
      <c r="AH61" s="381">
        <f t="shared" si="62"/>
        <v>21509.42</v>
      </c>
      <c r="AI61" s="483">
        <f t="shared" si="63"/>
        <v>41443.370000000003</v>
      </c>
      <c r="AJ61" s="483">
        <f t="shared" si="64"/>
        <v>49167.360000000001</v>
      </c>
      <c r="AK61" s="83"/>
      <c r="AL61" s="114">
        <f t="shared" si="65"/>
        <v>19475.45</v>
      </c>
      <c r="AM61" s="497">
        <f>((AL61/AL$184)*AM$184)-0.22</f>
        <v>28924.91</v>
      </c>
      <c r="AN61" s="192">
        <f t="shared" si="67"/>
        <v>0</v>
      </c>
      <c r="AO61" s="114">
        <f t="shared" si="68"/>
        <v>-2183.9</v>
      </c>
      <c r="AP61" s="137">
        <f t="shared" si="69"/>
        <v>0</v>
      </c>
      <c r="AQ61" s="137">
        <f t="shared" si="70"/>
        <v>458.5</v>
      </c>
      <c r="AR61" s="84">
        <f t="shared" si="71"/>
        <v>458.5</v>
      </c>
      <c r="AS61" s="84">
        <f t="shared" si="72"/>
        <v>0</v>
      </c>
      <c r="AT61" s="84">
        <f t="shared" si="73"/>
        <v>0</v>
      </c>
      <c r="AU61" s="84">
        <f t="shared" si="74"/>
        <v>0</v>
      </c>
      <c r="AV61" s="84">
        <f t="shared" si="75"/>
        <v>0</v>
      </c>
      <c r="AW61" s="487">
        <v>20207.43</v>
      </c>
      <c r="AX61" s="137">
        <f t="shared" si="76"/>
        <v>1023.54</v>
      </c>
      <c r="AY61" s="137">
        <f t="shared" si="77"/>
        <v>0</v>
      </c>
      <c r="AZ61" s="137">
        <f t="shared" si="78"/>
        <v>614.23</v>
      </c>
      <c r="BA61" s="137">
        <f t="shared" si="79"/>
        <v>-36.76</v>
      </c>
      <c r="BB61" s="137">
        <f t="shared" si="80"/>
        <v>-13.51</v>
      </c>
      <c r="BC61" s="84">
        <f t="shared" si="81"/>
        <v>1587.5</v>
      </c>
      <c r="BD61" s="84">
        <f t="shared" si="82"/>
        <v>-285.51</v>
      </c>
      <c r="BE61" s="84">
        <f t="shared" si="83"/>
        <v>0</v>
      </c>
      <c r="BF61" s="116">
        <f t="shared" si="84"/>
        <v>-285.51</v>
      </c>
      <c r="BG61" s="496">
        <f t="shared" si="85"/>
        <v>27199.51</v>
      </c>
      <c r="BH61" s="496">
        <f t="shared" si="86"/>
        <v>21509.42</v>
      </c>
      <c r="BI61" s="496">
        <f t="shared" si="87"/>
        <v>48708.93</v>
      </c>
    </row>
    <row r="62" spans="1:61" s="480" customFormat="1" ht="16.149999999999999" customHeight="1">
      <c r="A62" s="495" t="s">
        <v>195</v>
      </c>
      <c r="B62" s="494" t="s">
        <v>253</v>
      </c>
      <c r="C62" s="493" t="s">
        <v>62</v>
      </c>
      <c r="D62" s="385" t="s">
        <v>12</v>
      </c>
      <c r="E62" s="314">
        <v>10228</v>
      </c>
      <c r="F62" s="500">
        <v>10</v>
      </c>
      <c r="G62" s="491">
        <v>3999.94</v>
      </c>
      <c r="H62" s="485">
        <v>0</v>
      </c>
      <c r="I62" s="490">
        <f t="shared" si="48"/>
        <v>3999.94</v>
      </c>
      <c r="J62" s="489">
        <f t="shared" ref="J62:J93" si="92">(I62/(I$184))</f>
        <v>7.4767899999999997E-3</v>
      </c>
      <c r="K62" s="484">
        <f t="shared" ref="K62:K93" si="93">J62*K$184</f>
        <v>-448.5</v>
      </c>
      <c r="L62" s="484">
        <f t="shared" si="91"/>
        <v>0</v>
      </c>
      <c r="M62" s="484">
        <f t="shared" ref="M62:M93" si="94">$J62*M$184</f>
        <v>94.18</v>
      </c>
      <c r="N62" s="485">
        <f t="shared" si="51"/>
        <v>94.18</v>
      </c>
      <c r="O62" s="485">
        <f t="shared" si="89"/>
        <v>0</v>
      </c>
      <c r="P62" s="485">
        <f t="shared" si="89"/>
        <v>0</v>
      </c>
      <c r="Q62" s="485">
        <f t="shared" si="52"/>
        <v>0</v>
      </c>
      <c r="R62" s="484">
        <f t="shared" si="53"/>
        <v>0</v>
      </c>
      <c r="S62" s="485">
        <f t="shared" si="54"/>
        <v>4094.12</v>
      </c>
      <c r="T62" s="488">
        <f t="shared" ref="T62:T93" si="95">((S62/S$184)*T$184)</f>
        <v>4890.26</v>
      </c>
      <c r="U62" s="487">
        <v>3672.03</v>
      </c>
      <c r="V62" s="486">
        <f t="shared" si="56"/>
        <v>7.4767899999999997E-3</v>
      </c>
      <c r="W62" s="484">
        <f t="shared" ref="W62:W93" si="96">($V62*W$184)</f>
        <v>210.28</v>
      </c>
      <c r="X62" s="484">
        <v>0</v>
      </c>
      <c r="Y62" s="484">
        <f t="shared" ref="Y62:AA81" si="97">$V62*Y$184</f>
        <v>126.17</v>
      </c>
      <c r="Z62" s="484">
        <f t="shared" si="97"/>
        <v>-7.6</v>
      </c>
      <c r="AA62" s="484">
        <f t="shared" si="97"/>
        <v>-2.82</v>
      </c>
      <c r="AB62" s="485">
        <f t="shared" si="58"/>
        <v>326.02999999999997</v>
      </c>
      <c r="AC62" s="485">
        <f t="shared" ref="AC62:AC93" si="98">(V62*AC$184)</f>
        <v>-58.7</v>
      </c>
      <c r="AD62" s="498">
        <f>(F62/F$184)*AD$184</f>
        <v>-41.12</v>
      </c>
      <c r="AE62" s="498">
        <v>0</v>
      </c>
      <c r="AF62" s="485">
        <f t="shared" si="60"/>
        <v>-41.12</v>
      </c>
      <c r="AG62" s="484">
        <f t="shared" si="61"/>
        <v>-99.82</v>
      </c>
      <c r="AH62" s="381">
        <f t="shared" si="62"/>
        <v>3898.24</v>
      </c>
      <c r="AI62" s="483">
        <f t="shared" si="63"/>
        <v>7992.36</v>
      </c>
      <c r="AJ62" s="483">
        <f t="shared" si="64"/>
        <v>9481.93</v>
      </c>
      <c r="AK62" s="83"/>
      <c r="AL62" s="114">
        <f t="shared" si="65"/>
        <v>3999.94</v>
      </c>
      <c r="AM62" s="497">
        <f t="shared" ref="AM62:AM93" si="99">(AL62/AL$184)*AM$184</f>
        <v>5940.75</v>
      </c>
      <c r="AN62" s="192">
        <f t="shared" si="67"/>
        <v>0</v>
      </c>
      <c r="AO62" s="114">
        <f t="shared" si="68"/>
        <v>-448.5</v>
      </c>
      <c r="AP62" s="137">
        <f t="shared" si="69"/>
        <v>0</v>
      </c>
      <c r="AQ62" s="137">
        <f t="shared" si="70"/>
        <v>94.18</v>
      </c>
      <c r="AR62" s="84">
        <f t="shared" si="71"/>
        <v>94.18</v>
      </c>
      <c r="AS62" s="84">
        <f t="shared" si="72"/>
        <v>0</v>
      </c>
      <c r="AT62" s="84">
        <f t="shared" si="73"/>
        <v>0</v>
      </c>
      <c r="AU62" s="84">
        <f t="shared" si="74"/>
        <v>0</v>
      </c>
      <c r="AV62" s="84">
        <f t="shared" si="75"/>
        <v>0</v>
      </c>
      <c r="AW62" s="487">
        <v>3672.03</v>
      </c>
      <c r="AX62" s="137">
        <f t="shared" si="76"/>
        <v>210.28</v>
      </c>
      <c r="AY62" s="137">
        <f t="shared" si="77"/>
        <v>0</v>
      </c>
      <c r="AZ62" s="137">
        <f t="shared" si="78"/>
        <v>126.17</v>
      </c>
      <c r="BA62" s="137">
        <f t="shared" si="79"/>
        <v>-7.6</v>
      </c>
      <c r="BB62" s="137">
        <f t="shared" si="80"/>
        <v>-2.82</v>
      </c>
      <c r="BC62" s="84">
        <f t="shared" si="81"/>
        <v>326.02999999999997</v>
      </c>
      <c r="BD62" s="84">
        <f t="shared" si="82"/>
        <v>-58.7</v>
      </c>
      <c r="BE62" s="84">
        <f t="shared" si="83"/>
        <v>-41.12</v>
      </c>
      <c r="BF62" s="116">
        <f t="shared" si="84"/>
        <v>-99.82</v>
      </c>
      <c r="BG62" s="496">
        <f t="shared" si="85"/>
        <v>5586.43</v>
      </c>
      <c r="BH62" s="496">
        <f t="shared" si="86"/>
        <v>3898.24</v>
      </c>
      <c r="BI62" s="496">
        <f t="shared" si="87"/>
        <v>9484.67</v>
      </c>
    </row>
    <row r="63" spans="1:61" s="480" customFormat="1" ht="16.149999999999999" customHeight="1">
      <c r="A63" s="495" t="s">
        <v>195</v>
      </c>
      <c r="B63" s="494" t="s">
        <v>262</v>
      </c>
      <c r="C63" s="493" t="s">
        <v>62</v>
      </c>
      <c r="D63" s="385" t="s">
        <v>12</v>
      </c>
      <c r="E63" s="314">
        <v>14246</v>
      </c>
      <c r="F63" s="500">
        <v>10</v>
      </c>
      <c r="G63" s="491">
        <v>3999.94</v>
      </c>
      <c r="H63" s="485">
        <v>0</v>
      </c>
      <c r="I63" s="490">
        <f t="shared" si="48"/>
        <v>3999.94</v>
      </c>
      <c r="J63" s="489">
        <f t="shared" si="92"/>
        <v>7.4767899999999997E-3</v>
      </c>
      <c r="K63" s="484">
        <f t="shared" si="93"/>
        <v>-448.5</v>
      </c>
      <c r="L63" s="484">
        <f t="shared" si="91"/>
        <v>0</v>
      </c>
      <c r="M63" s="484">
        <f t="shared" si="94"/>
        <v>94.18</v>
      </c>
      <c r="N63" s="485">
        <f t="shared" si="51"/>
        <v>94.18</v>
      </c>
      <c r="O63" s="485">
        <f t="shared" si="89"/>
        <v>0</v>
      </c>
      <c r="P63" s="485">
        <f t="shared" si="89"/>
        <v>0</v>
      </c>
      <c r="Q63" s="485">
        <f t="shared" si="52"/>
        <v>0</v>
      </c>
      <c r="R63" s="484">
        <f t="shared" si="53"/>
        <v>0</v>
      </c>
      <c r="S63" s="485">
        <f t="shared" si="54"/>
        <v>4094.12</v>
      </c>
      <c r="T63" s="488">
        <f t="shared" si="95"/>
        <v>4890.26</v>
      </c>
      <c r="U63" s="487">
        <v>3672.03</v>
      </c>
      <c r="V63" s="486">
        <f t="shared" si="56"/>
        <v>7.4767899999999997E-3</v>
      </c>
      <c r="W63" s="484">
        <f t="shared" si="96"/>
        <v>210.28</v>
      </c>
      <c r="X63" s="484">
        <v>0</v>
      </c>
      <c r="Y63" s="484">
        <f t="shared" si="97"/>
        <v>126.17</v>
      </c>
      <c r="Z63" s="484">
        <f t="shared" si="97"/>
        <v>-7.6</v>
      </c>
      <c r="AA63" s="484">
        <f t="shared" si="97"/>
        <v>-2.82</v>
      </c>
      <c r="AB63" s="485">
        <f t="shared" si="58"/>
        <v>326.02999999999997</v>
      </c>
      <c r="AC63" s="485">
        <f t="shared" si="98"/>
        <v>-58.7</v>
      </c>
      <c r="AD63" s="498">
        <f>(F63/F$184)*AD$184</f>
        <v>-41.12</v>
      </c>
      <c r="AE63" s="498">
        <v>0</v>
      </c>
      <c r="AF63" s="485">
        <f t="shared" si="60"/>
        <v>-41.12</v>
      </c>
      <c r="AG63" s="484">
        <f t="shared" si="61"/>
        <v>-99.82</v>
      </c>
      <c r="AH63" s="381">
        <f t="shared" si="62"/>
        <v>3898.24</v>
      </c>
      <c r="AI63" s="483">
        <f t="shared" si="63"/>
        <v>7992.36</v>
      </c>
      <c r="AJ63" s="483">
        <f t="shared" si="64"/>
        <v>9481.93</v>
      </c>
      <c r="AK63" s="83"/>
      <c r="AL63" s="114">
        <f t="shared" si="65"/>
        <v>3999.94</v>
      </c>
      <c r="AM63" s="497">
        <f t="shared" si="99"/>
        <v>5940.75</v>
      </c>
      <c r="AN63" s="192">
        <f t="shared" si="67"/>
        <v>0</v>
      </c>
      <c r="AO63" s="114">
        <f t="shared" si="68"/>
        <v>-448.5</v>
      </c>
      <c r="AP63" s="137">
        <f t="shared" si="69"/>
        <v>0</v>
      </c>
      <c r="AQ63" s="137">
        <f t="shared" si="70"/>
        <v>94.18</v>
      </c>
      <c r="AR63" s="84">
        <f t="shared" si="71"/>
        <v>94.18</v>
      </c>
      <c r="AS63" s="84">
        <f t="shared" si="72"/>
        <v>0</v>
      </c>
      <c r="AT63" s="84">
        <f t="shared" si="73"/>
        <v>0</v>
      </c>
      <c r="AU63" s="84">
        <f t="shared" si="74"/>
        <v>0</v>
      </c>
      <c r="AV63" s="84">
        <f t="shared" si="75"/>
        <v>0</v>
      </c>
      <c r="AW63" s="487">
        <v>3672.03</v>
      </c>
      <c r="AX63" s="137">
        <f t="shared" si="76"/>
        <v>210.28</v>
      </c>
      <c r="AY63" s="137">
        <f t="shared" si="77"/>
        <v>0</v>
      </c>
      <c r="AZ63" s="137">
        <f t="shared" si="78"/>
        <v>126.17</v>
      </c>
      <c r="BA63" s="137">
        <f t="shared" si="79"/>
        <v>-7.6</v>
      </c>
      <c r="BB63" s="137">
        <f t="shared" si="80"/>
        <v>-2.82</v>
      </c>
      <c r="BC63" s="84">
        <f t="shared" si="81"/>
        <v>326.02999999999997</v>
      </c>
      <c r="BD63" s="84">
        <f t="shared" si="82"/>
        <v>-58.7</v>
      </c>
      <c r="BE63" s="84">
        <f t="shared" si="83"/>
        <v>-41.12</v>
      </c>
      <c r="BF63" s="116">
        <f t="shared" si="84"/>
        <v>-99.82</v>
      </c>
      <c r="BG63" s="496">
        <f t="shared" si="85"/>
        <v>5586.43</v>
      </c>
      <c r="BH63" s="496">
        <f t="shared" si="86"/>
        <v>3898.24</v>
      </c>
      <c r="BI63" s="496">
        <f t="shared" si="87"/>
        <v>9484.67</v>
      </c>
    </row>
    <row r="64" spans="1:61" s="480" customFormat="1" ht="16.149999999999999" customHeight="1">
      <c r="A64" s="495" t="s">
        <v>195</v>
      </c>
      <c r="B64" s="494" t="s">
        <v>257</v>
      </c>
      <c r="C64" s="493" t="s">
        <v>62</v>
      </c>
      <c r="D64" s="385" t="s">
        <v>12</v>
      </c>
      <c r="E64" s="314">
        <v>8037</v>
      </c>
      <c r="F64" s="500">
        <v>10</v>
      </c>
      <c r="G64" s="491">
        <v>1999.91</v>
      </c>
      <c r="H64" s="485">
        <v>0</v>
      </c>
      <c r="I64" s="490">
        <f t="shared" si="48"/>
        <v>1999.91</v>
      </c>
      <c r="J64" s="489">
        <f t="shared" si="92"/>
        <v>3.7382800000000001E-3</v>
      </c>
      <c r="K64" s="484">
        <f t="shared" si="93"/>
        <v>-224.24</v>
      </c>
      <c r="L64" s="484">
        <f t="shared" si="91"/>
        <v>0</v>
      </c>
      <c r="M64" s="484">
        <f t="shared" si="94"/>
        <v>47.09</v>
      </c>
      <c r="N64" s="485">
        <f t="shared" si="51"/>
        <v>47.09</v>
      </c>
      <c r="O64" s="485">
        <f t="shared" si="89"/>
        <v>0</v>
      </c>
      <c r="P64" s="485">
        <f t="shared" si="89"/>
        <v>0</v>
      </c>
      <c r="Q64" s="485">
        <f t="shared" si="52"/>
        <v>0</v>
      </c>
      <c r="R64" s="484">
        <f t="shared" si="53"/>
        <v>0</v>
      </c>
      <c r="S64" s="485">
        <f t="shared" si="54"/>
        <v>2047</v>
      </c>
      <c r="T64" s="488">
        <f t="shared" si="95"/>
        <v>2445.06</v>
      </c>
      <c r="U64" s="487">
        <v>1596.91</v>
      </c>
      <c r="V64" s="486">
        <f t="shared" si="56"/>
        <v>3.7382800000000001E-3</v>
      </c>
      <c r="W64" s="484">
        <f t="shared" si="96"/>
        <v>105.14</v>
      </c>
      <c r="X64" s="484">
        <v>0</v>
      </c>
      <c r="Y64" s="484">
        <f t="shared" si="97"/>
        <v>63.08</v>
      </c>
      <c r="Z64" s="484">
        <f t="shared" si="97"/>
        <v>-3.8</v>
      </c>
      <c r="AA64" s="484">
        <f t="shared" si="97"/>
        <v>-1.41</v>
      </c>
      <c r="AB64" s="485">
        <f t="shared" si="58"/>
        <v>163.01</v>
      </c>
      <c r="AC64" s="485">
        <f t="shared" si="98"/>
        <v>-29.35</v>
      </c>
      <c r="AD64" s="498">
        <f>(F64/F$184)*AD$184</f>
        <v>-41.12</v>
      </c>
      <c r="AE64" s="498">
        <v>0</v>
      </c>
      <c r="AF64" s="485">
        <f t="shared" si="60"/>
        <v>-41.12</v>
      </c>
      <c r="AG64" s="484">
        <f t="shared" si="61"/>
        <v>-70.47</v>
      </c>
      <c r="AH64" s="381">
        <f t="shared" si="62"/>
        <v>1689.45</v>
      </c>
      <c r="AI64" s="483">
        <f t="shared" si="63"/>
        <v>3736.45</v>
      </c>
      <c r="AJ64" s="483">
        <f t="shared" si="64"/>
        <v>4432.83</v>
      </c>
      <c r="AK64" s="83"/>
      <c r="AL64" s="114">
        <f t="shared" si="65"/>
        <v>1999.91</v>
      </c>
      <c r="AM64" s="497">
        <f t="shared" si="99"/>
        <v>2970.29</v>
      </c>
      <c r="AN64" s="192">
        <f t="shared" si="67"/>
        <v>0</v>
      </c>
      <c r="AO64" s="114">
        <f t="shared" si="68"/>
        <v>-224.24</v>
      </c>
      <c r="AP64" s="137">
        <f t="shared" si="69"/>
        <v>0</v>
      </c>
      <c r="AQ64" s="137">
        <f t="shared" si="70"/>
        <v>47.09</v>
      </c>
      <c r="AR64" s="84">
        <f t="shared" si="71"/>
        <v>47.09</v>
      </c>
      <c r="AS64" s="84">
        <f t="shared" si="72"/>
        <v>0</v>
      </c>
      <c r="AT64" s="84">
        <f t="shared" si="73"/>
        <v>0</v>
      </c>
      <c r="AU64" s="84">
        <f t="shared" si="74"/>
        <v>0</v>
      </c>
      <c r="AV64" s="84">
        <f t="shared" si="75"/>
        <v>0</v>
      </c>
      <c r="AW64" s="487">
        <v>1596.91</v>
      </c>
      <c r="AX64" s="137">
        <f t="shared" si="76"/>
        <v>105.14</v>
      </c>
      <c r="AY64" s="137">
        <f t="shared" si="77"/>
        <v>0</v>
      </c>
      <c r="AZ64" s="137">
        <f t="shared" si="78"/>
        <v>63.08</v>
      </c>
      <c r="BA64" s="137">
        <f t="shared" si="79"/>
        <v>-3.8</v>
      </c>
      <c r="BB64" s="137">
        <f t="shared" si="80"/>
        <v>-1.41</v>
      </c>
      <c r="BC64" s="84">
        <f t="shared" si="81"/>
        <v>163.01</v>
      </c>
      <c r="BD64" s="84">
        <f t="shared" si="82"/>
        <v>-29.35</v>
      </c>
      <c r="BE64" s="84">
        <f t="shared" si="83"/>
        <v>-41.12</v>
      </c>
      <c r="BF64" s="116">
        <f t="shared" si="84"/>
        <v>-70.47</v>
      </c>
      <c r="BG64" s="496">
        <f t="shared" si="85"/>
        <v>2793.14</v>
      </c>
      <c r="BH64" s="496">
        <f t="shared" si="86"/>
        <v>1689.45</v>
      </c>
      <c r="BI64" s="496">
        <f t="shared" si="87"/>
        <v>4482.59</v>
      </c>
    </row>
    <row r="65" spans="1:61" s="480" customFormat="1" ht="16.149999999999999" customHeight="1">
      <c r="A65" s="495" t="s">
        <v>195</v>
      </c>
      <c r="B65" s="494" t="s">
        <v>264</v>
      </c>
      <c r="C65" s="493" t="s">
        <v>62</v>
      </c>
      <c r="D65" s="385" t="s">
        <v>12</v>
      </c>
      <c r="E65" s="314">
        <v>17533</v>
      </c>
      <c r="F65" s="500">
        <v>10</v>
      </c>
      <c r="G65" s="491">
        <v>3999.94</v>
      </c>
      <c r="H65" s="485">
        <v>0</v>
      </c>
      <c r="I65" s="490">
        <f t="shared" si="48"/>
        <v>3999.94</v>
      </c>
      <c r="J65" s="489">
        <f t="shared" si="92"/>
        <v>7.4767899999999997E-3</v>
      </c>
      <c r="K65" s="484">
        <f t="shared" si="93"/>
        <v>-448.5</v>
      </c>
      <c r="L65" s="484">
        <f t="shared" si="91"/>
        <v>0</v>
      </c>
      <c r="M65" s="484">
        <f t="shared" si="94"/>
        <v>94.18</v>
      </c>
      <c r="N65" s="485">
        <f t="shared" si="51"/>
        <v>94.18</v>
      </c>
      <c r="O65" s="485">
        <f t="shared" si="89"/>
        <v>0</v>
      </c>
      <c r="P65" s="485">
        <f t="shared" si="89"/>
        <v>0</v>
      </c>
      <c r="Q65" s="485">
        <f t="shared" si="52"/>
        <v>0</v>
      </c>
      <c r="R65" s="484">
        <f t="shared" si="53"/>
        <v>0</v>
      </c>
      <c r="S65" s="485">
        <f t="shared" si="54"/>
        <v>4094.12</v>
      </c>
      <c r="T65" s="488">
        <f t="shared" si="95"/>
        <v>4890.26</v>
      </c>
      <c r="U65" s="487">
        <v>3672.03</v>
      </c>
      <c r="V65" s="486">
        <f t="shared" si="56"/>
        <v>7.4767899999999997E-3</v>
      </c>
      <c r="W65" s="484">
        <f t="shared" si="96"/>
        <v>210.28</v>
      </c>
      <c r="X65" s="484">
        <v>0</v>
      </c>
      <c r="Y65" s="484">
        <f t="shared" si="97"/>
        <v>126.17</v>
      </c>
      <c r="Z65" s="484">
        <f t="shared" si="97"/>
        <v>-7.6</v>
      </c>
      <c r="AA65" s="484">
        <f t="shared" si="97"/>
        <v>-2.82</v>
      </c>
      <c r="AB65" s="485">
        <f t="shared" si="58"/>
        <v>326.02999999999997</v>
      </c>
      <c r="AC65" s="485">
        <f t="shared" si="98"/>
        <v>-58.7</v>
      </c>
      <c r="AD65" s="498">
        <f>(F65/F$184)*AD$184</f>
        <v>-41.12</v>
      </c>
      <c r="AE65" s="498">
        <v>0</v>
      </c>
      <c r="AF65" s="485">
        <f t="shared" si="60"/>
        <v>-41.12</v>
      </c>
      <c r="AG65" s="484">
        <f t="shared" si="61"/>
        <v>-99.82</v>
      </c>
      <c r="AH65" s="381">
        <f t="shared" si="62"/>
        <v>3898.24</v>
      </c>
      <c r="AI65" s="483">
        <f t="shared" si="63"/>
        <v>7992.36</v>
      </c>
      <c r="AJ65" s="483">
        <f t="shared" si="64"/>
        <v>9481.93</v>
      </c>
      <c r="AK65" s="83"/>
      <c r="AL65" s="114">
        <f t="shared" si="65"/>
        <v>3999.94</v>
      </c>
      <c r="AM65" s="497">
        <f t="shared" si="99"/>
        <v>5940.75</v>
      </c>
      <c r="AN65" s="192">
        <f t="shared" si="67"/>
        <v>0</v>
      </c>
      <c r="AO65" s="114">
        <f t="shared" si="68"/>
        <v>-448.5</v>
      </c>
      <c r="AP65" s="137">
        <f t="shared" si="69"/>
        <v>0</v>
      </c>
      <c r="AQ65" s="137">
        <f t="shared" si="70"/>
        <v>94.18</v>
      </c>
      <c r="AR65" s="84">
        <f t="shared" si="71"/>
        <v>94.18</v>
      </c>
      <c r="AS65" s="84">
        <f t="shared" si="72"/>
        <v>0</v>
      </c>
      <c r="AT65" s="84">
        <f t="shared" si="73"/>
        <v>0</v>
      </c>
      <c r="AU65" s="84">
        <f t="shared" si="74"/>
        <v>0</v>
      </c>
      <c r="AV65" s="84">
        <f t="shared" si="75"/>
        <v>0</v>
      </c>
      <c r="AW65" s="487">
        <v>3672.03</v>
      </c>
      <c r="AX65" s="137">
        <f t="shared" si="76"/>
        <v>210.28</v>
      </c>
      <c r="AY65" s="137">
        <f t="shared" si="77"/>
        <v>0</v>
      </c>
      <c r="AZ65" s="137">
        <f t="shared" si="78"/>
        <v>126.17</v>
      </c>
      <c r="BA65" s="137">
        <f t="shared" si="79"/>
        <v>-7.6</v>
      </c>
      <c r="BB65" s="137">
        <f t="shared" si="80"/>
        <v>-2.82</v>
      </c>
      <c r="BC65" s="84">
        <f t="shared" si="81"/>
        <v>326.02999999999997</v>
      </c>
      <c r="BD65" s="84">
        <f t="shared" si="82"/>
        <v>-58.7</v>
      </c>
      <c r="BE65" s="84">
        <f t="shared" si="83"/>
        <v>-41.12</v>
      </c>
      <c r="BF65" s="116">
        <f t="shared" si="84"/>
        <v>-99.82</v>
      </c>
      <c r="BG65" s="496">
        <f t="shared" si="85"/>
        <v>5586.43</v>
      </c>
      <c r="BH65" s="496">
        <f t="shared" si="86"/>
        <v>3898.24</v>
      </c>
      <c r="BI65" s="496">
        <f t="shared" si="87"/>
        <v>9484.67</v>
      </c>
    </row>
    <row r="66" spans="1:61" s="480" customFormat="1" ht="16.149999999999999" customHeight="1">
      <c r="A66" s="495" t="s">
        <v>195</v>
      </c>
      <c r="B66" s="494" t="s">
        <v>258</v>
      </c>
      <c r="C66" s="493" t="s">
        <v>62</v>
      </c>
      <c r="D66" s="385" t="s">
        <v>12</v>
      </c>
      <c r="E66" s="314">
        <v>8767</v>
      </c>
      <c r="F66" s="500">
        <v>10</v>
      </c>
      <c r="G66" s="491">
        <v>7999.75</v>
      </c>
      <c r="H66" s="485">
        <v>0</v>
      </c>
      <c r="I66" s="490">
        <f t="shared" si="48"/>
        <v>7999.75</v>
      </c>
      <c r="J66" s="489">
        <f t="shared" si="92"/>
        <v>1.4953330000000001E-2</v>
      </c>
      <c r="K66" s="484">
        <f t="shared" si="93"/>
        <v>-896.98</v>
      </c>
      <c r="L66" s="484">
        <f t="shared" si="91"/>
        <v>0</v>
      </c>
      <c r="M66" s="484">
        <f t="shared" si="94"/>
        <v>188.36</v>
      </c>
      <c r="N66" s="485">
        <f t="shared" si="51"/>
        <v>188.36</v>
      </c>
      <c r="O66" s="485">
        <f t="shared" si="89"/>
        <v>0</v>
      </c>
      <c r="P66" s="485">
        <f t="shared" si="89"/>
        <v>0</v>
      </c>
      <c r="Q66" s="485">
        <f t="shared" si="52"/>
        <v>0</v>
      </c>
      <c r="R66" s="484">
        <f t="shared" si="53"/>
        <v>0</v>
      </c>
      <c r="S66" s="485">
        <f t="shared" si="54"/>
        <v>8188.11</v>
      </c>
      <c r="T66" s="488">
        <f t="shared" si="95"/>
        <v>9780.36</v>
      </c>
      <c r="U66" s="487">
        <v>7822.2</v>
      </c>
      <c r="V66" s="486">
        <f t="shared" si="56"/>
        <v>1.4953330000000001E-2</v>
      </c>
      <c r="W66" s="484">
        <f t="shared" si="96"/>
        <v>420.55</v>
      </c>
      <c r="X66" s="484">
        <v>0</v>
      </c>
      <c r="Y66" s="484">
        <f t="shared" si="97"/>
        <v>252.33</v>
      </c>
      <c r="Z66" s="484">
        <f t="shared" si="97"/>
        <v>-15.2</v>
      </c>
      <c r="AA66" s="484">
        <f t="shared" si="97"/>
        <v>-5.63</v>
      </c>
      <c r="AB66" s="485">
        <f t="shared" si="58"/>
        <v>652.04999999999995</v>
      </c>
      <c r="AC66" s="485">
        <f t="shared" si="98"/>
        <v>-117.39</v>
      </c>
      <c r="AD66" s="498">
        <f>(F66/F$184)*AD$184</f>
        <v>-41.12</v>
      </c>
      <c r="AE66" s="498">
        <v>0</v>
      </c>
      <c r="AF66" s="485">
        <f t="shared" si="60"/>
        <v>-41.12</v>
      </c>
      <c r="AG66" s="484">
        <f t="shared" si="61"/>
        <v>-158.51</v>
      </c>
      <c r="AH66" s="381">
        <f t="shared" si="62"/>
        <v>8315.74</v>
      </c>
      <c r="AI66" s="483">
        <f t="shared" si="63"/>
        <v>16503.849999999999</v>
      </c>
      <c r="AJ66" s="483">
        <f t="shared" si="64"/>
        <v>19579.75</v>
      </c>
      <c r="AK66" s="83"/>
      <c r="AL66" s="114">
        <f t="shared" si="65"/>
        <v>7999.75</v>
      </c>
      <c r="AM66" s="497">
        <f t="shared" si="99"/>
        <v>11881.31</v>
      </c>
      <c r="AN66" s="192">
        <f t="shared" si="67"/>
        <v>0</v>
      </c>
      <c r="AO66" s="114">
        <f t="shared" si="68"/>
        <v>-896.98</v>
      </c>
      <c r="AP66" s="137">
        <f t="shared" si="69"/>
        <v>0</v>
      </c>
      <c r="AQ66" s="137">
        <f t="shared" si="70"/>
        <v>188.36</v>
      </c>
      <c r="AR66" s="84">
        <f t="shared" si="71"/>
        <v>188.36</v>
      </c>
      <c r="AS66" s="84">
        <f t="shared" si="72"/>
        <v>0</v>
      </c>
      <c r="AT66" s="84">
        <f t="shared" si="73"/>
        <v>0</v>
      </c>
      <c r="AU66" s="84">
        <f t="shared" si="74"/>
        <v>0</v>
      </c>
      <c r="AV66" s="84">
        <f t="shared" si="75"/>
        <v>0</v>
      </c>
      <c r="AW66" s="487">
        <v>7822.2</v>
      </c>
      <c r="AX66" s="137">
        <f t="shared" si="76"/>
        <v>420.55</v>
      </c>
      <c r="AY66" s="137">
        <f t="shared" si="77"/>
        <v>0</v>
      </c>
      <c r="AZ66" s="137">
        <f t="shared" si="78"/>
        <v>252.33</v>
      </c>
      <c r="BA66" s="137">
        <f t="shared" si="79"/>
        <v>-15.2</v>
      </c>
      <c r="BB66" s="137">
        <f t="shared" si="80"/>
        <v>-5.63</v>
      </c>
      <c r="BC66" s="84">
        <f t="shared" si="81"/>
        <v>652.04999999999995</v>
      </c>
      <c r="BD66" s="84">
        <f t="shared" si="82"/>
        <v>-117.39</v>
      </c>
      <c r="BE66" s="84">
        <f t="shared" si="83"/>
        <v>-41.12</v>
      </c>
      <c r="BF66" s="116">
        <f t="shared" si="84"/>
        <v>-158.51</v>
      </c>
      <c r="BG66" s="496">
        <f t="shared" si="85"/>
        <v>11172.69</v>
      </c>
      <c r="BH66" s="496">
        <f t="shared" si="86"/>
        <v>8315.74</v>
      </c>
      <c r="BI66" s="496">
        <f t="shared" si="87"/>
        <v>19488.43</v>
      </c>
    </row>
    <row r="67" spans="1:61" s="480" customFormat="1" ht="16.149999999999999" customHeight="1">
      <c r="A67" s="495" t="s">
        <v>195</v>
      </c>
      <c r="B67" s="494" t="s">
        <v>352</v>
      </c>
      <c r="C67" s="615" t="s">
        <v>63</v>
      </c>
      <c r="D67" s="385" t="s">
        <v>12</v>
      </c>
      <c r="E67" s="314">
        <v>2923</v>
      </c>
      <c r="F67" s="499"/>
      <c r="G67" s="491">
        <v>1999.91</v>
      </c>
      <c r="H67" s="485">
        <v>0</v>
      </c>
      <c r="I67" s="490">
        <f t="shared" si="48"/>
        <v>1999.91</v>
      </c>
      <c r="J67" s="489">
        <f t="shared" si="92"/>
        <v>3.7382800000000001E-3</v>
      </c>
      <c r="K67" s="484">
        <f t="shared" si="93"/>
        <v>-224.24</v>
      </c>
      <c r="L67" s="484">
        <f t="shared" si="91"/>
        <v>0</v>
      </c>
      <c r="M67" s="484">
        <f t="shared" si="94"/>
        <v>47.09</v>
      </c>
      <c r="N67" s="485">
        <f t="shared" si="51"/>
        <v>47.09</v>
      </c>
      <c r="O67" s="485">
        <f t="shared" si="89"/>
        <v>0</v>
      </c>
      <c r="P67" s="485">
        <f t="shared" si="89"/>
        <v>0</v>
      </c>
      <c r="Q67" s="485">
        <f t="shared" si="52"/>
        <v>0</v>
      </c>
      <c r="R67" s="484">
        <f t="shared" si="53"/>
        <v>0</v>
      </c>
      <c r="S67" s="485">
        <f t="shared" si="54"/>
        <v>2047</v>
      </c>
      <c r="T67" s="488">
        <f t="shared" si="95"/>
        <v>2445.06</v>
      </c>
      <c r="U67" s="487">
        <v>2075.08</v>
      </c>
      <c r="V67" s="486">
        <f t="shared" si="56"/>
        <v>3.7382800000000001E-3</v>
      </c>
      <c r="W67" s="484">
        <f t="shared" si="96"/>
        <v>105.14</v>
      </c>
      <c r="X67" s="484">
        <v>0</v>
      </c>
      <c r="Y67" s="484">
        <f t="shared" si="97"/>
        <v>63.08</v>
      </c>
      <c r="Z67" s="484">
        <f t="shared" si="97"/>
        <v>-3.8</v>
      </c>
      <c r="AA67" s="484">
        <f t="shared" si="97"/>
        <v>-1.41</v>
      </c>
      <c r="AB67" s="485">
        <f t="shared" si="58"/>
        <v>163.01</v>
      </c>
      <c r="AC67" s="485">
        <f t="shared" si="98"/>
        <v>-29.35</v>
      </c>
      <c r="AD67" s="498">
        <v>0</v>
      </c>
      <c r="AE67" s="498">
        <v>0</v>
      </c>
      <c r="AF67" s="485">
        <f t="shared" si="60"/>
        <v>0</v>
      </c>
      <c r="AG67" s="484">
        <f t="shared" si="61"/>
        <v>-29.35</v>
      </c>
      <c r="AH67" s="381">
        <f t="shared" si="62"/>
        <v>2208.7399999999998</v>
      </c>
      <c r="AI67" s="483">
        <f t="shared" si="63"/>
        <v>4255.74</v>
      </c>
      <c r="AJ67" s="483">
        <f t="shared" si="64"/>
        <v>5048.8999999999996</v>
      </c>
      <c r="AK67" s="83"/>
      <c r="AL67" s="114">
        <f t="shared" si="65"/>
        <v>1999.91</v>
      </c>
      <c r="AM67" s="497">
        <f t="shared" si="99"/>
        <v>2970.29</v>
      </c>
      <c r="AN67" s="192">
        <f t="shared" si="67"/>
        <v>0</v>
      </c>
      <c r="AO67" s="114">
        <f t="shared" si="68"/>
        <v>-224.24</v>
      </c>
      <c r="AP67" s="137">
        <f t="shared" si="69"/>
        <v>0</v>
      </c>
      <c r="AQ67" s="137">
        <f t="shared" si="70"/>
        <v>47.09</v>
      </c>
      <c r="AR67" s="84">
        <f t="shared" si="71"/>
        <v>47.09</v>
      </c>
      <c r="AS67" s="84">
        <f t="shared" si="72"/>
        <v>0</v>
      </c>
      <c r="AT67" s="84">
        <f t="shared" si="73"/>
        <v>0</v>
      </c>
      <c r="AU67" s="84">
        <f t="shared" si="74"/>
        <v>0</v>
      </c>
      <c r="AV67" s="84">
        <f t="shared" si="75"/>
        <v>0</v>
      </c>
      <c r="AW67" s="487">
        <v>2075.08</v>
      </c>
      <c r="AX67" s="137">
        <f t="shared" si="76"/>
        <v>105.14</v>
      </c>
      <c r="AY67" s="137">
        <f t="shared" si="77"/>
        <v>0</v>
      </c>
      <c r="AZ67" s="137">
        <f t="shared" si="78"/>
        <v>63.08</v>
      </c>
      <c r="BA67" s="137">
        <f t="shared" si="79"/>
        <v>-3.8</v>
      </c>
      <c r="BB67" s="137">
        <f t="shared" si="80"/>
        <v>-1.41</v>
      </c>
      <c r="BC67" s="84">
        <f t="shared" si="81"/>
        <v>163.01</v>
      </c>
      <c r="BD67" s="84">
        <f t="shared" si="82"/>
        <v>-29.35</v>
      </c>
      <c r="BE67" s="84">
        <f t="shared" si="83"/>
        <v>0</v>
      </c>
      <c r="BF67" s="116">
        <f t="shared" si="84"/>
        <v>-29.35</v>
      </c>
      <c r="BG67" s="496">
        <f t="shared" si="85"/>
        <v>2793.14</v>
      </c>
      <c r="BH67" s="496">
        <f t="shared" si="86"/>
        <v>2208.7399999999998</v>
      </c>
      <c r="BI67" s="496">
        <f t="shared" si="87"/>
        <v>5001.88</v>
      </c>
    </row>
    <row r="68" spans="1:61" s="480" customFormat="1" ht="16.149999999999999" customHeight="1">
      <c r="A68" s="495" t="s">
        <v>195</v>
      </c>
      <c r="B68" s="494" t="s">
        <v>353</v>
      </c>
      <c r="C68" s="615" t="s">
        <v>63</v>
      </c>
      <c r="D68" s="385" t="s">
        <v>12</v>
      </c>
      <c r="E68" s="314">
        <v>14246</v>
      </c>
      <c r="F68" s="499"/>
      <c r="G68" s="491">
        <v>1999.91</v>
      </c>
      <c r="H68" s="485">
        <v>0</v>
      </c>
      <c r="I68" s="490">
        <f t="shared" si="48"/>
        <v>1999.91</v>
      </c>
      <c r="J68" s="489">
        <f t="shared" si="92"/>
        <v>3.7382800000000001E-3</v>
      </c>
      <c r="K68" s="484">
        <f t="shared" si="93"/>
        <v>-224.24</v>
      </c>
      <c r="L68" s="484">
        <f t="shared" si="91"/>
        <v>0</v>
      </c>
      <c r="M68" s="484">
        <f t="shared" si="94"/>
        <v>47.09</v>
      </c>
      <c r="N68" s="485">
        <f t="shared" si="51"/>
        <v>47.09</v>
      </c>
      <c r="O68" s="485">
        <f t="shared" si="89"/>
        <v>0</v>
      </c>
      <c r="P68" s="485">
        <f t="shared" si="89"/>
        <v>0</v>
      </c>
      <c r="Q68" s="485">
        <f t="shared" si="52"/>
        <v>0</v>
      </c>
      <c r="R68" s="484">
        <f t="shared" si="53"/>
        <v>0</v>
      </c>
      <c r="S68" s="485">
        <f t="shared" si="54"/>
        <v>2047</v>
      </c>
      <c r="T68" s="488">
        <f t="shared" si="95"/>
        <v>2445.06</v>
      </c>
      <c r="U68" s="487">
        <v>2075.08</v>
      </c>
      <c r="V68" s="486">
        <f t="shared" si="56"/>
        <v>3.7382800000000001E-3</v>
      </c>
      <c r="W68" s="484">
        <f t="shared" si="96"/>
        <v>105.14</v>
      </c>
      <c r="X68" s="484">
        <v>0</v>
      </c>
      <c r="Y68" s="484">
        <f t="shared" si="97"/>
        <v>63.08</v>
      </c>
      <c r="Z68" s="484">
        <f t="shared" si="97"/>
        <v>-3.8</v>
      </c>
      <c r="AA68" s="484">
        <f t="shared" si="97"/>
        <v>-1.41</v>
      </c>
      <c r="AB68" s="485">
        <f t="shared" si="58"/>
        <v>163.01</v>
      </c>
      <c r="AC68" s="485">
        <f t="shared" si="98"/>
        <v>-29.35</v>
      </c>
      <c r="AD68" s="498">
        <v>0</v>
      </c>
      <c r="AE68" s="498">
        <v>0</v>
      </c>
      <c r="AF68" s="485">
        <f t="shared" si="60"/>
        <v>0</v>
      </c>
      <c r="AG68" s="484">
        <f t="shared" si="61"/>
        <v>-29.35</v>
      </c>
      <c r="AH68" s="381">
        <f t="shared" si="62"/>
        <v>2208.7399999999998</v>
      </c>
      <c r="AI68" s="483">
        <f t="shared" si="63"/>
        <v>4255.74</v>
      </c>
      <c r="AJ68" s="483">
        <f t="shared" si="64"/>
        <v>5048.8999999999996</v>
      </c>
      <c r="AK68" s="83"/>
      <c r="AL68" s="114">
        <f t="shared" si="65"/>
        <v>1999.91</v>
      </c>
      <c r="AM68" s="497">
        <f t="shared" si="99"/>
        <v>2970.29</v>
      </c>
      <c r="AN68" s="192">
        <f t="shared" si="67"/>
        <v>0</v>
      </c>
      <c r="AO68" s="114">
        <f t="shared" si="68"/>
        <v>-224.24</v>
      </c>
      <c r="AP68" s="137">
        <f t="shared" si="69"/>
        <v>0</v>
      </c>
      <c r="AQ68" s="137">
        <f t="shared" si="70"/>
        <v>47.09</v>
      </c>
      <c r="AR68" s="84">
        <f t="shared" si="71"/>
        <v>47.09</v>
      </c>
      <c r="AS68" s="84">
        <f t="shared" si="72"/>
        <v>0</v>
      </c>
      <c r="AT68" s="84">
        <f t="shared" si="73"/>
        <v>0</v>
      </c>
      <c r="AU68" s="84">
        <f t="shared" si="74"/>
        <v>0</v>
      </c>
      <c r="AV68" s="84">
        <f t="shared" si="75"/>
        <v>0</v>
      </c>
      <c r="AW68" s="487">
        <v>2075.08</v>
      </c>
      <c r="AX68" s="137">
        <f t="shared" si="76"/>
        <v>105.14</v>
      </c>
      <c r="AY68" s="137">
        <f t="shared" si="77"/>
        <v>0</v>
      </c>
      <c r="AZ68" s="137">
        <f t="shared" si="78"/>
        <v>63.08</v>
      </c>
      <c r="BA68" s="137">
        <f t="shared" si="79"/>
        <v>-3.8</v>
      </c>
      <c r="BB68" s="137">
        <f t="shared" si="80"/>
        <v>-1.41</v>
      </c>
      <c r="BC68" s="84">
        <f t="shared" si="81"/>
        <v>163.01</v>
      </c>
      <c r="BD68" s="84">
        <f t="shared" si="82"/>
        <v>-29.35</v>
      </c>
      <c r="BE68" s="84">
        <f t="shared" si="83"/>
        <v>0</v>
      </c>
      <c r="BF68" s="116">
        <f t="shared" si="84"/>
        <v>-29.35</v>
      </c>
      <c r="BG68" s="496">
        <f t="shared" si="85"/>
        <v>2793.14</v>
      </c>
      <c r="BH68" s="496">
        <f t="shared" si="86"/>
        <v>2208.7399999999998</v>
      </c>
      <c r="BI68" s="496">
        <f t="shared" si="87"/>
        <v>5001.88</v>
      </c>
    </row>
    <row r="69" spans="1:61" s="480" customFormat="1" ht="16.149999999999999" customHeight="1">
      <c r="A69" s="495" t="s">
        <v>195</v>
      </c>
      <c r="B69" s="494" t="s">
        <v>263</v>
      </c>
      <c r="C69" s="493" t="s">
        <v>62</v>
      </c>
      <c r="D69" s="385" t="s">
        <v>12</v>
      </c>
      <c r="E69" s="314">
        <v>16803</v>
      </c>
      <c r="F69" s="500">
        <v>10</v>
      </c>
      <c r="G69" s="491">
        <v>3999.94</v>
      </c>
      <c r="H69" s="485">
        <v>0</v>
      </c>
      <c r="I69" s="490">
        <f t="shared" si="48"/>
        <v>3999.94</v>
      </c>
      <c r="J69" s="489">
        <f t="shared" si="92"/>
        <v>7.4767899999999997E-3</v>
      </c>
      <c r="K69" s="484">
        <f t="shared" si="93"/>
        <v>-448.5</v>
      </c>
      <c r="L69" s="484">
        <f t="shared" si="91"/>
        <v>0</v>
      </c>
      <c r="M69" s="484">
        <f t="shared" si="94"/>
        <v>94.18</v>
      </c>
      <c r="N69" s="485">
        <f t="shared" si="51"/>
        <v>94.18</v>
      </c>
      <c r="O69" s="485">
        <f t="shared" si="89"/>
        <v>0</v>
      </c>
      <c r="P69" s="485">
        <f t="shared" si="89"/>
        <v>0</v>
      </c>
      <c r="Q69" s="485">
        <f t="shared" si="52"/>
        <v>0</v>
      </c>
      <c r="R69" s="484">
        <f t="shared" si="53"/>
        <v>0</v>
      </c>
      <c r="S69" s="485">
        <f t="shared" si="54"/>
        <v>4094.12</v>
      </c>
      <c r="T69" s="488">
        <f t="shared" si="95"/>
        <v>4890.26</v>
      </c>
      <c r="U69" s="487">
        <v>3672.03</v>
      </c>
      <c r="V69" s="486">
        <f t="shared" si="56"/>
        <v>7.4767899999999997E-3</v>
      </c>
      <c r="W69" s="484">
        <f t="shared" si="96"/>
        <v>210.28</v>
      </c>
      <c r="X69" s="484">
        <v>0</v>
      </c>
      <c r="Y69" s="484">
        <f t="shared" si="97"/>
        <v>126.17</v>
      </c>
      <c r="Z69" s="484">
        <f t="shared" si="97"/>
        <v>-7.6</v>
      </c>
      <c r="AA69" s="484">
        <f t="shared" si="97"/>
        <v>-2.82</v>
      </c>
      <c r="AB69" s="485">
        <f t="shared" si="58"/>
        <v>326.02999999999997</v>
      </c>
      <c r="AC69" s="485">
        <f t="shared" si="98"/>
        <v>-58.7</v>
      </c>
      <c r="AD69" s="498">
        <f>(F69/F$184)*AD$184</f>
        <v>-41.12</v>
      </c>
      <c r="AE69" s="498">
        <v>0</v>
      </c>
      <c r="AF69" s="485">
        <f t="shared" si="60"/>
        <v>-41.12</v>
      </c>
      <c r="AG69" s="484">
        <f t="shared" si="61"/>
        <v>-99.82</v>
      </c>
      <c r="AH69" s="381">
        <f t="shared" si="62"/>
        <v>3898.24</v>
      </c>
      <c r="AI69" s="483">
        <f t="shared" si="63"/>
        <v>7992.36</v>
      </c>
      <c r="AJ69" s="483">
        <f t="shared" si="64"/>
        <v>9481.93</v>
      </c>
      <c r="AK69" s="83"/>
      <c r="AL69" s="114">
        <f t="shared" si="65"/>
        <v>3999.94</v>
      </c>
      <c r="AM69" s="497">
        <f t="shared" si="99"/>
        <v>5940.75</v>
      </c>
      <c r="AN69" s="192">
        <f t="shared" si="67"/>
        <v>0</v>
      </c>
      <c r="AO69" s="114">
        <f t="shared" si="68"/>
        <v>-448.5</v>
      </c>
      <c r="AP69" s="137">
        <f t="shared" si="69"/>
        <v>0</v>
      </c>
      <c r="AQ69" s="137">
        <f t="shared" si="70"/>
        <v>94.18</v>
      </c>
      <c r="AR69" s="84">
        <f t="shared" si="71"/>
        <v>94.18</v>
      </c>
      <c r="AS69" s="84">
        <f t="shared" si="72"/>
        <v>0</v>
      </c>
      <c r="AT69" s="84">
        <f t="shared" si="73"/>
        <v>0</v>
      </c>
      <c r="AU69" s="84">
        <f t="shared" si="74"/>
        <v>0</v>
      </c>
      <c r="AV69" s="84">
        <f t="shared" si="75"/>
        <v>0</v>
      </c>
      <c r="AW69" s="487">
        <v>3672.03</v>
      </c>
      <c r="AX69" s="137">
        <f t="shared" si="76"/>
        <v>210.28</v>
      </c>
      <c r="AY69" s="137">
        <f t="shared" si="77"/>
        <v>0</v>
      </c>
      <c r="AZ69" s="137">
        <f t="shared" si="78"/>
        <v>126.17</v>
      </c>
      <c r="BA69" s="137">
        <f t="shared" si="79"/>
        <v>-7.6</v>
      </c>
      <c r="BB69" s="137">
        <f t="shared" si="80"/>
        <v>-2.82</v>
      </c>
      <c r="BC69" s="84">
        <f t="shared" si="81"/>
        <v>326.02999999999997</v>
      </c>
      <c r="BD69" s="84">
        <f t="shared" si="82"/>
        <v>-58.7</v>
      </c>
      <c r="BE69" s="84">
        <f t="shared" si="83"/>
        <v>-41.12</v>
      </c>
      <c r="BF69" s="116">
        <f t="shared" si="84"/>
        <v>-99.82</v>
      </c>
      <c r="BG69" s="496">
        <f t="shared" si="85"/>
        <v>5586.43</v>
      </c>
      <c r="BH69" s="496">
        <f t="shared" si="86"/>
        <v>3898.24</v>
      </c>
      <c r="BI69" s="496">
        <f t="shared" si="87"/>
        <v>9484.67</v>
      </c>
    </row>
    <row r="70" spans="1:61" s="480" customFormat="1" ht="16.149999999999999" customHeight="1">
      <c r="A70" s="495" t="s">
        <v>195</v>
      </c>
      <c r="B70" s="494" t="s">
        <v>261</v>
      </c>
      <c r="C70" s="493" t="s">
        <v>62</v>
      </c>
      <c r="D70" s="385" t="s">
        <v>12</v>
      </c>
      <c r="E70" s="314">
        <v>11689</v>
      </c>
      <c r="F70" s="500">
        <v>10</v>
      </c>
      <c r="G70" s="491">
        <v>1999.91</v>
      </c>
      <c r="H70" s="485">
        <v>0</v>
      </c>
      <c r="I70" s="490">
        <f t="shared" si="48"/>
        <v>1999.91</v>
      </c>
      <c r="J70" s="489">
        <f t="shared" si="92"/>
        <v>3.7382800000000001E-3</v>
      </c>
      <c r="K70" s="484">
        <f t="shared" si="93"/>
        <v>-224.24</v>
      </c>
      <c r="L70" s="484">
        <f t="shared" si="91"/>
        <v>0</v>
      </c>
      <c r="M70" s="484">
        <f t="shared" si="94"/>
        <v>47.09</v>
      </c>
      <c r="N70" s="485">
        <f t="shared" si="51"/>
        <v>47.09</v>
      </c>
      <c r="O70" s="485">
        <f t="shared" si="89"/>
        <v>0</v>
      </c>
      <c r="P70" s="485">
        <f t="shared" si="89"/>
        <v>0</v>
      </c>
      <c r="Q70" s="485">
        <f t="shared" si="52"/>
        <v>0</v>
      </c>
      <c r="R70" s="484">
        <f t="shared" si="53"/>
        <v>0</v>
      </c>
      <c r="S70" s="485">
        <f t="shared" si="54"/>
        <v>2047</v>
      </c>
      <c r="T70" s="488">
        <f t="shared" si="95"/>
        <v>2445.06</v>
      </c>
      <c r="U70" s="487">
        <v>1596.91</v>
      </c>
      <c r="V70" s="486">
        <f t="shared" si="56"/>
        <v>3.7382800000000001E-3</v>
      </c>
      <c r="W70" s="484">
        <f t="shared" si="96"/>
        <v>105.14</v>
      </c>
      <c r="X70" s="484">
        <v>0</v>
      </c>
      <c r="Y70" s="484">
        <f t="shared" si="97"/>
        <v>63.08</v>
      </c>
      <c r="Z70" s="484">
        <f t="shared" si="97"/>
        <v>-3.8</v>
      </c>
      <c r="AA70" s="484">
        <f t="shared" si="97"/>
        <v>-1.41</v>
      </c>
      <c r="AB70" s="485">
        <f t="shared" si="58"/>
        <v>163.01</v>
      </c>
      <c r="AC70" s="485">
        <f t="shared" si="98"/>
        <v>-29.35</v>
      </c>
      <c r="AD70" s="498">
        <f>(F70/F$184)*AD$184</f>
        <v>-41.12</v>
      </c>
      <c r="AE70" s="498">
        <v>0</v>
      </c>
      <c r="AF70" s="485">
        <f t="shared" si="60"/>
        <v>-41.12</v>
      </c>
      <c r="AG70" s="484">
        <f t="shared" si="61"/>
        <v>-70.47</v>
      </c>
      <c r="AH70" s="381">
        <f t="shared" si="62"/>
        <v>1689.45</v>
      </c>
      <c r="AI70" s="483">
        <f t="shared" si="63"/>
        <v>3736.45</v>
      </c>
      <c r="AJ70" s="483">
        <f t="shared" si="64"/>
        <v>4432.83</v>
      </c>
      <c r="AK70" s="83"/>
      <c r="AL70" s="114">
        <f t="shared" si="65"/>
        <v>1999.91</v>
      </c>
      <c r="AM70" s="497">
        <f t="shared" si="99"/>
        <v>2970.29</v>
      </c>
      <c r="AN70" s="192">
        <f t="shared" si="67"/>
        <v>0</v>
      </c>
      <c r="AO70" s="114">
        <f t="shared" si="68"/>
        <v>-224.24</v>
      </c>
      <c r="AP70" s="137">
        <f t="shared" si="69"/>
        <v>0</v>
      </c>
      <c r="AQ70" s="137">
        <f t="shared" si="70"/>
        <v>47.09</v>
      </c>
      <c r="AR70" s="84">
        <f t="shared" si="71"/>
        <v>47.09</v>
      </c>
      <c r="AS70" s="84">
        <f t="shared" si="72"/>
        <v>0</v>
      </c>
      <c r="AT70" s="84">
        <f t="shared" si="73"/>
        <v>0</v>
      </c>
      <c r="AU70" s="84">
        <f t="shared" si="74"/>
        <v>0</v>
      </c>
      <c r="AV70" s="84">
        <f t="shared" si="75"/>
        <v>0</v>
      </c>
      <c r="AW70" s="487">
        <v>1596.91</v>
      </c>
      <c r="AX70" s="137">
        <f t="shared" si="76"/>
        <v>105.14</v>
      </c>
      <c r="AY70" s="137">
        <f t="shared" si="77"/>
        <v>0</v>
      </c>
      <c r="AZ70" s="137">
        <f t="shared" si="78"/>
        <v>63.08</v>
      </c>
      <c r="BA70" s="137">
        <f t="shared" si="79"/>
        <v>-3.8</v>
      </c>
      <c r="BB70" s="137">
        <f t="shared" si="80"/>
        <v>-1.41</v>
      </c>
      <c r="BC70" s="84">
        <f t="shared" si="81"/>
        <v>163.01</v>
      </c>
      <c r="BD70" s="84">
        <f t="shared" si="82"/>
        <v>-29.35</v>
      </c>
      <c r="BE70" s="84">
        <f t="shared" si="83"/>
        <v>-41.12</v>
      </c>
      <c r="BF70" s="116">
        <f t="shared" si="84"/>
        <v>-70.47</v>
      </c>
      <c r="BG70" s="496">
        <f t="shared" si="85"/>
        <v>2793.14</v>
      </c>
      <c r="BH70" s="496">
        <f t="shared" si="86"/>
        <v>1689.45</v>
      </c>
      <c r="BI70" s="496">
        <f t="shared" si="87"/>
        <v>4482.59</v>
      </c>
    </row>
    <row r="71" spans="1:61" s="480" customFormat="1" ht="16.149999999999999" customHeight="1">
      <c r="A71" s="495" t="s">
        <v>195</v>
      </c>
      <c r="B71" s="494" t="s">
        <v>259</v>
      </c>
      <c r="C71" s="493" t="s">
        <v>62</v>
      </c>
      <c r="D71" s="385" t="s">
        <v>12</v>
      </c>
      <c r="E71" s="314">
        <v>6576</v>
      </c>
      <c r="F71" s="500">
        <v>10</v>
      </c>
      <c r="G71" s="491">
        <v>1999.91</v>
      </c>
      <c r="H71" s="485">
        <v>0</v>
      </c>
      <c r="I71" s="490">
        <f t="shared" si="48"/>
        <v>1999.91</v>
      </c>
      <c r="J71" s="489">
        <f t="shared" si="92"/>
        <v>3.7382800000000001E-3</v>
      </c>
      <c r="K71" s="484">
        <f t="shared" si="93"/>
        <v>-224.24</v>
      </c>
      <c r="L71" s="484">
        <f t="shared" si="91"/>
        <v>0</v>
      </c>
      <c r="M71" s="484">
        <f t="shared" si="94"/>
        <v>47.09</v>
      </c>
      <c r="N71" s="485">
        <f t="shared" si="51"/>
        <v>47.09</v>
      </c>
      <c r="O71" s="485">
        <f t="shared" si="89"/>
        <v>0</v>
      </c>
      <c r="P71" s="485">
        <f t="shared" si="89"/>
        <v>0</v>
      </c>
      <c r="Q71" s="485">
        <f t="shared" si="52"/>
        <v>0</v>
      </c>
      <c r="R71" s="484">
        <f t="shared" si="53"/>
        <v>0</v>
      </c>
      <c r="S71" s="485">
        <f t="shared" si="54"/>
        <v>2047</v>
      </c>
      <c r="T71" s="488">
        <f t="shared" si="95"/>
        <v>2445.06</v>
      </c>
      <c r="U71" s="487">
        <v>1596.91</v>
      </c>
      <c r="V71" s="486">
        <f t="shared" si="56"/>
        <v>3.7382800000000001E-3</v>
      </c>
      <c r="W71" s="484">
        <f t="shared" si="96"/>
        <v>105.14</v>
      </c>
      <c r="X71" s="484">
        <v>0</v>
      </c>
      <c r="Y71" s="484">
        <f t="shared" si="97"/>
        <v>63.08</v>
      </c>
      <c r="Z71" s="484">
        <f t="shared" si="97"/>
        <v>-3.8</v>
      </c>
      <c r="AA71" s="484">
        <f t="shared" si="97"/>
        <v>-1.41</v>
      </c>
      <c r="AB71" s="485">
        <f t="shared" si="58"/>
        <v>163.01</v>
      </c>
      <c r="AC71" s="485">
        <f t="shared" si="98"/>
        <v>-29.35</v>
      </c>
      <c r="AD71" s="498">
        <f>(F71/F$184)*AD$184</f>
        <v>-41.12</v>
      </c>
      <c r="AE71" s="498">
        <v>0</v>
      </c>
      <c r="AF71" s="485">
        <f t="shared" si="60"/>
        <v>-41.12</v>
      </c>
      <c r="AG71" s="484">
        <f t="shared" si="61"/>
        <v>-70.47</v>
      </c>
      <c r="AH71" s="381">
        <f t="shared" si="62"/>
        <v>1689.45</v>
      </c>
      <c r="AI71" s="483">
        <f t="shared" si="63"/>
        <v>3736.45</v>
      </c>
      <c r="AJ71" s="483">
        <f t="shared" si="64"/>
        <v>4432.83</v>
      </c>
      <c r="AK71" s="83"/>
      <c r="AL71" s="114">
        <f t="shared" si="65"/>
        <v>1999.91</v>
      </c>
      <c r="AM71" s="497">
        <f t="shared" si="99"/>
        <v>2970.29</v>
      </c>
      <c r="AN71" s="192">
        <f t="shared" si="67"/>
        <v>0</v>
      </c>
      <c r="AO71" s="114">
        <f t="shared" si="68"/>
        <v>-224.24</v>
      </c>
      <c r="AP71" s="137">
        <f t="shared" si="69"/>
        <v>0</v>
      </c>
      <c r="AQ71" s="137">
        <f t="shared" si="70"/>
        <v>47.09</v>
      </c>
      <c r="AR71" s="84">
        <f t="shared" si="71"/>
        <v>47.09</v>
      </c>
      <c r="AS71" s="84">
        <f t="shared" si="72"/>
        <v>0</v>
      </c>
      <c r="AT71" s="84">
        <f t="shared" si="73"/>
        <v>0</v>
      </c>
      <c r="AU71" s="84">
        <f t="shared" si="74"/>
        <v>0</v>
      </c>
      <c r="AV71" s="84">
        <f t="shared" si="75"/>
        <v>0</v>
      </c>
      <c r="AW71" s="487">
        <v>1596.91</v>
      </c>
      <c r="AX71" s="137">
        <f t="shared" si="76"/>
        <v>105.14</v>
      </c>
      <c r="AY71" s="137">
        <f t="shared" si="77"/>
        <v>0</v>
      </c>
      <c r="AZ71" s="137">
        <f t="shared" si="78"/>
        <v>63.08</v>
      </c>
      <c r="BA71" s="137">
        <f t="shared" si="79"/>
        <v>-3.8</v>
      </c>
      <c r="BB71" s="137">
        <f t="shared" si="80"/>
        <v>-1.41</v>
      </c>
      <c r="BC71" s="84">
        <f t="shared" si="81"/>
        <v>163.01</v>
      </c>
      <c r="BD71" s="84">
        <f t="shared" si="82"/>
        <v>-29.35</v>
      </c>
      <c r="BE71" s="84">
        <f t="shared" si="83"/>
        <v>-41.12</v>
      </c>
      <c r="BF71" s="116">
        <f t="shared" si="84"/>
        <v>-70.47</v>
      </c>
      <c r="BG71" s="496">
        <f t="shared" si="85"/>
        <v>2793.14</v>
      </c>
      <c r="BH71" s="496">
        <f t="shared" si="86"/>
        <v>1689.45</v>
      </c>
      <c r="BI71" s="496">
        <f t="shared" si="87"/>
        <v>4482.59</v>
      </c>
    </row>
    <row r="72" spans="1:61" s="480" customFormat="1" ht="16.149999999999999" customHeight="1">
      <c r="A72" s="495" t="s">
        <v>195</v>
      </c>
      <c r="B72" s="494" t="s">
        <v>350</v>
      </c>
      <c r="C72" s="615" t="s">
        <v>63</v>
      </c>
      <c r="D72" s="385" t="s">
        <v>12</v>
      </c>
      <c r="E72" s="314">
        <v>9498</v>
      </c>
      <c r="F72" s="499"/>
      <c r="G72" s="491">
        <v>5999.83</v>
      </c>
      <c r="H72" s="485">
        <v>0</v>
      </c>
      <c r="I72" s="490">
        <f t="shared" si="48"/>
        <v>5999.83</v>
      </c>
      <c r="J72" s="489">
        <f t="shared" si="92"/>
        <v>1.1215030000000001E-2</v>
      </c>
      <c r="K72" s="484">
        <f t="shared" si="93"/>
        <v>-672.74</v>
      </c>
      <c r="L72" s="484">
        <f t="shared" si="91"/>
        <v>0</v>
      </c>
      <c r="M72" s="484">
        <f t="shared" si="94"/>
        <v>141.27000000000001</v>
      </c>
      <c r="N72" s="485">
        <f t="shared" si="51"/>
        <v>141.27000000000001</v>
      </c>
      <c r="O72" s="485">
        <f t="shared" ref="O72:P91" si="100">$J72*O$184</f>
        <v>0</v>
      </c>
      <c r="P72" s="485">
        <f t="shared" si="100"/>
        <v>0</v>
      </c>
      <c r="Q72" s="485">
        <f t="shared" si="52"/>
        <v>0</v>
      </c>
      <c r="R72" s="484">
        <f t="shared" si="53"/>
        <v>0</v>
      </c>
      <c r="S72" s="485">
        <f t="shared" si="54"/>
        <v>6141.1</v>
      </c>
      <c r="T72" s="488">
        <f t="shared" si="95"/>
        <v>7335.29</v>
      </c>
      <c r="U72" s="487">
        <v>6225.28</v>
      </c>
      <c r="V72" s="486">
        <f t="shared" si="56"/>
        <v>1.1215030000000001E-2</v>
      </c>
      <c r="W72" s="484">
        <f t="shared" si="96"/>
        <v>315.41000000000003</v>
      </c>
      <c r="X72" s="484">
        <v>0</v>
      </c>
      <c r="Y72" s="484">
        <f t="shared" si="97"/>
        <v>189.25</v>
      </c>
      <c r="Z72" s="484">
        <f t="shared" si="97"/>
        <v>-11.4</v>
      </c>
      <c r="AA72" s="484">
        <f t="shared" si="97"/>
        <v>-4.22</v>
      </c>
      <c r="AB72" s="485">
        <f t="shared" si="58"/>
        <v>489.04</v>
      </c>
      <c r="AC72" s="485">
        <f t="shared" si="98"/>
        <v>-88.04</v>
      </c>
      <c r="AD72" s="498">
        <v>0</v>
      </c>
      <c r="AE72" s="498">
        <v>0</v>
      </c>
      <c r="AF72" s="485">
        <f t="shared" si="60"/>
        <v>0</v>
      </c>
      <c r="AG72" s="484">
        <f t="shared" si="61"/>
        <v>-88.04</v>
      </c>
      <c r="AH72" s="381">
        <f t="shared" si="62"/>
        <v>6626.28</v>
      </c>
      <c r="AI72" s="483">
        <f t="shared" si="63"/>
        <v>12767.38</v>
      </c>
      <c r="AJ72" s="483">
        <f t="shared" si="64"/>
        <v>15146.9</v>
      </c>
      <c r="AK72" s="83"/>
      <c r="AL72" s="114">
        <f t="shared" si="65"/>
        <v>5999.83</v>
      </c>
      <c r="AM72" s="497">
        <f t="shared" si="99"/>
        <v>8911.01</v>
      </c>
      <c r="AN72" s="192">
        <f t="shared" si="67"/>
        <v>0</v>
      </c>
      <c r="AO72" s="114">
        <f t="shared" si="68"/>
        <v>-672.74</v>
      </c>
      <c r="AP72" s="137">
        <f t="shared" si="69"/>
        <v>0</v>
      </c>
      <c r="AQ72" s="137">
        <f t="shared" si="70"/>
        <v>141.27000000000001</v>
      </c>
      <c r="AR72" s="84">
        <f t="shared" si="71"/>
        <v>141.27000000000001</v>
      </c>
      <c r="AS72" s="84">
        <f t="shared" si="72"/>
        <v>0</v>
      </c>
      <c r="AT72" s="84">
        <f t="shared" si="73"/>
        <v>0</v>
      </c>
      <c r="AU72" s="84">
        <f t="shared" si="74"/>
        <v>0</v>
      </c>
      <c r="AV72" s="84">
        <f t="shared" si="75"/>
        <v>0</v>
      </c>
      <c r="AW72" s="487">
        <v>6225.28</v>
      </c>
      <c r="AX72" s="137">
        <f t="shared" si="76"/>
        <v>315.41000000000003</v>
      </c>
      <c r="AY72" s="137">
        <f t="shared" si="77"/>
        <v>0</v>
      </c>
      <c r="AZ72" s="137">
        <f t="shared" si="78"/>
        <v>189.25</v>
      </c>
      <c r="BA72" s="137">
        <f t="shared" si="79"/>
        <v>-11.4</v>
      </c>
      <c r="BB72" s="137">
        <f t="shared" si="80"/>
        <v>-4.22</v>
      </c>
      <c r="BC72" s="84">
        <f t="shared" si="81"/>
        <v>489.04</v>
      </c>
      <c r="BD72" s="84">
        <f t="shared" si="82"/>
        <v>-88.04</v>
      </c>
      <c r="BE72" s="84">
        <f t="shared" si="83"/>
        <v>0</v>
      </c>
      <c r="BF72" s="116">
        <f t="shared" si="84"/>
        <v>-88.04</v>
      </c>
      <c r="BG72" s="496">
        <f t="shared" si="85"/>
        <v>8379.5400000000009</v>
      </c>
      <c r="BH72" s="496">
        <f t="shared" si="86"/>
        <v>6626.28</v>
      </c>
      <c r="BI72" s="496">
        <f t="shared" si="87"/>
        <v>15005.82</v>
      </c>
    </row>
    <row r="73" spans="1:61" s="480" customFormat="1" ht="16.149999999999999" customHeight="1">
      <c r="A73" s="495" t="s">
        <v>195</v>
      </c>
      <c r="B73" s="494" t="s">
        <v>351</v>
      </c>
      <c r="C73" s="615" t="s">
        <v>63</v>
      </c>
      <c r="D73" s="385" t="s">
        <v>12</v>
      </c>
      <c r="E73" s="314">
        <v>6211</v>
      </c>
      <c r="F73" s="499"/>
      <c r="G73" s="491">
        <v>9999.81</v>
      </c>
      <c r="H73" s="485">
        <v>0</v>
      </c>
      <c r="I73" s="490">
        <f t="shared" si="48"/>
        <v>9999.81</v>
      </c>
      <c r="J73" s="489">
        <f t="shared" si="92"/>
        <v>1.8691889999999999E-2</v>
      </c>
      <c r="K73" s="484">
        <f t="shared" si="93"/>
        <v>-1121.24</v>
      </c>
      <c r="L73" s="484">
        <f t="shared" si="91"/>
        <v>0</v>
      </c>
      <c r="M73" s="484">
        <f t="shared" si="94"/>
        <v>235.45</v>
      </c>
      <c r="N73" s="485">
        <f t="shared" si="51"/>
        <v>235.45</v>
      </c>
      <c r="O73" s="485">
        <f t="shared" si="100"/>
        <v>0</v>
      </c>
      <c r="P73" s="485">
        <f t="shared" si="100"/>
        <v>0</v>
      </c>
      <c r="Q73" s="485">
        <f t="shared" si="52"/>
        <v>0</v>
      </c>
      <c r="R73" s="484">
        <f t="shared" si="53"/>
        <v>0</v>
      </c>
      <c r="S73" s="485">
        <f t="shared" si="54"/>
        <v>10235.26</v>
      </c>
      <c r="T73" s="488">
        <f t="shared" si="95"/>
        <v>12225.6</v>
      </c>
      <c r="U73" s="487">
        <v>10375.629999999999</v>
      </c>
      <c r="V73" s="486">
        <f t="shared" si="56"/>
        <v>1.8691889999999999E-2</v>
      </c>
      <c r="W73" s="484">
        <f t="shared" si="96"/>
        <v>525.69000000000005</v>
      </c>
      <c r="X73" s="484">
        <v>0</v>
      </c>
      <c r="Y73" s="484">
        <f t="shared" si="97"/>
        <v>315.41000000000003</v>
      </c>
      <c r="Z73" s="484">
        <f t="shared" si="97"/>
        <v>-19</v>
      </c>
      <c r="AA73" s="484">
        <f t="shared" si="97"/>
        <v>-7.04</v>
      </c>
      <c r="AB73" s="485">
        <f t="shared" si="58"/>
        <v>815.06</v>
      </c>
      <c r="AC73" s="485">
        <f t="shared" si="98"/>
        <v>-146.74</v>
      </c>
      <c r="AD73" s="498">
        <v>0</v>
      </c>
      <c r="AE73" s="498">
        <v>0</v>
      </c>
      <c r="AF73" s="485">
        <f t="shared" si="60"/>
        <v>0</v>
      </c>
      <c r="AG73" s="484">
        <f t="shared" si="61"/>
        <v>-146.74</v>
      </c>
      <c r="AH73" s="381">
        <f t="shared" si="62"/>
        <v>11043.95</v>
      </c>
      <c r="AI73" s="483">
        <f t="shared" si="63"/>
        <v>21279.21</v>
      </c>
      <c r="AJ73" s="483">
        <f t="shared" si="64"/>
        <v>25245.119999999999</v>
      </c>
      <c r="AK73" s="83"/>
      <c r="AL73" s="114">
        <f t="shared" si="65"/>
        <v>9999.81</v>
      </c>
      <c r="AM73" s="497">
        <f t="shared" si="99"/>
        <v>14851.82</v>
      </c>
      <c r="AN73" s="192">
        <f t="shared" si="67"/>
        <v>0</v>
      </c>
      <c r="AO73" s="114">
        <f t="shared" si="68"/>
        <v>-1121.24</v>
      </c>
      <c r="AP73" s="137">
        <f t="shared" si="69"/>
        <v>0</v>
      </c>
      <c r="AQ73" s="137">
        <f t="shared" si="70"/>
        <v>235.45</v>
      </c>
      <c r="AR73" s="84">
        <f t="shared" si="71"/>
        <v>235.45</v>
      </c>
      <c r="AS73" s="84">
        <f t="shared" si="72"/>
        <v>0</v>
      </c>
      <c r="AT73" s="84">
        <f t="shared" si="73"/>
        <v>0</v>
      </c>
      <c r="AU73" s="84">
        <f t="shared" si="74"/>
        <v>0</v>
      </c>
      <c r="AV73" s="84">
        <f t="shared" si="75"/>
        <v>0</v>
      </c>
      <c r="AW73" s="487">
        <v>10375.629999999999</v>
      </c>
      <c r="AX73" s="137">
        <f t="shared" si="76"/>
        <v>525.69000000000005</v>
      </c>
      <c r="AY73" s="137">
        <f t="shared" si="77"/>
        <v>0</v>
      </c>
      <c r="AZ73" s="137">
        <f t="shared" si="78"/>
        <v>315.41000000000003</v>
      </c>
      <c r="BA73" s="137">
        <f t="shared" si="79"/>
        <v>-19</v>
      </c>
      <c r="BB73" s="137">
        <f t="shared" si="80"/>
        <v>-7.04</v>
      </c>
      <c r="BC73" s="84">
        <f t="shared" si="81"/>
        <v>815.06</v>
      </c>
      <c r="BD73" s="84">
        <f t="shared" si="82"/>
        <v>-146.74</v>
      </c>
      <c r="BE73" s="84">
        <f t="shared" si="83"/>
        <v>0</v>
      </c>
      <c r="BF73" s="116">
        <f t="shared" si="84"/>
        <v>-146.74</v>
      </c>
      <c r="BG73" s="496">
        <f t="shared" si="85"/>
        <v>13966.03</v>
      </c>
      <c r="BH73" s="496">
        <f t="shared" si="86"/>
        <v>11043.95</v>
      </c>
      <c r="BI73" s="496">
        <f t="shared" si="87"/>
        <v>25009.98</v>
      </c>
    </row>
    <row r="74" spans="1:61" s="480" customFormat="1" ht="16.149999999999999" customHeight="1">
      <c r="A74" s="495" t="s">
        <v>195</v>
      </c>
      <c r="B74" s="494" t="s">
        <v>265</v>
      </c>
      <c r="C74" s="493" t="s">
        <v>62</v>
      </c>
      <c r="D74" s="385" t="s">
        <v>12</v>
      </c>
      <c r="E74" s="314">
        <v>8767</v>
      </c>
      <c r="F74" s="500">
        <v>10</v>
      </c>
      <c r="G74" s="491">
        <v>2999.89</v>
      </c>
      <c r="H74" s="485">
        <v>0</v>
      </c>
      <c r="I74" s="490">
        <f t="shared" si="48"/>
        <v>2999.89</v>
      </c>
      <c r="J74" s="489">
        <f t="shared" si="92"/>
        <v>5.6074699999999998E-3</v>
      </c>
      <c r="K74" s="484">
        <f t="shared" si="93"/>
        <v>-336.37</v>
      </c>
      <c r="L74" s="484">
        <f t="shared" si="91"/>
        <v>0</v>
      </c>
      <c r="M74" s="484">
        <f t="shared" si="94"/>
        <v>70.63</v>
      </c>
      <c r="N74" s="485">
        <f t="shared" si="51"/>
        <v>70.63</v>
      </c>
      <c r="O74" s="485">
        <f t="shared" si="100"/>
        <v>0</v>
      </c>
      <c r="P74" s="485">
        <f t="shared" si="100"/>
        <v>0</v>
      </c>
      <c r="Q74" s="485">
        <f t="shared" si="52"/>
        <v>0</v>
      </c>
      <c r="R74" s="484">
        <f t="shared" si="53"/>
        <v>0</v>
      </c>
      <c r="S74" s="485">
        <f t="shared" si="54"/>
        <v>3070.52</v>
      </c>
      <c r="T74" s="488">
        <f t="shared" si="95"/>
        <v>3667.61</v>
      </c>
      <c r="U74" s="487">
        <v>2634.45</v>
      </c>
      <c r="V74" s="486">
        <f t="shared" si="56"/>
        <v>5.6074699999999998E-3</v>
      </c>
      <c r="W74" s="484">
        <f t="shared" si="96"/>
        <v>157.69999999999999</v>
      </c>
      <c r="X74" s="484">
        <v>0</v>
      </c>
      <c r="Y74" s="484">
        <f t="shared" si="97"/>
        <v>94.62</v>
      </c>
      <c r="Z74" s="484">
        <f t="shared" si="97"/>
        <v>-5.7</v>
      </c>
      <c r="AA74" s="484">
        <f t="shared" si="97"/>
        <v>-2.11</v>
      </c>
      <c r="AB74" s="485">
        <f t="shared" si="58"/>
        <v>244.51</v>
      </c>
      <c r="AC74" s="485">
        <f t="shared" si="98"/>
        <v>-44.02</v>
      </c>
      <c r="AD74" s="498">
        <f t="shared" ref="AD74:AD87" si="101">(F74/F$184)*AD$184</f>
        <v>-41.12</v>
      </c>
      <c r="AE74" s="498">
        <v>0</v>
      </c>
      <c r="AF74" s="485">
        <f t="shared" si="60"/>
        <v>-41.12</v>
      </c>
      <c r="AG74" s="484">
        <f t="shared" si="61"/>
        <v>-85.14</v>
      </c>
      <c r="AH74" s="381">
        <f t="shared" si="62"/>
        <v>2793.82</v>
      </c>
      <c r="AI74" s="483">
        <f t="shared" si="63"/>
        <v>5864.34</v>
      </c>
      <c r="AJ74" s="483">
        <f t="shared" si="64"/>
        <v>6957.3</v>
      </c>
      <c r="AK74" s="83"/>
      <c r="AL74" s="114">
        <f t="shared" si="65"/>
        <v>2999.89</v>
      </c>
      <c r="AM74" s="497">
        <f t="shared" si="99"/>
        <v>4455.47</v>
      </c>
      <c r="AN74" s="192">
        <f t="shared" si="67"/>
        <v>0</v>
      </c>
      <c r="AO74" s="114">
        <f t="shared" si="68"/>
        <v>-336.37</v>
      </c>
      <c r="AP74" s="137">
        <f t="shared" si="69"/>
        <v>0</v>
      </c>
      <c r="AQ74" s="137">
        <f t="shared" si="70"/>
        <v>70.63</v>
      </c>
      <c r="AR74" s="84">
        <f t="shared" si="71"/>
        <v>70.63</v>
      </c>
      <c r="AS74" s="84">
        <f t="shared" si="72"/>
        <v>0</v>
      </c>
      <c r="AT74" s="84">
        <f t="shared" si="73"/>
        <v>0</v>
      </c>
      <c r="AU74" s="84">
        <f t="shared" si="74"/>
        <v>0</v>
      </c>
      <c r="AV74" s="84">
        <f t="shared" si="75"/>
        <v>0</v>
      </c>
      <c r="AW74" s="487">
        <v>2634.45</v>
      </c>
      <c r="AX74" s="137">
        <f t="shared" si="76"/>
        <v>157.69999999999999</v>
      </c>
      <c r="AY74" s="137">
        <f t="shared" si="77"/>
        <v>0</v>
      </c>
      <c r="AZ74" s="137">
        <f t="shared" si="78"/>
        <v>94.62</v>
      </c>
      <c r="BA74" s="137">
        <f t="shared" si="79"/>
        <v>-5.7</v>
      </c>
      <c r="BB74" s="137">
        <f t="shared" si="80"/>
        <v>-2.11</v>
      </c>
      <c r="BC74" s="84">
        <f t="shared" si="81"/>
        <v>244.51</v>
      </c>
      <c r="BD74" s="84">
        <f t="shared" si="82"/>
        <v>-44.02</v>
      </c>
      <c r="BE74" s="84">
        <f t="shared" si="83"/>
        <v>-41.12</v>
      </c>
      <c r="BF74" s="116">
        <f t="shared" si="84"/>
        <v>-85.14</v>
      </c>
      <c r="BG74" s="496">
        <f t="shared" si="85"/>
        <v>4189.7299999999996</v>
      </c>
      <c r="BH74" s="496">
        <f t="shared" si="86"/>
        <v>2793.82</v>
      </c>
      <c r="BI74" s="496">
        <f t="shared" si="87"/>
        <v>6983.55</v>
      </c>
    </row>
    <row r="75" spans="1:61" s="480" customFormat="1" ht="16.149999999999999" customHeight="1">
      <c r="A75" s="495" t="s">
        <v>195</v>
      </c>
      <c r="B75" s="494" t="s">
        <v>269</v>
      </c>
      <c r="C75" s="493" t="s">
        <v>62</v>
      </c>
      <c r="D75" s="385" t="s">
        <v>12</v>
      </c>
      <c r="E75" s="314">
        <v>11324</v>
      </c>
      <c r="F75" s="500">
        <v>10</v>
      </c>
      <c r="G75" s="491">
        <v>1999.91</v>
      </c>
      <c r="H75" s="485">
        <v>0</v>
      </c>
      <c r="I75" s="490">
        <f t="shared" si="48"/>
        <v>1999.91</v>
      </c>
      <c r="J75" s="489">
        <f t="shared" si="92"/>
        <v>3.7382800000000001E-3</v>
      </c>
      <c r="K75" s="484">
        <f t="shared" si="93"/>
        <v>-224.24</v>
      </c>
      <c r="L75" s="484">
        <f t="shared" si="91"/>
        <v>0</v>
      </c>
      <c r="M75" s="484">
        <f t="shared" si="94"/>
        <v>47.09</v>
      </c>
      <c r="N75" s="485">
        <f t="shared" si="51"/>
        <v>47.09</v>
      </c>
      <c r="O75" s="485">
        <f t="shared" si="100"/>
        <v>0</v>
      </c>
      <c r="P75" s="485">
        <f t="shared" si="100"/>
        <v>0</v>
      </c>
      <c r="Q75" s="485">
        <f t="shared" si="52"/>
        <v>0</v>
      </c>
      <c r="R75" s="484">
        <f t="shared" si="53"/>
        <v>0</v>
      </c>
      <c r="S75" s="485">
        <f t="shared" si="54"/>
        <v>2047</v>
      </c>
      <c r="T75" s="488">
        <f t="shared" si="95"/>
        <v>2445.06</v>
      </c>
      <c r="U75" s="487">
        <v>1596.91</v>
      </c>
      <c r="V75" s="486">
        <f t="shared" si="56"/>
        <v>3.7382800000000001E-3</v>
      </c>
      <c r="W75" s="484">
        <f t="shared" si="96"/>
        <v>105.14</v>
      </c>
      <c r="X75" s="484">
        <v>0</v>
      </c>
      <c r="Y75" s="484">
        <f t="shared" si="97"/>
        <v>63.08</v>
      </c>
      <c r="Z75" s="484">
        <f t="shared" si="97"/>
        <v>-3.8</v>
      </c>
      <c r="AA75" s="484">
        <f t="shared" si="97"/>
        <v>-1.41</v>
      </c>
      <c r="AB75" s="485">
        <f t="shared" si="58"/>
        <v>163.01</v>
      </c>
      <c r="AC75" s="485">
        <f t="shared" si="98"/>
        <v>-29.35</v>
      </c>
      <c r="AD75" s="498">
        <f t="shared" si="101"/>
        <v>-41.12</v>
      </c>
      <c r="AE75" s="498">
        <v>0</v>
      </c>
      <c r="AF75" s="485">
        <f t="shared" si="60"/>
        <v>-41.12</v>
      </c>
      <c r="AG75" s="484">
        <f t="shared" si="61"/>
        <v>-70.47</v>
      </c>
      <c r="AH75" s="381">
        <f t="shared" si="62"/>
        <v>1689.45</v>
      </c>
      <c r="AI75" s="483">
        <f t="shared" si="63"/>
        <v>3736.45</v>
      </c>
      <c r="AJ75" s="483">
        <f t="shared" si="64"/>
        <v>4432.83</v>
      </c>
      <c r="AK75" s="83"/>
      <c r="AL75" s="114">
        <f t="shared" si="65"/>
        <v>1999.91</v>
      </c>
      <c r="AM75" s="497">
        <f t="shared" si="99"/>
        <v>2970.29</v>
      </c>
      <c r="AN75" s="192">
        <f t="shared" si="67"/>
        <v>0</v>
      </c>
      <c r="AO75" s="114">
        <f t="shared" si="68"/>
        <v>-224.24</v>
      </c>
      <c r="AP75" s="137">
        <f t="shared" si="69"/>
        <v>0</v>
      </c>
      <c r="AQ75" s="137">
        <f t="shared" si="70"/>
        <v>47.09</v>
      </c>
      <c r="AR75" s="84">
        <f t="shared" si="71"/>
        <v>47.09</v>
      </c>
      <c r="AS75" s="84">
        <f t="shared" si="72"/>
        <v>0</v>
      </c>
      <c r="AT75" s="84">
        <f t="shared" si="73"/>
        <v>0</v>
      </c>
      <c r="AU75" s="84">
        <f t="shared" si="74"/>
        <v>0</v>
      </c>
      <c r="AV75" s="84">
        <f t="shared" si="75"/>
        <v>0</v>
      </c>
      <c r="AW75" s="487">
        <v>1596.91</v>
      </c>
      <c r="AX75" s="137">
        <f t="shared" si="76"/>
        <v>105.14</v>
      </c>
      <c r="AY75" s="137">
        <f t="shared" si="77"/>
        <v>0</v>
      </c>
      <c r="AZ75" s="137">
        <f t="shared" si="78"/>
        <v>63.08</v>
      </c>
      <c r="BA75" s="137">
        <f t="shared" si="79"/>
        <v>-3.8</v>
      </c>
      <c r="BB75" s="137">
        <f t="shared" si="80"/>
        <v>-1.41</v>
      </c>
      <c r="BC75" s="84">
        <f t="shared" si="81"/>
        <v>163.01</v>
      </c>
      <c r="BD75" s="84">
        <f t="shared" si="82"/>
        <v>-29.35</v>
      </c>
      <c r="BE75" s="84">
        <f t="shared" si="83"/>
        <v>-41.12</v>
      </c>
      <c r="BF75" s="116">
        <f t="shared" si="84"/>
        <v>-70.47</v>
      </c>
      <c r="BG75" s="496">
        <f t="shared" si="85"/>
        <v>2793.14</v>
      </c>
      <c r="BH75" s="496">
        <f t="shared" si="86"/>
        <v>1689.45</v>
      </c>
      <c r="BI75" s="496">
        <f t="shared" si="87"/>
        <v>4482.59</v>
      </c>
    </row>
    <row r="76" spans="1:61" s="480" customFormat="1" ht="16.149999999999999" customHeight="1">
      <c r="A76" s="495" t="s">
        <v>195</v>
      </c>
      <c r="B76" s="494" t="s">
        <v>279</v>
      </c>
      <c r="C76" s="493" t="s">
        <v>62</v>
      </c>
      <c r="D76" s="385" t="s">
        <v>12</v>
      </c>
      <c r="E76" s="314">
        <v>20090</v>
      </c>
      <c r="F76" s="500">
        <v>10</v>
      </c>
      <c r="G76" s="491">
        <v>5999.83</v>
      </c>
      <c r="H76" s="485">
        <v>0</v>
      </c>
      <c r="I76" s="490">
        <f t="shared" ref="I76:I107" si="102">G76+H76</f>
        <v>5999.83</v>
      </c>
      <c r="J76" s="489">
        <f t="shared" si="92"/>
        <v>1.1215030000000001E-2</v>
      </c>
      <c r="K76" s="484">
        <f t="shared" si="93"/>
        <v>-672.74</v>
      </c>
      <c r="L76" s="484">
        <f t="shared" si="91"/>
        <v>0</v>
      </c>
      <c r="M76" s="484">
        <f t="shared" si="94"/>
        <v>141.27000000000001</v>
      </c>
      <c r="N76" s="485">
        <f t="shared" ref="N76:N107" si="103">L76+M76</f>
        <v>141.27000000000001</v>
      </c>
      <c r="O76" s="485">
        <f t="shared" si="100"/>
        <v>0</v>
      </c>
      <c r="P76" s="485">
        <f t="shared" si="100"/>
        <v>0</v>
      </c>
      <c r="Q76" s="485">
        <f t="shared" ref="Q76:Q107" si="104">Q$184*J76</f>
        <v>0</v>
      </c>
      <c r="R76" s="484">
        <f t="shared" ref="R76:R107" si="105">P76+Q76</f>
        <v>0</v>
      </c>
      <c r="S76" s="485">
        <f t="shared" ref="S76:S107" si="106">G76+H76+N76+O76+R76</f>
        <v>6141.1</v>
      </c>
      <c r="T76" s="488">
        <f t="shared" si="95"/>
        <v>7335.29</v>
      </c>
      <c r="U76" s="487">
        <v>5747.11</v>
      </c>
      <c r="V76" s="486">
        <f t="shared" ref="V76:V107" si="107">J76</f>
        <v>1.1215030000000001E-2</v>
      </c>
      <c r="W76" s="484">
        <f t="shared" si="96"/>
        <v>315.41000000000003</v>
      </c>
      <c r="X76" s="484">
        <v>0</v>
      </c>
      <c r="Y76" s="484">
        <f t="shared" si="97"/>
        <v>189.25</v>
      </c>
      <c r="Z76" s="484">
        <f t="shared" si="97"/>
        <v>-11.4</v>
      </c>
      <c r="AA76" s="484">
        <f t="shared" si="97"/>
        <v>-4.22</v>
      </c>
      <c r="AB76" s="485">
        <f t="shared" ref="AB76:AB107" si="108">SUM(W76:AA76)</f>
        <v>489.04</v>
      </c>
      <c r="AC76" s="485">
        <f t="shared" si="98"/>
        <v>-88.04</v>
      </c>
      <c r="AD76" s="498">
        <f t="shared" si="101"/>
        <v>-41.12</v>
      </c>
      <c r="AE76" s="498">
        <v>0</v>
      </c>
      <c r="AF76" s="485">
        <f t="shared" ref="AF76:AF107" si="109">AD76+AE76</f>
        <v>-41.12</v>
      </c>
      <c r="AG76" s="484">
        <f t="shared" ref="AG76:AG107" si="110">AC76+AF76</f>
        <v>-129.16</v>
      </c>
      <c r="AH76" s="381">
        <f t="shared" ref="AH76:AH107" si="111">U76+AB76+AG76</f>
        <v>6106.99</v>
      </c>
      <c r="AI76" s="483">
        <f t="shared" ref="AI76:AI107" si="112">S76+AH76</f>
        <v>12248.09</v>
      </c>
      <c r="AJ76" s="483">
        <f t="shared" ref="AJ76:AJ107" si="113">(AI76/AI$184)*AJ$184</f>
        <v>14530.82</v>
      </c>
      <c r="AK76" s="83"/>
      <c r="AL76" s="114">
        <f t="shared" ref="AL76:AL107" si="114">G76</f>
        <v>5999.83</v>
      </c>
      <c r="AM76" s="497">
        <f t="shared" si="99"/>
        <v>8911.01</v>
      </c>
      <c r="AN76" s="192">
        <f t="shared" ref="AN76:AN107" si="115">H76</f>
        <v>0</v>
      </c>
      <c r="AO76" s="114">
        <f t="shared" ref="AO76:AO107" si="116">K76</f>
        <v>-672.74</v>
      </c>
      <c r="AP76" s="137">
        <f t="shared" ref="AP76:AP107" si="117">L76</f>
        <v>0</v>
      </c>
      <c r="AQ76" s="137">
        <f t="shared" ref="AQ76:AQ107" si="118">M76</f>
        <v>141.27000000000001</v>
      </c>
      <c r="AR76" s="84">
        <f t="shared" ref="AR76:AR107" si="119">AP76+AQ76</f>
        <v>141.27000000000001</v>
      </c>
      <c r="AS76" s="84">
        <f t="shared" ref="AS76:AS107" si="120">O76</f>
        <v>0</v>
      </c>
      <c r="AT76" s="84">
        <f t="shared" ref="AT76:AT107" si="121">P76</f>
        <v>0</v>
      </c>
      <c r="AU76" s="84">
        <f t="shared" ref="AU76:AU107" si="122">Q76</f>
        <v>0</v>
      </c>
      <c r="AV76" s="84">
        <f t="shared" ref="AV76:AV107" si="123">AT76+AU76</f>
        <v>0</v>
      </c>
      <c r="AW76" s="487">
        <v>5747.11</v>
      </c>
      <c r="AX76" s="137">
        <f t="shared" ref="AX76:AX107" si="124">W76</f>
        <v>315.41000000000003</v>
      </c>
      <c r="AY76" s="137">
        <f t="shared" ref="AY76:AY107" si="125">X76</f>
        <v>0</v>
      </c>
      <c r="AZ76" s="137">
        <f t="shared" ref="AZ76:AZ107" si="126">Y76</f>
        <v>189.25</v>
      </c>
      <c r="BA76" s="137">
        <f t="shared" ref="BA76:BA107" si="127">Z76</f>
        <v>-11.4</v>
      </c>
      <c r="BB76" s="137">
        <f t="shared" ref="BB76:BB107" si="128">AA76</f>
        <v>-4.22</v>
      </c>
      <c r="BC76" s="84">
        <f t="shared" ref="BC76:BC107" si="129">SUM(AX76:BB76)</f>
        <v>489.04</v>
      </c>
      <c r="BD76" s="84">
        <f t="shared" ref="BD76:BD107" si="130">AC76</f>
        <v>-88.04</v>
      </c>
      <c r="BE76" s="84">
        <f t="shared" ref="BE76:BE107" si="131">AF76</f>
        <v>-41.12</v>
      </c>
      <c r="BF76" s="116">
        <f t="shared" ref="BF76:BF107" si="132">BD76+BE76</f>
        <v>-129.16</v>
      </c>
      <c r="BG76" s="496">
        <f t="shared" ref="BG76:BG107" si="133">AM76+AN76+AO76+AR76+AS76+AV76</f>
        <v>8379.5400000000009</v>
      </c>
      <c r="BH76" s="496">
        <f t="shared" ref="BH76:BH107" si="134">AW76+BC76+BF76</f>
        <v>6106.99</v>
      </c>
      <c r="BI76" s="496">
        <f t="shared" ref="BI76:BI107" si="135">AM76+AN76+AO76+AR76+AS76+AV76+AW76+BC76+BF76</f>
        <v>14486.53</v>
      </c>
    </row>
    <row r="77" spans="1:61" s="480" customFormat="1" ht="16.149999999999999" customHeight="1">
      <c r="A77" s="495" t="s">
        <v>195</v>
      </c>
      <c r="B77" s="494" t="s">
        <v>310</v>
      </c>
      <c r="C77" s="493" t="s">
        <v>62</v>
      </c>
      <c r="D77" s="385" t="s">
        <v>12</v>
      </c>
      <c r="E77" s="314">
        <v>10594</v>
      </c>
      <c r="F77" s="500">
        <v>10</v>
      </c>
      <c r="G77" s="491">
        <v>3999.94</v>
      </c>
      <c r="H77" s="485">
        <v>0</v>
      </c>
      <c r="I77" s="490">
        <f t="shared" si="102"/>
        <v>3999.94</v>
      </c>
      <c r="J77" s="489">
        <f t="shared" si="92"/>
        <v>7.4767899999999997E-3</v>
      </c>
      <c r="K77" s="484">
        <f t="shared" si="93"/>
        <v>-448.5</v>
      </c>
      <c r="L77" s="484">
        <f t="shared" si="91"/>
        <v>0</v>
      </c>
      <c r="M77" s="484">
        <f t="shared" si="94"/>
        <v>94.18</v>
      </c>
      <c r="N77" s="485">
        <f t="shared" si="103"/>
        <v>94.18</v>
      </c>
      <c r="O77" s="485">
        <f t="shared" si="100"/>
        <v>0</v>
      </c>
      <c r="P77" s="485">
        <f t="shared" si="100"/>
        <v>0</v>
      </c>
      <c r="Q77" s="485">
        <f t="shared" si="104"/>
        <v>0</v>
      </c>
      <c r="R77" s="484">
        <f t="shared" si="105"/>
        <v>0</v>
      </c>
      <c r="S77" s="485">
        <f t="shared" si="106"/>
        <v>4094.12</v>
      </c>
      <c r="T77" s="488">
        <f t="shared" si="95"/>
        <v>4890.26</v>
      </c>
      <c r="U77" s="487">
        <v>3672.04</v>
      </c>
      <c r="V77" s="486">
        <f t="shared" si="107"/>
        <v>7.4767899999999997E-3</v>
      </c>
      <c r="W77" s="484">
        <f t="shared" si="96"/>
        <v>210.28</v>
      </c>
      <c r="X77" s="484">
        <v>0</v>
      </c>
      <c r="Y77" s="484">
        <f t="shared" si="97"/>
        <v>126.17</v>
      </c>
      <c r="Z77" s="484">
        <f t="shared" si="97"/>
        <v>-7.6</v>
      </c>
      <c r="AA77" s="484">
        <f t="shared" si="97"/>
        <v>-2.82</v>
      </c>
      <c r="AB77" s="485">
        <f t="shared" si="108"/>
        <v>326.02999999999997</v>
      </c>
      <c r="AC77" s="485">
        <f t="shared" si="98"/>
        <v>-58.7</v>
      </c>
      <c r="AD77" s="498">
        <f t="shared" si="101"/>
        <v>-41.12</v>
      </c>
      <c r="AE77" s="498">
        <v>0</v>
      </c>
      <c r="AF77" s="485">
        <f t="shared" si="109"/>
        <v>-41.12</v>
      </c>
      <c r="AG77" s="484">
        <f t="shared" si="110"/>
        <v>-99.82</v>
      </c>
      <c r="AH77" s="381">
        <f t="shared" si="111"/>
        <v>3898.25</v>
      </c>
      <c r="AI77" s="483">
        <f t="shared" si="112"/>
        <v>7992.37</v>
      </c>
      <c r="AJ77" s="483">
        <f t="shared" si="113"/>
        <v>9481.9500000000007</v>
      </c>
      <c r="AK77" s="83"/>
      <c r="AL77" s="114">
        <f t="shared" si="114"/>
        <v>3999.94</v>
      </c>
      <c r="AM77" s="497">
        <f t="shared" si="99"/>
        <v>5940.75</v>
      </c>
      <c r="AN77" s="192">
        <f t="shared" si="115"/>
        <v>0</v>
      </c>
      <c r="AO77" s="114">
        <f t="shared" si="116"/>
        <v>-448.5</v>
      </c>
      <c r="AP77" s="137">
        <f t="shared" si="117"/>
        <v>0</v>
      </c>
      <c r="AQ77" s="137">
        <f t="shared" si="118"/>
        <v>94.18</v>
      </c>
      <c r="AR77" s="84">
        <f t="shared" si="119"/>
        <v>94.18</v>
      </c>
      <c r="AS77" s="84">
        <f t="shared" si="120"/>
        <v>0</v>
      </c>
      <c r="AT77" s="84">
        <f t="shared" si="121"/>
        <v>0</v>
      </c>
      <c r="AU77" s="84">
        <f t="shared" si="122"/>
        <v>0</v>
      </c>
      <c r="AV77" s="84">
        <f t="shared" si="123"/>
        <v>0</v>
      </c>
      <c r="AW77" s="487">
        <v>3672.04</v>
      </c>
      <c r="AX77" s="137">
        <f t="shared" si="124"/>
        <v>210.28</v>
      </c>
      <c r="AY77" s="137">
        <f t="shared" si="125"/>
        <v>0</v>
      </c>
      <c r="AZ77" s="137">
        <f t="shared" si="126"/>
        <v>126.17</v>
      </c>
      <c r="BA77" s="137">
        <f t="shared" si="127"/>
        <v>-7.6</v>
      </c>
      <c r="BB77" s="137">
        <f t="shared" si="128"/>
        <v>-2.82</v>
      </c>
      <c r="BC77" s="84">
        <f t="shared" si="129"/>
        <v>326.02999999999997</v>
      </c>
      <c r="BD77" s="84">
        <f t="shared" si="130"/>
        <v>-58.7</v>
      </c>
      <c r="BE77" s="84">
        <f t="shared" si="131"/>
        <v>-41.12</v>
      </c>
      <c r="BF77" s="116">
        <f t="shared" si="132"/>
        <v>-99.82</v>
      </c>
      <c r="BG77" s="496">
        <f t="shared" si="133"/>
        <v>5586.43</v>
      </c>
      <c r="BH77" s="496">
        <f t="shared" si="134"/>
        <v>3898.25</v>
      </c>
      <c r="BI77" s="496">
        <f t="shared" si="135"/>
        <v>9484.68</v>
      </c>
    </row>
    <row r="78" spans="1:61" s="480" customFormat="1" ht="16.149999999999999" customHeight="1">
      <c r="A78" s="495" t="s">
        <v>195</v>
      </c>
      <c r="B78" s="494" t="s">
        <v>274</v>
      </c>
      <c r="C78" s="493" t="s">
        <v>62</v>
      </c>
      <c r="D78" s="385" t="s">
        <v>12</v>
      </c>
      <c r="E78" s="314">
        <v>15707</v>
      </c>
      <c r="F78" s="500">
        <v>10</v>
      </c>
      <c r="G78" s="491">
        <v>1999.91</v>
      </c>
      <c r="H78" s="485">
        <v>0</v>
      </c>
      <c r="I78" s="490">
        <f t="shared" si="102"/>
        <v>1999.91</v>
      </c>
      <c r="J78" s="489">
        <f t="shared" si="92"/>
        <v>3.7382800000000001E-3</v>
      </c>
      <c r="K78" s="484">
        <f t="shared" si="93"/>
        <v>-224.24</v>
      </c>
      <c r="L78" s="484">
        <f t="shared" si="91"/>
        <v>0</v>
      </c>
      <c r="M78" s="484">
        <f t="shared" si="94"/>
        <v>47.09</v>
      </c>
      <c r="N78" s="485">
        <f t="shared" si="103"/>
        <v>47.09</v>
      </c>
      <c r="O78" s="485">
        <f t="shared" si="100"/>
        <v>0</v>
      </c>
      <c r="P78" s="485">
        <f t="shared" si="100"/>
        <v>0</v>
      </c>
      <c r="Q78" s="485">
        <f t="shared" si="104"/>
        <v>0</v>
      </c>
      <c r="R78" s="484">
        <f t="shared" si="105"/>
        <v>0</v>
      </c>
      <c r="S78" s="485">
        <f t="shared" si="106"/>
        <v>2047</v>
      </c>
      <c r="T78" s="488">
        <f t="shared" si="95"/>
        <v>2445.06</v>
      </c>
      <c r="U78" s="487">
        <v>1596.91</v>
      </c>
      <c r="V78" s="486">
        <f t="shared" si="107"/>
        <v>3.7382800000000001E-3</v>
      </c>
      <c r="W78" s="484">
        <f t="shared" si="96"/>
        <v>105.14</v>
      </c>
      <c r="X78" s="484">
        <v>0</v>
      </c>
      <c r="Y78" s="484">
        <f t="shared" si="97"/>
        <v>63.08</v>
      </c>
      <c r="Z78" s="484">
        <f t="shared" si="97"/>
        <v>-3.8</v>
      </c>
      <c r="AA78" s="484">
        <f t="shared" si="97"/>
        <v>-1.41</v>
      </c>
      <c r="AB78" s="485">
        <f t="shared" si="108"/>
        <v>163.01</v>
      </c>
      <c r="AC78" s="485">
        <f t="shared" si="98"/>
        <v>-29.35</v>
      </c>
      <c r="AD78" s="498">
        <f t="shared" si="101"/>
        <v>-41.12</v>
      </c>
      <c r="AE78" s="498">
        <v>0</v>
      </c>
      <c r="AF78" s="485">
        <f t="shared" si="109"/>
        <v>-41.12</v>
      </c>
      <c r="AG78" s="484">
        <f t="shared" si="110"/>
        <v>-70.47</v>
      </c>
      <c r="AH78" s="381">
        <f t="shared" si="111"/>
        <v>1689.45</v>
      </c>
      <c r="AI78" s="483">
        <f t="shared" si="112"/>
        <v>3736.45</v>
      </c>
      <c r="AJ78" s="483">
        <f t="shared" si="113"/>
        <v>4432.83</v>
      </c>
      <c r="AK78" s="83"/>
      <c r="AL78" s="114">
        <f t="shared" si="114"/>
        <v>1999.91</v>
      </c>
      <c r="AM78" s="497">
        <f t="shared" si="99"/>
        <v>2970.29</v>
      </c>
      <c r="AN78" s="192">
        <f t="shared" si="115"/>
        <v>0</v>
      </c>
      <c r="AO78" s="114">
        <f t="shared" si="116"/>
        <v>-224.24</v>
      </c>
      <c r="AP78" s="137">
        <f t="shared" si="117"/>
        <v>0</v>
      </c>
      <c r="AQ78" s="137">
        <f t="shared" si="118"/>
        <v>47.09</v>
      </c>
      <c r="AR78" s="84">
        <f t="shared" si="119"/>
        <v>47.09</v>
      </c>
      <c r="AS78" s="84">
        <f t="shared" si="120"/>
        <v>0</v>
      </c>
      <c r="AT78" s="84">
        <f t="shared" si="121"/>
        <v>0</v>
      </c>
      <c r="AU78" s="84">
        <f t="shared" si="122"/>
        <v>0</v>
      </c>
      <c r="AV78" s="84">
        <f t="shared" si="123"/>
        <v>0</v>
      </c>
      <c r="AW78" s="487">
        <v>1596.91</v>
      </c>
      <c r="AX78" s="137">
        <f t="shared" si="124"/>
        <v>105.14</v>
      </c>
      <c r="AY78" s="137">
        <f t="shared" si="125"/>
        <v>0</v>
      </c>
      <c r="AZ78" s="137">
        <f t="shared" si="126"/>
        <v>63.08</v>
      </c>
      <c r="BA78" s="137">
        <f t="shared" si="127"/>
        <v>-3.8</v>
      </c>
      <c r="BB78" s="137">
        <f t="shared" si="128"/>
        <v>-1.41</v>
      </c>
      <c r="BC78" s="84">
        <f t="shared" si="129"/>
        <v>163.01</v>
      </c>
      <c r="BD78" s="84">
        <f t="shared" si="130"/>
        <v>-29.35</v>
      </c>
      <c r="BE78" s="84">
        <f t="shared" si="131"/>
        <v>-41.12</v>
      </c>
      <c r="BF78" s="116">
        <f t="shared" si="132"/>
        <v>-70.47</v>
      </c>
      <c r="BG78" s="496">
        <f t="shared" si="133"/>
        <v>2793.14</v>
      </c>
      <c r="BH78" s="496">
        <f t="shared" si="134"/>
        <v>1689.45</v>
      </c>
      <c r="BI78" s="496">
        <f t="shared" si="135"/>
        <v>4482.59</v>
      </c>
    </row>
    <row r="79" spans="1:61" s="480" customFormat="1" ht="16.149999999999999" customHeight="1">
      <c r="A79" s="495" t="s">
        <v>195</v>
      </c>
      <c r="B79" s="494" t="s">
        <v>266</v>
      </c>
      <c r="C79" s="493" t="s">
        <v>62</v>
      </c>
      <c r="D79" s="385" t="s">
        <v>12</v>
      </c>
      <c r="E79" s="314">
        <v>7672</v>
      </c>
      <c r="F79" s="500">
        <v>10</v>
      </c>
      <c r="G79" s="491">
        <v>2999.89</v>
      </c>
      <c r="H79" s="485">
        <v>0</v>
      </c>
      <c r="I79" s="490">
        <f t="shared" si="102"/>
        <v>2999.89</v>
      </c>
      <c r="J79" s="489">
        <f t="shared" si="92"/>
        <v>5.6074699999999998E-3</v>
      </c>
      <c r="K79" s="484">
        <f t="shared" si="93"/>
        <v>-336.37</v>
      </c>
      <c r="L79" s="484">
        <f t="shared" si="91"/>
        <v>0</v>
      </c>
      <c r="M79" s="484">
        <f t="shared" si="94"/>
        <v>70.63</v>
      </c>
      <c r="N79" s="485">
        <f t="shared" si="103"/>
        <v>70.63</v>
      </c>
      <c r="O79" s="485">
        <f t="shared" si="100"/>
        <v>0</v>
      </c>
      <c r="P79" s="485">
        <f t="shared" si="100"/>
        <v>0</v>
      </c>
      <c r="Q79" s="485">
        <f t="shared" si="104"/>
        <v>0</v>
      </c>
      <c r="R79" s="484">
        <f t="shared" si="105"/>
        <v>0</v>
      </c>
      <c r="S79" s="485">
        <f t="shared" si="106"/>
        <v>3070.52</v>
      </c>
      <c r="T79" s="488">
        <f t="shared" si="95"/>
        <v>3667.61</v>
      </c>
      <c r="U79" s="487">
        <v>2634.45</v>
      </c>
      <c r="V79" s="486">
        <f t="shared" si="107"/>
        <v>5.6074699999999998E-3</v>
      </c>
      <c r="W79" s="484">
        <f t="shared" si="96"/>
        <v>157.69999999999999</v>
      </c>
      <c r="X79" s="484">
        <v>0</v>
      </c>
      <c r="Y79" s="484">
        <f t="shared" si="97"/>
        <v>94.62</v>
      </c>
      <c r="Z79" s="484">
        <f t="shared" si="97"/>
        <v>-5.7</v>
      </c>
      <c r="AA79" s="484">
        <f t="shared" si="97"/>
        <v>-2.11</v>
      </c>
      <c r="AB79" s="485">
        <f t="shared" si="108"/>
        <v>244.51</v>
      </c>
      <c r="AC79" s="485">
        <f t="shared" si="98"/>
        <v>-44.02</v>
      </c>
      <c r="AD79" s="498">
        <f t="shared" si="101"/>
        <v>-41.12</v>
      </c>
      <c r="AE79" s="498">
        <v>0</v>
      </c>
      <c r="AF79" s="485">
        <f t="shared" si="109"/>
        <v>-41.12</v>
      </c>
      <c r="AG79" s="484">
        <f t="shared" si="110"/>
        <v>-85.14</v>
      </c>
      <c r="AH79" s="381">
        <f t="shared" si="111"/>
        <v>2793.82</v>
      </c>
      <c r="AI79" s="483">
        <f t="shared" si="112"/>
        <v>5864.34</v>
      </c>
      <c r="AJ79" s="483">
        <f t="shared" si="113"/>
        <v>6957.3</v>
      </c>
      <c r="AK79" s="83"/>
      <c r="AL79" s="114">
        <f t="shared" si="114"/>
        <v>2999.89</v>
      </c>
      <c r="AM79" s="497">
        <f t="shared" si="99"/>
        <v>4455.47</v>
      </c>
      <c r="AN79" s="192">
        <f t="shared" si="115"/>
        <v>0</v>
      </c>
      <c r="AO79" s="114">
        <f t="shared" si="116"/>
        <v>-336.37</v>
      </c>
      <c r="AP79" s="137">
        <f t="shared" si="117"/>
        <v>0</v>
      </c>
      <c r="AQ79" s="137">
        <f t="shared" si="118"/>
        <v>70.63</v>
      </c>
      <c r="AR79" s="84">
        <f t="shared" si="119"/>
        <v>70.63</v>
      </c>
      <c r="AS79" s="84">
        <f t="shared" si="120"/>
        <v>0</v>
      </c>
      <c r="AT79" s="84">
        <f t="shared" si="121"/>
        <v>0</v>
      </c>
      <c r="AU79" s="84">
        <f t="shared" si="122"/>
        <v>0</v>
      </c>
      <c r="AV79" s="84">
        <f t="shared" si="123"/>
        <v>0</v>
      </c>
      <c r="AW79" s="487">
        <v>2634.45</v>
      </c>
      <c r="AX79" s="137">
        <f t="shared" si="124"/>
        <v>157.69999999999999</v>
      </c>
      <c r="AY79" s="137">
        <f t="shared" si="125"/>
        <v>0</v>
      </c>
      <c r="AZ79" s="137">
        <f t="shared" si="126"/>
        <v>94.62</v>
      </c>
      <c r="BA79" s="137">
        <f t="shared" si="127"/>
        <v>-5.7</v>
      </c>
      <c r="BB79" s="137">
        <f t="shared" si="128"/>
        <v>-2.11</v>
      </c>
      <c r="BC79" s="84">
        <f t="shared" si="129"/>
        <v>244.51</v>
      </c>
      <c r="BD79" s="84">
        <f t="shared" si="130"/>
        <v>-44.02</v>
      </c>
      <c r="BE79" s="84">
        <f t="shared" si="131"/>
        <v>-41.12</v>
      </c>
      <c r="BF79" s="116">
        <f t="shared" si="132"/>
        <v>-85.14</v>
      </c>
      <c r="BG79" s="496">
        <f t="shared" si="133"/>
        <v>4189.7299999999996</v>
      </c>
      <c r="BH79" s="496">
        <f t="shared" si="134"/>
        <v>2793.82</v>
      </c>
      <c r="BI79" s="496">
        <f t="shared" si="135"/>
        <v>6983.55</v>
      </c>
    </row>
    <row r="80" spans="1:61" s="480" customFormat="1" ht="16.149999999999999" customHeight="1">
      <c r="A80" s="495" t="s">
        <v>195</v>
      </c>
      <c r="B80" s="494" t="s">
        <v>273</v>
      </c>
      <c r="C80" s="493" t="s">
        <v>62</v>
      </c>
      <c r="D80" s="385" t="s">
        <v>12</v>
      </c>
      <c r="E80" s="314">
        <v>14977</v>
      </c>
      <c r="F80" s="500">
        <v>10</v>
      </c>
      <c r="G80" s="491">
        <v>3999.94</v>
      </c>
      <c r="H80" s="485">
        <v>0</v>
      </c>
      <c r="I80" s="490">
        <f t="shared" si="102"/>
        <v>3999.94</v>
      </c>
      <c r="J80" s="489">
        <f t="shared" si="92"/>
        <v>7.4767899999999997E-3</v>
      </c>
      <c r="K80" s="484">
        <f t="shared" si="93"/>
        <v>-448.5</v>
      </c>
      <c r="L80" s="484">
        <f t="shared" si="91"/>
        <v>0</v>
      </c>
      <c r="M80" s="484">
        <f t="shared" si="94"/>
        <v>94.18</v>
      </c>
      <c r="N80" s="485">
        <f t="shared" si="103"/>
        <v>94.18</v>
      </c>
      <c r="O80" s="485">
        <f t="shared" si="100"/>
        <v>0</v>
      </c>
      <c r="P80" s="485">
        <f t="shared" si="100"/>
        <v>0</v>
      </c>
      <c r="Q80" s="485">
        <f t="shared" si="104"/>
        <v>0</v>
      </c>
      <c r="R80" s="484">
        <f t="shared" si="105"/>
        <v>0</v>
      </c>
      <c r="S80" s="485">
        <f t="shared" si="106"/>
        <v>4094.12</v>
      </c>
      <c r="T80" s="488">
        <f t="shared" si="95"/>
        <v>4890.26</v>
      </c>
      <c r="U80" s="487">
        <v>3672.04</v>
      </c>
      <c r="V80" s="486">
        <f t="shared" si="107"/>
        <v>7.4767899999999997E-3</v>
      </c>
      <c r="W80" s="484">
        <f t="shared" si="96"/>
        <v>210.28</v>
      </c>
      <c r="X80" s="484">
        <v>0</v>
      </c>
      <c r="Y80" s="484">
        <f t="shared" si="97"/>
        <v>126.17</v>
      </c>
      <c r="Z80" s="484">
        <f t="shared" si="97"/>
        <v>-7.6</v>
      </c>
      <c r="AA80" s="484">
        <f t="shared" si="97"/>
        <v>-2.82</v>
      </c>
      <c r="AB80" s="485">
        <f t="shared" si="108"/>
        <v>326.02999999999997</v>
      </c>
      <c r="AC80" s="485">
        <f t="shared" si="98"/>
        <v>-58.7</v>
      </c>
      <c r="AD80" s="498">
        <f t="shared" si="101"/>
        <v>-41.12</v>
      </c>
      <c r="AE80" s="498">
        <v>0</v>
      </c>
      <c r="AF80" s="485">
        <f t="shared" si="109"/>
        <v>-41.12</v>
      </c>
      <c r="AG80" s="484">
        <f t="shared" si="110"/>
        <v>-99.82</v>
      </c>
      <c r="AH80" s="381">
        <f t="shared" si="111"/>
        <v>3898.25</v>
      </c>
      <c r="AI80" s="483">
        <f t="shared" si="112"/>
        <v>7992.37</v>
      </c>
      <c r="AJ80" s="483">
        <f t="shared" si="113"/>
        <v>9481.9500000000007</v>
      </c>
      <c r="AK80" s="83"/>
      <c r="AL80" s="114">
        <f t="shared" si="114"/>
        <v>3999.94</v>
      </c>
      <c r="AM80" s="497">
        <f t="shared" si="99"/>
        <v>5940.75</v>
      </c>
      <c r="AN80" s="192">
        <f t="shared" si="115"/>
        <v>0</v>
      </c>
      <c r="AO80" s="114">
        <f t="shared" si="116"/>
        <v>-448.5</v>
      </c>
      <c r="AP80" s="137">
        <f t="shared" si="117"/>
        <v>0</v>
      </c>
      <c r="AQ80" s="137">
        <f t="shared" si="118"/>
        <v>94.18</v>
      </c>
      <c r="AR80" s="84">
        <f t="shared" si="119"/>
        <v>94.18</v>
      </c>
      <c r="AS80" s="84">
        <f t="shared" si="120"/>
        <v>0</v>
      </c>
      <c r="AT80" s="84">
        <f t="shared" si="121"/>
        <v>0</v>
      </c>
      <c r="AU80" s="84">
        <f t="shared" si="122"/>
        <v>0</v>
      </c>
      <c r="AV80" s="84">
        <f t="shared" si="123"/>
        <v>0</v>
      </c>
      <c r="AW80" s="487">
        <v>3672.04</v>
      </c>
      <c r="AX80" s="137">
        <f t="shared" si="124"/>
        <v>210.28</v>
      </c>
      <c r="AY80" s="137">
        <f t="shared" si="125"/>
        <v>0</v>
      </c>
      <c r="AZ80" s="137">
        <f t="shared" si="126"/>
        <v>126.17</v>
      </c>
      <c r="BA80" s="137">
        <f t="shared" si="127"/>
        <v>-7.6</v>
      </c>
      <c r="BB80" s="137">
        <f t="shared" si="128"/>
        <v>-2.82</v>
      </c>
      <c r="BC80" s="84">
        <f t="shared" si="129"/>
        <v>326.02999999999997</v>
      </c>
      <c r="BD80" s="84">
        <f t="shared" si="130"/>
        <v>-58.7</v>
      </c>
      <c r="BE80" s="84">
        <f t="shared" si="131"/>
        <v>-41.12</v>
      </c>
      <c r="BF80" s="116">
        <f t="shared" si="132"/>
        <v>-99.82</v>
      </c>
      <c r="BG80" s="496">
        <f t="shared" si="133"/>
        <v>5586.43</v>
      </c>
      <c r="BH80" s="496">
        <f t="shared" si="134"/>
        <v>3898.25</v>
      </c>
      <c r="BI80" s="496">
        <f t="shared" si="135"/>
        <v>9484.68</v>
      </c>
    </row>
    <row r="81" spans="1:61" s="480" customFormat="1" ht="16.149999999999999" customHeight="1">
      <c r="A81" s="495" t="s">
        <v>195</v>
      </c>
      <c r="B81" s="494" t="s">
        <v>275</v>
      </c>
      <c r="C81" s="493" t="s">
        <v>62</v>
      </c>
      <c r="D81" s="385" t="s">
        <v>12</v>
      </c>
      <c r="E81" s="314">
        <v>14977</v>
      </c>
      <c r="F81" s="500">
        <v>10</v>
      </c>
      <c r="G81" s="491">
        <v>3999.94</v>
      </c>
      <c r="H81" s="485">
        <v>0</v>
      </c>
      <c r="I81" s="490">
        <f t="shared" si="102"/>
        <v>3999.94</v>
      </c>
      <c r="J81" s="489">
        <f t="shared" si="92"/>
        <v>7.4767899999999997E-3</v>
      </c>
      <c r="K81" s="484">
        <f t="shared" si="93"/>
        <v>-448.5</v>
      </c>
      <c r="L81" s="484">
        <f t="shared" si="91"/>
        <v>0</v>
      </c>
      <c r="M81" s="484">
        <f t="shared" si="94"/>
        <v>94.18</v>
      </c>
      <c r="N81" s="485">
        <f t="shared" si="103"/>
        <v>94.18</v>
      </c>
      <c r="O81" s="485">
        <f t="shared" si="100"/>
        <v>0</v>
      </c>
      <c r="P81" s="485">
        <f t="shared" si="100"/>
        <v>0</v>
      </c>
      <c r="Q81" s="485">
        <f t="shared" si="104"/>
        <v>0</v>
      </c>
      <c r="R81" s="484">
        <f t="shared" si="105"/>
        <v>0</v>
      </c>
      <c r="S81" s="485">
        <f t="shared" si="106"/>
        <v>4094.12</v>
      </c>
      <c r="T81" s="488">
        <f t="shared" si="95"/>
        <v>4890.26</v>
      </c>
      <c r="U81" s="487">
        <v>3672.04</v>
      </c>
      <c r="V81" s="486">
        <f t="shared" si="107"/>
        <v>7.4767899999999997E-3</v>
      </c>
      <c r="W81" s="484">
        <f t="shared" si="96"/>
        <v>210.28</v>
      </c>
      <c r="X81" s="484">
        <v>0</v>
      </c>
      <c r="Y81" s="484">
        <f t="shared" si="97"/>
        <v>126.17</v>
      </c>
      <c r="Z81" s="484">
        <f t="shared" si="97"/>
        <v>-7.6</v>
      </c>
      <c r="AA81" s="484">
        <f t="shared" si="97"/>
        <v>-2.82</v>
      </c>
      <c r="AB81" s="485">
        <f t="shared" si="108"/>
        <v>326.02999999999997</v>
      </c>
      <c r="AC81" s="485">
        <f t="shared" si="98"/>
        <v>-58.7</v>
      </c>
      <c r="AD81" s="498">
        <f t="shared" si="101"/>
        <v>-41.12</v>
      </c>
      <c r="AE81" s="498">
        <v>0</v>
      </c>
      <c r="AF81" s="485">
        <f t="shared" si="109"/>
        <v>-41.12</v>
      </c>
      <c r="AG81" s="484">
        <f t="shared" si="110"/>
        <v>-99.82</v>
      </c>
      <c r="AH81" s="381">
        <f t="shared" si="111"/>
        <v>3898.25</v>
      </c>
      <c r="AI81" s="483">
        <f t="shared" si="112"/>
        <v>7992.37</v>
      </c>
      <c r="AJ81" s="483">
        <f t="shared" si="113"/>
        <v>9481.9500000000007</v>
      </c>
      <c r="AK81" s="83"/>
      <c r="AL81" s="114">
        <f t="shared" si="114"/>
        <v>3999.94</v>
      </c>
      <c r="AM81" s="497">
        <f t="shared" si="99"/>
        <v>5940.75</v>
      </c>
      <c r="AN81" s="192">
        <f t="shared" si="115"/>
        <v>0</v>
      </c>
      <c r="AO81" s="114">
        <f t="shared" si="116"/>
        <v>-448.5</v>
      </c>
      <c r="AP81" s="137">
        <f t="shared" si="117"/>
        <v>0</v>
      </c>
      <c r="AQ81" s="137">
        <f t="shared" si="118"/>
        <v>94.18</v>
      </c>
      <c r="AR81" s="84">
        <f t="shared" si="119"/>
        <v>94.18</v>
      </c>
      <c r="AS81" s="84">
        <f t="shared" si="120"/>
        <v>0</v>
      </c>
      <c r="AT81" s="84">
        <f t="shared" si="121"/>
        <v>0</v>
      </c>
      <c r="AU81" s="84">
        <f t="shared" si="122"/>
        <v>0</v>
      </c>
      <c r="AV81" s="84">
        <f t="shared" si="123"/>
        <v>0</v>
      </c>
      <c r="AW81" s="487">
        <v>3672.04</v>
      </c>
      <c r="AX81" s="137">
        <f t="shared" si="124"/>
        <v>210.28</v>
      </c>
      <c r="AY81" s="137">
        <f t="shared" si="125"/>
        <v>0</v>
      </c>
      <c r="AZ81" s="137">
        <f t="shared" si="126"/>
        <v>126.17</v>
      </c>
      <c r="BA81" s="137">
        <f t="shared" si="127"/>
        <v>-7.6</v>
      </c>
      <c r="BB81" s="137">
        <f t="shared" si="128"/>
        <v>-2.82</v>
      </c>
      <c r="BC81" s="84">
        <f t="shared" si="129"/>
        <v>326.02999999999997</v>
      </c>
      <c r="BD81" s="84">
        <f t="shared" si="130"/>
        <v>-58.7</v>
      </c>
      <c r="BE81" s="84">
        <f t="shared" si="131"/>
        <v>-41.12</v>
      </c>
      <c r="BF81" s="116">
        <f t="shared" si="132"/>
        <v>-99.82</v>
      </c>
      <c r="BG81" s="496">
        <f t="shared" si="133"/>
        <v>5586.43</v>
      </c>
      <c r="BH81" s="496">
        <f t="shared" si="134"/>
        <v>3898.25</v>
      </c>
      <c r="BI81" s="496">
        <f t="shared" si="135"/>
        <v>9484.68</v>
      </c>
    </row>
    <row r="82" spans="1:61" s="480" customFormat="1" ht="16.149999999999999" customHeight="1">
      <c r="A82" s="495" t="s">
        <v>195</v>
      </c>
      <c r="B82" s="494" t="s">
        <v>268</v>
      </c>
      <c r="C82" s="493" t="s">
        <v>62</v>
      </c>
      <c r="D82" s="385" t="s">
        <v>12</v>
      </c>
      <c r="E82" s="314">
        <v>11689</v>
      </c>
      <c r="F82" s="500">
        <v>10</v>
      </c>
      <c r="G82" s="491">
        <v>1999.91</v>
      </c>
      <c r="H82" s="485">
        <v>0</v>
      </c>
      <c r="I82" s="490">
        <f t="shared" si="102"/>
        <v>1999.91</v>
      </c>
      <c r="J82" s="489">
        <f t="shared" si="92"/>
        <v>3.7382800000000001E-3</v>
      </c>
      <c r="K82" s="484">
        <f t="shared" si="93"/>
        <v>-224.24</v>
      </c>
      <c r="L82" s="484">
        <f t="shared" si="91"/>
        <v>0</v>
      </c>
      <c r="M82" s="484">
        <f t="shared" si="94"/>
        <v>47.09</v>
      </c>
      <c r="N82" s="485">
        <f t="shared" si="103"/>
        <v>47.09</v>
      </c>
      <c r="O82" s="485">
        <f t="shared" si="100"/>
        <v>0</v>
      </c>
      <c r="P82" s="485">
        <f t="shared" si="100"/>
        <v>0</v>
      </c>
      <c r="Q82" s="485">
        <f t="shared" si="104"/>
        <v>0</v>
      </c>
      <c r="R82" s="484">
        <f t="shared" si="105"/>
        <v>0</v>
      </c>
      <c r="S82" s="485">
        <f t="shared" si="106"/>
        <v>2047</v>
      </c>
      <c r="T82" s="488">
        <f t="shared" si="95"/>
        <v>2445.06</v>
      </c>
      <c r="U82" s="487">
        <v>1596.91</v>
      </c>
      <c r="V82" s="486">
        <f t="shared" si="107"/>
        <v>3.7382800000000001E-3</v>
      </c>
      <c r="W82" s="484">
        <f t="shared" si="96"/>
        <v>105.14</v>
      </c>
      <c r="X82" s="484">
        <v>0</v>
      </c>
      <c r="Y82" s="484">
        <f t="shared" ref="Y82:AA101" si="136">$V82*Y$184</f>
        <v>63.08</v>
      </c>
      <c r="Z82" s="484">
        <f t="shared" si="136"/>
        <v>-3.8</v>
      </c>
      <c r="AA82" s="484">
        <f t="shared" si="136"/>
        <v>-1.41</v>
      </c>
      <c r="AB82" s="485">
        <f t="shared" si="108"/>
        <v>163.01</v>
      </c>
      <c r="AC82" s="485">
        <f t="shared" si="98"/>
        <v>-29.35</v>
      </c>
      <c r="AD82" s="498">
        <f t="shared" si="101"/>
        <v>-41.12</v>
      </c>
      <c r="AE82" s="498">
        <v>0</v>
      </c>
      <c r="AF82" s="485">
        <f t="shared" si="109"/>
        <v>-41.12</v>
      </c>
      <c r="AG82" s="484">
        <f t="shared" si="110"/>
        <v>-70.47</v>
      </c>
      <c r="AH82" s="381">
        <f t="shared" si="111"/>
        <v>1689.45</v>
      </c>
      <c r="AI82" s="483">
        <f t="shared" si="112"/>
        <v>3736.45</v>
      </c>
      <c r="AJ82" s="483">
        <f t="shared" si="113"/>
        <v>4432.83</v>
      </c>
      <c r="AK82" s="83"/>
      <c r="AL82" s="114">
        <f t="shared" si="114"/>
        <v>1999.91</v>
      </c>
      <c r="AM82" s="497">
        <f t="shared" si="99"/>
        <v>2970.29</v>
      </c>
      <c r="AN82" s="192">
        <f t="shared" si="115"/>
        <v>0</v>
      </c>
      <c r="AO82" s="114">
        <f t="shared" si="116"/>
        <v>-224.24</v>
      </c>
      <c r="AP82" s="137">
        <f t="shared" si="117"/>
        <v>0</v>
      </c>
      <c r="AQ82" s="137">
        <f t="shared" si="118"/>
        <v>47.09</v>
      </c>
      <c r="AR82" s="84">
        <f t="shared" si="119"/>
        <v>47.09</v>
      </c>
      <c r="AS82" s="84">
        <f t="shared" si="120"/>
        <v>0</v>
      </c>
      <c r="AT82" s="84">
        <f t="shared" si="121"/>
        <v>0</v>
      </c>
      <c r="AU82" s="84">
        <f t="shared" si="122"/>
        <v>0</v>
      </c>
      <c r="AV82" s="84">
        <f t="shared" si="123"/>
        <v>0</v>
      </c>
      <c r="AW82" s="487">
        <v>1596.91</v>
      </c>
      <c r="AX82" s="137">
        <f t="shared" si="124"/>
        <v>105.14</v>
      </c>
      <c r="AY82" s="137">
        <f t="shared" si="125"/>
        <v>0</v>
      </c>
      <c r="AZ82" s="137">
        <f t="shared" si="126"/>
        <v>63.08</v>
      </c>
      <c r="BA82" s="137">
        <f t="shared" si="127"/>
        <v>-3.8</v>
      </c>
      <c r="BB82" s="137">
        <f t="shared" si="128"/>
        <v>-1.41</v>
      </c>
      <c r="BC82" s="84">
        <f t="shared" si="129"/>
        <v>163.01</v>
      </c>
      <c r="BD82" s="84">
        <f t="shared" si="130"/>
        <v>-29.35</v>
      </c>
      <c r="BE82" s="84">
        <f t="shared" si="131"/>
        <v>-41.12</v>
      </c>
      <c r="BF82" s="116">
        <f t="shared" si="132"/>
        <v>-70.47</v>
      </c>
      <c r="BG82" s="496">
        <f t="shared" si="133"/>
        <v>2793.14</v>
      </c>
      <c r="BH82" s="496">
        <f t="shared" si="134"/>
        <v>1689.45</v>
      </c>
      <c r="BI82" s="496">
        <f t="shared" si="135"/>
        <v>4482.59</v>
      </c>
    </row>
    <row r="83" spans="1:61" s="480" customFormat="1" ht="16.149999999999999" customHeight="1">
      <c r="A83" s="495" t="s">
        <v>195</v>
      </c>
      <c r="B83" s="494" t="s">
        <v>267</v>
      </c>
      <c r="C83" s="493" t="s">
        <v>62</v>
      </c>
      <c r="D83" s="385" t="s">
        <v>12</v>
      </c>
      <c r="E83" s="314">
        <v>4750</v>
      </c>
      <c r="F83" s="500">
        <v>10</v>
      </c>
      <c r="G83" s="491">
        <v>9999.81</v>
      </c>
      <c r="H83" s="485">
        <v>0</v>
      </c>
      <c r="I83" s="490">
        <f t="shared" si="102"/>
        <v>9999.81</v>
      </c>
      <c r="J83" s="489">
        <f t="shared" si="92"/>
        <v>1.8691889999999999E-2</v>
      </c>
      <c r="K83" s="484">
        <f t="shared" si="93"/>
        <v>-1121.24</v>
      </c>
      <c r="L83" s="484">
        <f t="shared" si="91"/>
        <v>0</v>
      </c>
      <c r="M83" s="484">
        <f t="shared" si="94"/>
        <v>235.45</v>
      </c>
      <c r="N83" s="485">
        <f t="shared" si="103"/>
        <v>235.45</v>
      </c>
      <c r="O83" s="485">
        <f t="shared" si="100"/>
        <v>0</v>
      </c>
      <c r="P83" s="485">
        <f t="shared" si="100"/>
        <v>0</v>
      </c>
      <c r="Q83" s="485">
        <f t="shared" si="104"/>
        <v>0</v>
      </c>
      <c r="R83" s="484">
        <f t="shared" si="105"/>
        <v>0</v>
      </c>
      <c r="S83" s="485">
        <f t="shared" si="106"/>
        <v>10235.26</v>
      </c>
      <c r="T83" s="488">
        <f t="shared" si="95"/>
        <v>12225.6</v>
      </c>
      <c r="U83" s="487">
        <v>9897.39</v>
      </c>
      <c r="V83" s="486">
        <f t="shared" si="107"/>
        <v>1.8691889999999999E-2</v>
      </c>
      <c r="W83" s="484">
        <f t="shared" si="96"/>
        <v>525.69000000000005</v>
      </c>
      <c r="X83" s="484">
        <v>0</v>
      </c>
      <c r="Y83" s="484">
        <f t="shared" si="136"/>
        <v>315.41000000000003</v>
      </c>
      <c r="Z83" s="484">
        <f t="shared" si="136"/>
        <v>-19</v>
      </c>
      <c r="AA83" s="484">
        <f t="shared" si="136"/>
        <v>-7.04</v>
      </c>
      <c r="AB83" s="485">
        <f t="shared" si="108"/>
        <v>815.06</v>
      </c>
      <c r="AC83" s="485">
        <f t="shared" si="98"/>
        <v>-146.74</v>
      </c>
      <c r="AD83" s="498">
        <f t="shared" si="101"/>
        <v>-41.12</v>
      </c>
      <c r="AE83" s="498">
        <v>0</v>
      </c>
      <c r="AF83" s="485">
        <f t="shared" si="109"/>
        <v>-41.12</v>
      </c>
      <c r="AG83" s="484">
        <f t="shared" si="110"/>
        <v>-187.86</v>
      </c>
      <c r="AH83" s="381">
        <f t="shared" si="111"/>
        <v>10524.59</v>
      </c>
      <c r="AI83" s="483">
        <f t="shared" si="112"/>
        <v>20759.849999999999</v>
      </c>
      <c r="AJ83" s="483">
        <f t="shared" si="113"/>
        <v>24628.959999999999</v>
      </c>
      <c r="AK83" s="83"/>
      <c r="AL83" s="114">
        <f t="shared" si="114"/>
        <v>9999.81</v>
      </c>
      <c r="AM83" s="497">
        <f t="shared" si="99"/>
        <v>14851.82</v>
      </c>
      <c r="AN83" s="192">
        <f t="shared" si="115"/>
        <v>0</v>
      </c>
      <c r="AO83" s="114">
        <f t="shared" si="116"/>
        <v>-1121.24</v>
      </c>
      <c r="AP83" s="137">
        <f t="shared" si="117"/>
        <v>0</v>
      </c>
      <c r="AQ83" s="137">
        <f t="shared" si="118"/>
        <v>235.45</v>
      </c>
      <c r="AR83" s="84">
        <f t="shared" si="119"/>
        <v>235.45</v>
      </c>
      <c r="AS83" s="84">
        <f t="shared" si="120"/>
        <v>0</v>
      </c>
      <c r="AT83" s="84">
        <f t="shared" si="121"/>
        <v>0</v>
      </c>
      <c r="AU83" s="84">
        <f t="shared" si="122"/>
        <v>0</v>
      </c>
      <c r="AV83" s="84">
        <f t="shared" si="123"/>
        <v>0</v>
      </c>
      <c r="AW83" s="487">
        <v>9897.39</v>
      </c>
      <c r="AX83" s="137">
        <f t="shared" si="124"/>
        <v>525.69000000000005</v>
      </c>
      <c r="AY83" s="137">
        <f t="shared" si="125"/>
        <v>0</v>
      </c>
      <c r="AZ83" s="137">
        <f t="shared" si="126"/>
        <v>315.41000000000003</v>
      </c>
      <c r="BA83" s="137">
        <f t="shared" si="127"/>
        <v>-19</v>
      </c>
      <c r="BB83" s="137">
        <f t="shared" si="128"/>
        <v>-7.04</v>
      </c>
      <c r="BC83" s="84">
        <f t="shared" si="129"/>
        <v>815.06</v>
      </c>
      <c r="BD83" s="84">
        <f t="shared" si="130"/>
        <v>-146.74</v>
      </c>
      <c r="BE83" s="84">
        <f t="shared" si="131"/>
        <v>-41.12</v>
      </c>
      <c r="BF83" s="116">
        <f t="shared" si="132"/>
        <v>-187.86</v>
      </c>
      <c r="BG83" s="496">
        <f t="shared" si="133"/>
        <v>13966.03</v>
      </c>
      <c r="BH83" s="496">
        <f t="shared" si="134"/>
        <v>10524.59</v>
      </c>
      <c r="BI83" s="496">
        <f t="shared" si="135"/>
        <v>24490.62</v>
      </c>
    </row>
    <row r="84" spans="1:61" s="480" customFormat="1" ht="16.149999999999999" customHeight="1">
      <c r="A84" s="495" t="s">
        <v>195</v>
      </c>
      <c r="B84" s="494" t="s">
        <v>270</v>
      </c>
      <c r="C84" s="493" t="s">
        <v>62</v>
      </c>
      <c r="D84" s="385" t="s">
        <v>12</v>
      </c>
      <c r="E84" s="314">
        <v>13881</v>
      </c>
      <c r="F84" s="500">
        <v>10</v>
      </c>
      <c r="G84" s="491">
        <v>2999.89</v>
      </c>
      <c r="H84" s="485">
        <v>0</v>
      </c>
      <c r="I84" s="490">
        <f t="shared" si="102"/>
        <v>2999.89</v>
      </c>
      <c r="J84" s="489">
        <f t="shared" si="92"/>
        <v>5.6074699999999998E-3</v>
      </c>
      <c r="K84" s="484">
        <f t="shared" si="93"/>
        <v>-336.37</v>
      </c>
      <c r="L84" s="484">
        <f t="shared" si="91"/>
        <v>0</v>
      </c>
      <c r="M84" s="484">
        <f t="shared" si="94"/>
        <v>70.63</v>
      </c>
      <c r="N84" s="485">
        <f t="shared" si="103"/>
        <v>70.63</v>
      </c>
      <c r="O84" s="485">
        <f t="shared" si="100"/>
        <v>0</v>
      </c>
      <c r="P84" s="485">
        <f t="shared" si="100"/>
        <v>0</v>
      </c>
      <c r="Q84" s="485">
        <f t="shared" si="104"/>
        <v>0</v>
      </c>
      <c r="R84" s="484">
        <f t="shared" si="105"/>
        <v>0</v>
      </c>
      <c r="S84" s="485">
        <f t="shared" si="106"/>
        <v>3070.52</v>
      </c>
      <c r="T84" s="488">
        <f t="shared" si="95"/>
        <v>3667.61</v>
      </c>
      <c r="U84" s="487">
        <v>2634.45</v>
      </c>
      <c r="V84" s="486">
        <f t="shared" si="107"/>
        <v>5.6074699999999998E-3</v>
      </c>
      <c r="W84" s="484">
        <f t="shared" si="96"/>
        <v>157.69999999999999</v>
      </c>
      <c r="X84" s="484">
        <v>0</v>
      </c>
      <c r="Y84" s="484">
        <f t="shared" si="136"/>
        <v>94.62</v>
      </c>
      <c r="Z84" s="484">
        <f t="shared" si="136"/>
        <v>-5.7</v>
      </c>
      <c r="AA84" s="484">
        <f t="shared" si="136"/>
        <v>-2.11</v>
      </c>
      <c r="AB84" s="485">
        <f t="shared" si="108"/>
        <v>244.51</v>
      </c>
      <c r="AC84" s="485">
        <f t="shared" si="98"/>
        <v>-44.02</v>
      </c>
      <c r="AD84" s="498">
        <f t="shared" si="101"/>
        <v>-41.12</v>
      </c>
      <c r="AE84" s="498">
        <v>0</v>
      </c>
      <c r="AF84" s="485">
        <f t="shared" si="109"/>
        <v>-41.12</v>
      </c>
      <c r="AG84" s="484">
        <f t="shared" si="110"/>
        <v>-85.14</v>
      </c>
      <c r="AH84" s="381">
        <f t="shared" si="111"/>
        <v>2793.82</v>
      </c>
      <c r="AI84" s="483">
        <f t="shared" si="112"/>
        <v>5864.34</v>
      </c>
      <c r="AJ84" s="483">
        <f t="shared" si="113"/>
        <v>6957.3</v>
      </c>
      <c r="AK84" s="83"/>
      <c r="AL84" s="114">
        <f t="shared" si="114"/>
        <v>2999.89</v>
      </c>
      <c r="AM84" s="497">
        <f t="shared" si="99"/>
        <v>4455.47</v>
      </c>
      <c r="AN84" s="192">
        <f t="shared" si="115"/>
        <v>0</v>
      </c>
      <c r="AO84" s="114">
        <f t="shared" si="116"/>
        <v>-336.37</v>
      </c>
      <c r="AP84" s="137">
        <f t="shared" si="117"/>
        <v>0</v>
      </c>
      <c r="AQ84" s="137">
        <f t="shared" si="118"/>
        <v>70.63</v>
      </c>
      <c r="AR84" s="84">
        <f t="shared" si="119"/>
        <v>70.63</v>
      </c>
      <c r="AS84" s="84">
        <f t="shared" si="120"/>
        <v>0</v>
      </c>
      <c r="AT84" s="84">
        <f t="shared" si="121"/>
        <v>0</v>
      </c>
      <c r="AU84" s="84">
        <f t="shared" si="122"/>
        <v>0</v>
      </c>
      <c r="AV84" s="84">
        <f t="shared" si="123"/>
        <v>0</v>
      </c>
      <c r="AW84" s="487">
        <v>2634.45</v>
      </c>
      <c r="AX84" s="137">
        <f t="shared" si="124"/>
        <v>157.69999999999999</v>
      </c>
      <c r="AY84" s="137">
        <f t="shared" si="125"/>
        <v>0</v>
      </c>
      <c r="AZ84" s="137">
        <f t="shared" si="126"/>
        <v>94.62</v>
      </c>
      <c r="BA84" s="137">
        <f t="shared" si="127"/>
        <v>-5.7</v>
      </c>
      <c r="BB84" s="137">
        <f t="shared" si="128"/>
        <v>-2.11</v>
      </c>
      <c r="BC84" s="84">
        <f t="shared" si="129"/>
        <v>244.51</v>
      </c>
      <c r="BD84" s="84">
        <f t="shared" si="130"/>
        <v>-44.02</v>
      </c>
      <c r="BE84" s="84">
        <f t="shared" si="131"/>
        <v>-41.12</v>
      </c>
      <c r="BF84" s="116">
        <f t="shared" si="132"/>
        <v>-85.14</v>
      </c>
      <c r="BG84" s="496">
        <f t="shared" si="133"/>
        <v>4189.7299999999996</v>
      </c>
      <c r="BH84" s="496">
        <f t="shared" si="134"/>
        <v>2793.82</v>
      </c>
      <c r="BI84" s="496">
        <f t="shared" si="135"/>
        <v>6983.55</v>
      </c>
    </row>
    <row r="85" spans="1:61" s="480" customFormat="1" ht="16.149999999999999" customHeight="1">
      <c r="A85" s="495" t="s">
        <v>195</v>
      </c>
      <c r="B85" s="494" t="s">
        <v>271</v>
      </c>
      <c r="C85" s="493" t="s">
        <v>62</v>
      </c>
      <c r="D85" s="385" t="s">
        <v>12</v>
      </c>
      <c r="E85" s="314">
        <v>5480</v>
      </c>
      <c r="F85" s="500">
        <v>10</v>
      </c>
      <c r="G85" s="491">
        <v>4999.84</v>
      </c>
      <c r="H85" s="485">
        <v>0</v>
      </c>
      <c r="I85" s="490">
        <f t="shared" si="102"/>
        <v>4999.84</v>
      </c>
      <c r="J85" s="489">
        <f t="shared" si="92"/>
        <v>9.3458199999999995E-3</v>
      </c>
      <c r="K85" s="484">
        <f t="shared" si="93"/>
        <v>-560.61</v>
      </c>
      <c r="L85" s="484">
        <f t="shared" si="91"/>
        <v>0</v>
      </c>
      <c r="M85" s="484">
        <f t="shared" si="94"/>
        <v>117.72</v>
      </c>
      <c r="N85" s="485">
        <f t="shared" si="103"/>
        <v>117.72</v>
      </c>
      <c r="O85" s="485">
        <f t="shared" si="100"/>
        <v>0</v>
      </c>
      <c r="P85" s="485">
        <f t="shared" si="100"/>
        <v>0</v>
      </c>
      <c r="Q85" s="485">
        <f t="shared" si="104"/>
        <v>0</v>
      </c>
      <c r="R85" s="484">
        <f t="shared" si="105"/>
        <v>0</v>
      </c>
      <c r="S85" s="485">
        <f t="shared" si="106"/>
        <v>5117.5600000000004</v>
      </c>
      <c r="T85" s="488">
        <f t="shared" si="95"/>
        <v>6112.71</v>
      </c>
      <c r="U85" s="487">
        <v>4709.59</v>
      </c>
      <c r="V85" s="486">
        <f t="shared" si="107"/>
        <v>9.3458199999999995E-3</v>
      </c>
      <c r="W85" s="484">
        <f t="shared" si="96"/>
        <v>262.83999999999997</v>
      </c>
      <c r="X85" s="484">
        <v>0</v>
      </c>
      <c r="Y85" s="484">
        <f t="shared" si="136"/>
        <v>157.69999999999999</v>
      </c>
      <c r="Z85" s="484">
        <f t="shared" si="136"/>
        <v>-9.5</v>
      </c>
      <c r="AA85" s="484">
        <f t="shared" si="136"/>
        <v>-3.52</v>
      </c>
      <c r="AB85" s="485">
        <f t="shared" si="108"/>
        <v>407.52</v>
      </c>
      <c r="AC85" s="485">
        <f t="shared" si="98"/>
        <v>-73.37</v>
      </c>
      <c r="AD85" s="498">
        <f t="shared" si="101"/>
        <v>-41.12</v>
      </c>
      <c r="AE85" s="498">
        <v>0</v>
      </c>
      <c r="AF85" s="485">
        <f t="shared" si="109"/>
        <v>-41.12</v>
      </c>
      <c r="AG85" s="484">
        <f t="shared" si="110"/>
        <v>-114.49</v>
      </c>
      <c r="AH85" s="381">
        <f t="shared" si="111"/>
        <v>5002.62</v>
      </c>
      <c r="AI85" s="483">
        <f t="shared" si="112"/>
        <v>10120.18</v>
      </c>
      <c r="AJ85" s="483">
        <f t="shared" si="113"/>
        <v>12006.32</v>
      </c>
      <c r="AK85" s="83"/>
      <c r="AL85" s="114">
        <f t="shared" si="114"/>
        <v>4999.84</v>
      </c>
      <c r="AM85" s="497">
        <f t="shared" si="99"/>
        <v>7425.81</v>
      </c>
      <c r="AN85" s="192">
        <f t="shared" si="115"/>
        <v>0</v>
      </c>
      <c r="AO85" s="114">
        <f t="shared" si="116"/>
        <v>-560.61</v>
      </c>
      <c r="AP85" s="137">
        <f t="shared" si="117"/>
        <v>0</v>
      </c>
      <c r="AQ85" s="137">
        <f t="shared" si="118"/>
        <v>117.72</v>
      </c>
      <c r="AR85" s="84">
        <f t="shared" si="119"/>
        <v>117.72</v>
      </c>
      <c r="AS85" s="84">
        <f t="shared" si="120"/>
        <v>0</v>
      </c>
      <c r="AT85" s="84">
        <f t="shared" si="121"/>
        <v>0</v>
      </c>
      <c r="AU85" s="84">
        <f t="shared" si="122"/>
        <v>0</v>
      </c>
      <c r="AV85" s="84">
        <f t="shared" si="123"/>
        <v>0</v>
      </c>
      <c r="AW85" s="487">
        <v>4709.59</v>
      </c>
      <c r="AX85" s="137">
        <f t="shared" si="124"/>
        <v>262.83999999999997</v>
      </c>
      <c r="AY85" s="137">
        <f t="shared" si="125"/>
        <v>0</v>
      </c>
      <c r="AZ85" s="137">
        <f t="shared" si="126"/>
        <v>157.69999999999999</v>
      </c>
      <c r="BA85" s="137">
        <f t="shared" si="127"/>
        <v>-9.5</v>
      </c>
      <c r="BB85" s="137">
        <f t="shared" si="128"/>
        <v>-3.52</v>
      </c>
      <c r="BC85" s="84">
        <f t="shared" si="129"/>
        <v>407.52</v>
      </c>
      <c r="BD85" s="84">
        <f t="shared" si="130"/>
        <v>-73.37</v>
      </c>
      <c r="BE85" s="84">
        <f t="shared" si="131"/>
        <v>-41.12</v>
      </c>
      <c r="BF85" s="116">
        <f t="shared" si="132"/>
        <v>-114.49</v>
      </c>
      <c r="BG85" s="496">
        <f t="shared" si="133"/>
        <v>6982.92</v>
      </c>
      <c r="BH85" s="496">
        <f t="shared" si="134"/>
        <v>5002.62</v>
      </c>
      <c r="BI85" s="496">
        <f t="shared" si="135"/>
        <v>11985.54</v>
      </c>
    </row>
    <row r="86" spans="1:61" s="480" customFormat="1" ht="15.75" customHeight="1">
      <c r="A86" s="495" t="s">
        <v>195</v>
      </c>
      <c r="B86" s="494" t="s">
        <v>272</v>
      </c>
      <c r="C86" s="493" t="s">
        <v>62</v>
      </c>
      <c r="D86" s="385" t="s">
        <v>12</v>
      </c>
      <c r="E86" s="314">
        <v>16803</v>
      </c>
      <c r="F86" s="500">
        <v>10</v>
      </c>
      <c r="G86" s="491">
        <v>6999.59</v>
      </c>
      <c r="H86" s="485">
        <v>0</v>
      </c>
      <c r="I86" s="490">
        <f t="shared" si="102"/>
        <v>6999.59</v>
      </c>
      <c r="J86" s="489">
        <f t="shared" si="92"/>
        <v>1.30838E-2</v>
      </c>
      <c r="K86" s="484">
        <f t="shared" si="93"/>
        <v>-784.84</v>
      </c>
      <c r="L86" s="484">
        <f t="shared" si="91"/>
        <v>0</v>
      </c>
      <c r="M86" s="484">
        <f t="shared" si="94"/>
        <v>164.81</v>
      </c>
      <c r="N86" s="485">
        <f t="shared" si="103"/>
        <v>164.81</v>
      </c>
      <c r="O86" s="485">
        <f t="shared" si="100"/>
        <v>0</v>
      </c>
      <c r="P86" s="485">
        <f t="shared" si="100"/>
        <v>0</v>
      </c>
      <c r="Q86" s="485">
        <f t="shared" si="104"/>
        <v>0</v>
      </c>
      <c r="R86" s="484">
        <f t="shared" si="105"/>
        <v>0</v>
      </c>
      <c r="S86" s="485">
        <f t="shared" si="106"/>
        <v>7164.4</v>
      </c>
      <c r="T86" s="488">
        <f t="shared" si="95"/>
        <v>8557.58</v>
      </c>
      <c r="U86" s="487">
        <v>6784.46</v>
      </c>
      <c r="V86" s="486">
        <f t="shared" si="107"/>
        <v>1.30838E-2</v>
      </c>
      <c r="W86" s="484">
        <f t="shared" si="96"/>
        <v>367.97</v>
      </c>
      <c r="X86" s="484">
        <v>0</v>
      </c>
      <c r="Y86" s="484">
        <f t="shared" si="136"/>
        <v>220.78</v>
      </c>
      <c r="Z86" s="484">
        <f t="shared" si="136"/>
        <v>-13.3</v>
      </c>
      <c r="AA86" s="484">
        <f t="shared" si="136"/>
        <v>-4.93</v>
      </c>
      <c r="AB86" s="485">
        <f t="shared" si="108"/>
        <v>570.52</v>
      </c>
      <c r="AC86" s="485">
        <f t="shared" si="98"/>
        <v>-102.71</v>
      </c>
      <c r="AD86" s="498">
        <f t="shared" si="101"/>
        <v>-41.12</v>
      </c>
      <c r="AE86" s="498">
        <v>0</v>
      </c>
      <c r="AF86" s="485">
        <f t="shared" si="109"/>
        <v>-41.12</v>
      </c>
      <c r="AG86" s="484">
        <f t="shared" si="110"/>
        <v>-143.83000000000001</v>
      </c>
      <c r="AH86" s="381">
        <f t="shared" si="111"/>
        <v>7211.15</v>
      </c>
      <c r="AI86" s="483">
        <f t="shared" si="112"/>
        <v>14375.55</v>
      </c>
      <c r="AJ86" s="483">
        <f t="shared" si="113"/>
        <v>17054.79</v>
      </c>
      <c r="AK86" s="83"/>
      <c r="AL86" s="114">
        <f t="shared" si="114"/>
        <v>6999.59</v>
      </c>
      <c r="AM86" s="497">
        <f t="shared" si="99"/>
        <v>10395.86</v>
      </c>
      <c r="AN86" s="192">
        <f t="shared" si="115"/>
        <v>0</v>
      </c>
      <c r="AO86" s="114">
        <f t="shared" si="116"/>
        <v>-784.84</v>
      </c>
      <c r="AP86" s="137">
        <f t="shared" si="117"/>
        <v>0</v>
      </c>
      <c r="AQ86" s="137">
        <f t="shared" si="118"/>
        <v>164.81</v>
      </c>
      <c r="AR86" s="84">
        <f t="shared" si="119"/>
        <v>164.81</v>
      </c>
      <c r="AS86" s="84">
        <f t="shared" si="120"/>
        <v>0</v>
      </c>
      <c r="AT86" s="84">
        <f t="shared" si="121"/>
        <v>0</v>
      </c>
      <c r="AU86" s="84">
        <f t="shared" si="122"/>
        <v>0</v>
      </c>
      <c r="AV86" s="84">
        <f t="shared" si="123"/>
        <v>0</v>
      </c>
      <c r="AW86" s="487">
        <v>6784.46</v>
      </c>
      <c r="AX86" s="137">
        <f t="shared" si="124"/>
        <v>367.97</v>
      </c>
      <c r="AY86" s="137">
        <f t="shared" si="125"/>
        <v>0</v>
      </c>
      <c r="AZ86" s="137">
        <f t="shared" si="126"/>
        <v>220.78</v>
      </c>
      <c r="BA86" s="137">
        <f t="shared" si="127"/>
        <v>-13.3</v>
      </c>
      <c r="BB86" s="137">
        <f t="shared" si="128"/>
        <v>-4.93</v>
      </c>
      <c r="BC86" s="84">
        <f t="shared" si="129"/>
        <v>570.52</v>
      </c>
      <c r="BD86" s="84">
        <f t="shared" si="130"/>
        <v>-102.71</v>
      </c>
      <c r="BE86" s="84">
        <f t="shared" si="131"/>
        <v>-41.12</v>
      </c>
      <c r="BF86" s="116">
        <f t="shared" si="132"/>
        <v>-143.83000000000001</v>
      </c>
      <c r="BG86" s="496">
        <f t="shared" si="133"/>
        <v>9775.83</v>
      </c>
      <c r="BH86" s="496">
        <f t="shared" si="134"/>
        <v>7211.15</v>
      </c>
      <c r="BI86" s="496">
        <f t="shared" si="135"/>
        <v>16986.98</v>
      </c>
    </row>
    <row r="87" spans="1:61" s="480" customFormat="1" ht="16.149999999999999" customHeight="1">
      <c r="A87" s="495" t="s">
        <v>195</v>
      </c>
      <c r="B87" s="494" t="s">
        <v>276</v>
      </c>
      <c r="C87" s="493" t="s">
        <v>62</v>
      </c>
      <c r="D87" s="385" t="s">
        <v>12</v>
      </c>
      <c r="E87" s="314">
        <v>19360</v>
      </c>
      <c r="F87" s="500">
        <v>10</v>
      </c>
      <c r="G87" s="491">
        <v>3999.94</v>
      </c>
      <c r="H87" s="485">
        <v>0</v>
      </c>
      <c r="I87" s="490">
        <f t="shared" si="102"/>
        <v>3999.94</v>
      </c>
      <c r="J87" s="489">
        <f t="shared" si="92"/>
        <v>7.4767899999999997E-3</v>
      </c>
      <c r="K87" s="484">
        <f t="shared" si="93"/>
        <v>-448.5</v>
      </c>
      <c r="L87" s="484">
        <f t="shared" si="91"/>
        <v>0</v>
      </c>
      <c r="M87" s="484">
        <f t="shared" si="94"/>
        <v>94.18</v>
      </c>
      <c r="N87" s="485">
        <f t="shared" si="103"/>
        <v>94.18</v>
      </c>
      <c r="O87" s="485">
        <f t="shared" si="100"/>
        <v>0</v>
      </c>
      <c r="P87" s="485">
        <f t="shared" si="100"/>
        <v>0</v>
      </c>
      <c r="Q87" s="485">
        <f t="shared" si="104"/>
        <v>0</v>
      </c>
      <c r="R87" s="484">
        <f t="shared" si="105"/>
        <v>0</v>
      </c>
      <c r="S87" s="485">
        <f t="shared" si="106"/>
        <v>4094.12</v>
      </c>
      <c r="T87" s="488">
        <f t="shared" si="95"/>
        <v>4890.26</v>
      </c>
      <c r="U87" s="487">
        <v>3672.04</v>
      </c>
      <c r="V87" s="486">
        <f t="shared" si="107"/>
        <v>7.4767899999999997E-3</v>
      </c>
      <c r="W87" s="484">
        <f t="shared" si="96"/>
        <v>210.28</v>
      </c>
      <c r="X87" s="484">
        <v>0</v>
      </c>
      <c r="Y87" s="484">
        <f t="shared" si="136"/>
        <v>126.17</v>
      </c>
      <c r="Z87" s="484">
        <f t="shared" si="136"/>
        <v>-7.6</v>
      </c>
      <c r="AA87" s="484">
        <f t="shared" si="136"/>
        <v>-2.82</v>
      </c>
      <c r="AB87" s="485">
        <f t="shared" si="108"/>
        <v>326.02999999999997</v>
      </c>
      <c r="AC87" s="485">
        <f t="shared" si="98"/>
        <v>-58.7</v>
      </c>
      <c r="AD87" s="498">
        <f t="shared" si="101"/>
        <v>-41.12</v>
      </c>
      <c r="AE87" s="498">
        <v>0</v>
      </c>
      <c r="AF87" s="485">
        <f t="shared" si="109"/>
        <v>-41.12</v>
      </c>
      <c r="AG87" s="484">
        <f t="shared" si="110"/>
        <v>-99.82</v>
      </c>
      <c r="AH87" s="381">
        <f t="shared" si="111"/>
        <v>3898.25</v>
      </c>
      <c r="AI87" s="483">
        <f t="shared" si="112"/>
        <v>7992.37</v>
      </c>
      <c r="AJ87" s="483">
        <f t="shared" si="113"/>
        <v>9481.9500000000007</v>
      </c>
      <c r="AK87" s="83"/>
      <c r="AL87" s="114">
        <f t="shared" si="114"/>
        <v>3999.94</v>
      </c>
      <c r="AM87" s="497">
        <f t="shared" si="99"/>
        <v>5940.75</v>
      </c>
      <c r="AN87" s="192">
        <f t="shared" si="115"/>
        <v>0</v>
      </c>
      <c r="AO87" s="114">
        <f t="shared" si="116"/>
        <v>-448.5</v>
      </c>
      <c r="AP87" s="137">
        <f t="shared" si="117"/>
        <v>0</v>
      </c>
      <c r="AQ87" s="137">
        <f t="shared" si="118"/>
        <v>94.18</v>
      </c>
      <c r="AR87" s="84">
        <f t="shared" si="119"/>
        <v>94.18</v>
      </c>
      <c r="AS87" s="84">
        <f t="shared" si="120"/>
        <v>0</v>
      </c>
      <c r="AT87" s="84">
        <f t="shared" si="121"/>
        <v>0</v>
      </c>
      <c r="AU87" s="84">
        <f t="shared" si="122"/>
        <v>0</v>
      </c>
      <c r="AV87" s="84">
        <f t="shared" si="123"/>
        <v>0</v>
      </c>
      <c r="AW87" s="487">
        <v>3672.04</v>
      </c>
      <c r="AX87" s="137">
        <f t="shared" si="124"/>
        <v>210.28</v>
      </c>
      <c r="AY87" s="137">
        <f t="shared" si="125"/>
        <v>0</v>
      </c>
      <c r="AZ87" s="137">
        <f t="shared" si="126"/>
        <v>126.17</v>
      </c>
      <c r="BA87" s="137">
        <f t="shared" si="127"/>
        <v>-7.6</v>
      </c>
      <c r="BB87" s="137">
        <f t="shared" si="128"/>
        <v>-2.82</v>
      </c>
      <c r="BC87" s="84">
        <f t="shared" si="129"/>
        <v>326.02999999999997</v>
      </c>
      <c r="BD87" s="84">
        <f t="shared" si="130"/>
        <v>-58.7</v>
      </c>
      <c r="BE87" s="84">
        <f t="shared" si="131"/>
        <v>-41.12</v>
      </c>
      <c r="BF87" s="116">
        <f t="shared" si="132"/>
        <v>-99.82</v>
      </c>
      <c r="BG87" s="496">
        <f t="shared" si="133"/>
        <v>5586.43</v>
      </c>
      <c r="BH87" s="496">
        <f t="shared" si="134"/>
        <v>3898.25</v>
      </c>
      <c r="BI87" s="496">
        <f t="shared" si="135"/>
        <v>9484.68</v>
      </c>
    </row>
    <row r="88" spans="1:61" s="480" customFormat="1" ht="16.149999999999999" customHeight="1">
      <c r="A88" s="495" t="s">
        <v>195</v>
      </c>
      <c r="B88" s="494" t="s">
        <v>355</v>
      </c>
      <c r="C88" s="615" t="s">
        <v>63</v>
      </c>
      <c r="D88" s="385" t="s">
        <v>12</v>
      </c>
      <c r="E88" s="314">
        <v>11324</v>
      </c>
      <c r="F88" s="499"/>
      <c r="G88" s="491">
        <v>1040.02</v>
      </c>
      <c r="H88" s="485">
        <v>0</v>
      </c>
      <c r="I88" s="490">
        <f t="shared" si="102"/>
        <v>1040.02</v>
      </c>
      <c r="J88" s="489">
        <f t="shared" si="92"/>
        <v>1.94403E-3</v>
      </c>
      <c r="K88" s="484">
        <f t="shared" si="93"/>
        <v>-116.61</v>
      </c>
      <c r="L88" s="484">
        <f t="shared" si="91"/>
        <v>0</v>
      </c>
      <c r="M88" s="484">
        <f t="shared" si="94"/>
        <v>24.49</v>
      </c>
      <c r="N88" s="485">
        <f t="shared" si="103"/>
        <v>24.49</v>
      </c>
      <c r="O88" s="485">
        <f t="shared" si="100"/>
        <v>0</v>
      </c>
      <c r="P88" s="485">
        <f t="shared" si="100"/>
        <v>0</v>
      </c>
      <c r="Q88" s="485">
        <f t="shared" si="104"/>
        <v>0</v>
      </c>
      <c r="R88" s="484">
        <f t="shared" si="105"/>
        <v>0</v>
      </c>
      <c r="S88" s="485">
        <f t="shared" si="106"/>
        <v>1064.51</v>
      </c>
      <c r="T88" s="488">
        <f t="shared" si="95"/>
        <v>1271.51</v>
      </c>
      <c r="U88" s="487">
        <v>1079.1099999999999</v>
      </c>
      <c r="V88" s="486">
        <f t="shared" si="107"/>
        <v>1.94403E-3</v>
      </c>
      <c r="W88" s="484">
        <f t="shared" si="96"/>
        <v>54.67</v>
      </c>
      <c r="X88" s="484">
        <v>0</v>
      </c>
      <c r="Y88" s="484">
        <f t="shared" si="136"/>
        <v>32.799999999999997</v>
      </c>
      <c r="Z88" s="484">
        <f t="shared" si="136"/>
        <v>-1.98</v>
      </c>
      <c r="AA88" s="484">
        <f t="shared" si="136"/>
        <v>-0.73</v>
      </c>
      <c r="AB88" s="485">
        <f t="shared" si="108"/>
        <v>84.76</v>
      </c>
      <c r="AC88" s="485">
        <f t="shared" si="98"/>
        <v>-15.26</v>
      </c>
      <c r="AD88" s="498">
        <v>0</v>
      </c>
      <c r="AE88" s="498">
        <v>0</v>
      </c>
      <c r="AF88" s="485">
        <f t="shared" si="109"/>
        <v>0</v>
      </c>
      <c r="AG88" s="484">
        <f t="shared" si="110"/>
        <v>-15.26</v>
      </c>
      <c r="AH88" s="381">
        <f t="shared" si="111"/>
        <v>1148.6099999999999</v>
      </c>
      <c r="AI88" s="483">
        <f t="shared" si="112"/>
        <v>2213.12</v>
      </c>
      <c r="AJ88" s="483">
        <f t="shared" si="113"/>
        <v>2625.59</v>
      </c>
      <c r="AK88" s="83"/>
      <c r="AL88" s="114">
        <f t="shared" si="114"/>
        <v>1040.02</v>
      </c>
      <c r="AM88" s="497">
        <f t="shared" si="99"/>
        <v>1544.65</v>
      </c>
      <c r="AN88" s="192">
        <f t="shared" si="115"/>
        <v>0</v>
      </c>
      <c r="AO88" s="114">
        <f t="shared" si="116"/>
        <v>-116.61</v>
      </c>
      <c r="AP88" s="137">
        <f t="shared" si="117"/>
        <v>0</v>
      </c>
      <c r="AQ88" s="137">
        <f t="shared" si="118"/>
        <v>24.49</v>
      </c>
      <c r="AR88" s="84">
        <f t="shared" si="119"/>
        <v>24.49</v>
      </c>
      <c r="AS88" s="84">
        <f t="shared" si="120"/>
        <v>0</v>
      </c>
      <c r="AT88" s="84">
        <f t="shared" si="121"/>
        <v>0</v>
      </c>
      <c r="AU88" s="84">
        <f t="shared" si="122"/>
        <v>0</v>
      </c>
      <c r="AV88" s="84">
        <f t="shared" si="123"/>
        <v>0</v>
      </c>
      <c r="AW88" s="487">
        <v>1079.1099999999999</v>
      </c>
      <c r="AX88" s="137">
        <f t="shared" si="124"/>
        <v>54.67</v>
      </c>
      <c r="AY88" s="137">
        <f t="shared" si="125"/>
        <v>0</v>
      </c>
      <c r="AZ88" s="137">
        <f t="shared" si="126"/>
        <v>32.799999999999997</v>
      </c>
      <c r="BA88" s="137">
        <f t="shared" si="127"/>
        <v>-1.98</v>
      </c>
      <c r="BB88" s="137">
        <f t="shared" si="128"/>
        <v>-0.73</v>
      </c>
      <c r="BC88" s="84">
        <f t="shared" si="129"/>
        <v>84.76</v>
      </c>
      <c r="BD88" s="84">
        <f t="shared" si="130"/>
        <v>-15.26</v>
      </c>
      <c r="BE88" s="84">
        <f t="shared" si="131"/>
        <v>0</v>
      </c>
      <c r="BF88" s="116">
        <f t="shared" si="132"/>
        <v>-15.26</v>
      </c>
      <c r="BG88" s="496">
        <f t="shared" si="133"/>
        <v>1452.53</v>
      </c>
      <c r="BH88" s="496">
        <f t="shared" si="134"/>
        <v>1148.6099999999999</v>
      </c>
      <c r="BI88" s="496">
        <f t="shared" si="135"/>
        <v>2601.14</v>
      </c>
    </row>
    <row r="89" spans="1:61" s="480" customFormat="1" ht="16.149999999999999" customHeight="1">
      <c r="A89" s="495" t="s">
        <v>195</v>
      </c>
      <c r="B89" s="494" t="s">
        <v>278</v>
      </c>
      <c r="C89" s="493" t="s">
        <v>62</v>
      </c>
      <c r="D89" s="385" t="s">
        <v>12</v>
      </c>
      <c r="E89" s="314">
        <v>13516</v>
      </c>
      <c r="F89" s="500">
        <v>10</v>
      </c>
      <c r="G89" s="491">
        <v>2999.89</v>
      </c>
      <c r="H89" s="485">
        <v>0</v>
      </c>
      <c r="I89" s="490">
        <f t="shared" si="102"/>
        <v>2999.89</v>
      </c>
      <c r="J89" s="489">
        <f t="shared" si="92"/>
        <v>5.6074699999999998E-3</v>
      </c>
      <c r="K89" s="484">
        <f t="shared" si="93"/>
        <v>-336.37</v>
      </c>
      <c r="L89" s="484">
        <f t="shared" si="91"/>
        <v>0</v>
      </c>
      <c r="M89" s="484">
        <f t="shared" si="94"/>
        <v>70.63</v>
      </c>
      <c r="N89" s="485">
        <f t="shared" si="103"/>
        <v>70.63</v>
      </c>
      <c r="O89" s="485">
        <f t="shared" si="100"/>
        <v>0</v>
      </c>
      <c r="P89" s="485">
        <f t="shared" si="100"/>
        <v>0</v>
      </c>
      <c r="Q89" s="485">
        <f t="shared" si="104"/>
        <v>0</v>
      </c>
      <c r="R89" s="484">
        <f t="shared" si="105"/>
        <v>0</v>
      </c>
      <c r="S89" s="485">
        <f t="shared" si="106"/>
        <v>3070.52</v>
      </c>
      <c r="T89" s="488">
        <f t="shared" si="95"/>
        <v>3667.61</v>
      </c>
      <c r="U89" s="487">
        <v>2634.45</v>
      </c>
      <c r="V89" s="486">
        <f t="shared" si="107"/>
        <v>5.6074699999999998E-3</v>
      </c>
      <c r="W89" s="484">
        <f t="shared" si="96"/>
        <v>157.69999999999999</v>
      </c>
      <c r="X89" s="484">
        <v>0</v>
      </c>
      <c r="Y89" s="484">
        <f t="shared" si="136"/>
        <v>94.62</v>
      </c>
      <c r="Z89" s="484">
        <f t="shared" si="136"/>
        <v>-5.7</v>
      </c>
      <c r="AA89" s="484">
        <f t="shared" si="136"/>
        <v>-2.11</v>
      </c>
      <c r="AB89" s="485">
        <f t="shared" si="108"/>
        <v>244.51</v>
      </c>
      <c r="AC89" s="485">
        <f t="shared" si="98"/>
        <v>-44.02</v>
      </c>
      <c r="AD89" s="498">
        <f>(F89/F$184)*AD$184</f>
        <v>-41.12</v>
      </c>
      <c r="AE89" s="498">
        <v>0</v>
      </c>
      <c r="AF89" s="485">
        <f t="shared" si="109"/>
        <v>-41.12</v>
      </c>
      <c r="AG89" s="484">
        <f t="shared" si="110"/>
        <v>-85.14</v>
      </c>
      <c r="AH89" s="381">
        <f t="shared" si="111"/>
        <v>2793.82</v>
      </c>
      <c r="AI89" s="483">
        <f t="shared" si="112"/>
        <v>5864.34</v>
      </c>
      <c r="AJ89" s="483">
        <f t="shared" si="113"/>
        <v>6957.3</v>
      </c>
      <c r="AK89" s="83"/>
      <c r="AL89" s="114">
        <f t="shared" si="114"/>
        <v>2999.89</v>
      </c>
      <c r="AM89" s="497">
        <f t="shared" si="99"/>
        <v>4455.47</v>
      </c>
      <c r="AN89" s="192">
        <f t="shared" si="115"/>
        <v>0</v>
      </c>
      <c r="AO89" s="114">
        <f t="shared" si="116"/>
        <v>-336.37</v>
      </c>
      <c r="AP89" s="137">
        <f t="shared" si="117"/>
        <v>0</v>
      </c>
      <c r="AQ89" s="137">
        <f t="shared" si="118"/>
        <v>70.63</v>
      </c>
      <c r="AR89" s="84">
        <f t="shared" si="119"/>
        <v>70.63</v>
      </c>
      <c r="AS89" s="84">
        <f t="shared" si="120"/>
        <v>0</v>
      </c>
      <c r="AT89" s="84">
        <f t="shared" si="121"/>
        <v>0</v>
      </c>
      <c r="AU89" s="84">
        <f t="shared" si="122"/>
        <v>0</v>
      </c>
      <c r="AV89" s="84">
        <f t="shared" si="123"/>
        <v>0</v>
      </c>
      <c r="AW89" s="487">
        <v>2634.45</v>
      </c>
      <c r="AX89" s="137">
        <f t="shared" si="124"/>
        <v>157.69999999999999</v>
      </c>
      <c r="AY89" s="137">
        <f t="shared" si="125"/>
        <v>0</v>
      </c>
      <c r="AZ89" s="137">
        <f t="shared" si="126"/>
        <v>94.62</v>
      </c>
      <c r="BA89" s="137">
        <f t="shared" si="127"/>
        <v>-5.7</v>
      </c>
      <c r="BB89" s="137">
        <f t="shared" si="128"/>
        <v>-2.11</v>
      </c>
      <c r="BC89" s="84">
        <f t="shared" si="129"/>
        <v>244.51</v>
      </c>
      <c r="BD89" s="84">
        <f t="shared" si="130"/>
        <v>-44.02</v>
      </c>
      <c r="BE89" s="84">
        <f t="shared" si="131"/>
        <v>-41.12</v>
      </c>
      <c r="BF89" s="116">
        <f t="shared" si="132"/>
        <v>-85.14</v>
      </c>
      <c r="BG89" s="496">
        <f t="shared" si="133"/>
        <v>4189.7299999999996</v>
      </c>
      <c r="BH89" s="496">
        <f t="shared" si="134"/>
        <v>2793.82</v>
      </c>
      <c r="BI89" s="496">
        <f t="shared" si="135"/>
        <v>6983.55</v>
      </c>
    </row>
    <row r="90" spans="1:61" s="480" customFormat="1" ht="16.149999999999999" customHeight="1">
      <c r="A90" s="495" t="s">
        <v>195</v>
      </c>
      <c r="B90" s="494" t="s">
        <v>277</v>
      </c>
      <c r="C90" s="493" t="s">
        <v>62</v>
      </c>
      <c r="D90" s="385" t="s">
        <v>12</v>
      </c>
      <c r="E90" s="314">
        <v>13150</v>
      </c>
      <c r="F90" s="500">
        <v>10</v>
      </c>
      <c r="G90" s="491">
        <v>2999.89</v>
      </c>
      <c r="H90" s="485">
        <v>0</v>
      </c>
      <c r="I90" s="490">
        <f t="shared" si="102"/>
        <v>2999.89</v>
      </c>
      <c r="J90" s="489">
        <f t="shared" si="92"/>
        <v>5.6074699999999998E-3</v>
      </c>
      <c r="K90" s="484">
        <f t="shared" si="93"/>
        <v>-336.37</v>
      </c>
      <c r="L90" s="484">
        <f t="shared" si="91"/>
        <v>0</v>
      </c>
      <c r="M90" s="484">
        <f t="shared" si="94"/>
        <v>70.63</v>
      </c>
      <c r="N90" s="485">
        <f t="shared" si="103"/>
        <v>70.63</v>
      </c>
      <c r="O90" s="485">
        <f t="shared" si="100"/>
        <v>0</v>
      </c>
      <c r="P90" s="485">
        <f t="shared" si="100"/>
        <v>0</v>
      </c>
      <c r="Q90" s="485">
        <f t="shared" si="104"/>
        <v>0</v>
      </c>
      <c r="R90" s="484">
        <f t="shared" si="105"/>
        <v>0</v>
      </c>
      <c r="S90" s="485">
        <f t="shared" si="106"/>
        <v>3070.52</v>
      </c>
      <c r="T90" s="488">
        <f t="shared" si="95"/>
        <v>3667.61</v>
      </c>
      <c r="U90" s="487">
        <v>2634.45</v>
      </c>
      <c r="V90" s="486">
        <f t="shared" si="107"/>
        <v>5.6074699999999998E-3</v>
      </c>
      <c r="W90" s="484">
        <f t="shared" si="96"/>
        <v>157.69999999999999</v>
      </c>
      <c r="X90" s="484">
        <v>0</v>
      </c>
      <c r="Y90" s="484">
        <f t="shared" si="136"/>
        <v>94.62</v>
      </c>
      <c r="Z90" s="484">
        <f t="shared" si="136"/>
        <v>-5.7</v>
      </c>
      <c r="AA90" s="484">
        <f t="shared" si="136"/>
        <v>-2.11</v>
      </c>
      <c r="AB90" s="485">
        <f t="shared" si="108"/>
        <v>244.51</v>
      </c>
      <c r="AC90" s="485">
        <f t="shared" si="98"/>
        <v>-44.02</v>
      </c>
      <c r="AD90" s="498">
        <f>(F90/F$184)*AD$184</f>
        <v>-41.12</v>
      </c>
      <c r="AE90" s="498">
        <v>0</v>
      </c>
      <c r="AF90" s="485">
        <f t="shared" si="109"/>
        <v>-41.12</v>
      </c>
      <c r="AG90" s="484">
        <f t="shared" si="110"/>
        <v>-85.14</v>
      </c>
      <c r="AH90" s="381">
        <f t="shared" si="111"/>
        <v>2793.82</v>
      </c>
      <c r="AI90" s="483">
        <f t="shared" si="112"/>
        <v>5864.34</v>
      </c>
      <c r="AJ90" s="483">
        <f t="shared" si="113"/>
        <v>6957.3</v>
      </c>
      <c r="AK90" s="83"/>
      <c r="AL90" s="114">
        <f t="shared" si="114"/>
        <v>2999.89</v>
      </c>
      <c r="AM90" s="497">
        <f t="shared" si="99"/>
        <v>4455.47</v>
      </c>
      <c r="AN90" s="192">
        <f t="shared" si="115"/>
        <v>0</v>
      </c>
      <c r="AO90" s="114">
        <f t="shared" si="116"/>
        <v>-336.37</v>
      </c>
      <c r="AP90" s="137">
        <f t="shared" si="117"/>
        <v>0</v>
      </c>
      <c r="AQ90" s="137">
        <f t="shared" si="118"/>
        <v>70.63</v>
      </c>
      <c r="AR90" s="84">
        <f t="shared" si="119"/>
        <v>70.63</v>
      </c>
      <c r="AS90" s="84">
        <f t="shared" si="120"/>
        <v>0</v>
      </c>
      <c r="AT90" s="84">
        <f t="shared" si="121"/>
        <v>0</v>
      </c>
      <c r="AU90" s="84">
        <f t="shared" si="122"/>
        <v>0</v>
      </c>
      <c r="AV90" s="84">
        <f t="shared" si="123"/>
        <v>0</v>
      </c>
      <c r="AW90" s="487">
        <v>2634.45</v>
      </c>
      <c r="AX90" s="137">
        <f t="shared" si="124"/>
        <v>157.69999999999999</v>
      </c>
      <c r="AY90" s="137">
        <f t="shared" si="125"/>
        <v>0</v>
      </c>
      <c r="AZ90" s="137">
        <f t="shared" si="126"/>
        <v>94.62</v>
      </c>
      <c r="BA90" s="137">
        <f t="shared" si="127"/>
        <v>-5.7</v>
      </c>
      <c r="BB90" s="137">
        <f t="shared" si="128"/>
        <v>-2.11</v>
      </c>
      <c r="BC90" s="84">
        <f t="shared" si="129"/>
        <v>244.51</v>
      </c>
      <c r="BD90" s="84">
        <f t="shared" si="130"/>
        <v>-44.02</v>
      </c>
      <c r="BE90" s="84">
        <f t="shared" si="131"/>
        <v>-41.12</v>
      </c>
      <c r="BF90" s="116">
        <f t="shared" si="132"/>
        <v>-85.14</v>
      </c>
      <c r="BG90" s="496">
        <f t="shared" si="133"/>
        <v>4189.7299999999996</v>
      </c>
      <c r="BH90" s="496">
        <f t="shared" si="134"/>
        <v>2793.82</v>
      </c>
      <c r="BI90" s="496">
        <f t="shared" si="135"/>
        <v>6983.55</v>
      </c>
    </row>
    <row r="91" spans="1:61" s="480" customFormat="1" ht="16.149999999999999" customHeight="1">
      <c r="A91" s="495" t="s">
        <v>195</v>
      </c>
      <c r="B91" s="494" t="s">
        <v>280</v>
      </c>
      <c r="C91" s="493" t="s">
        <v>62</v>
      </c>
      <c r="D91" s="385" t="s">
        <v>12</v>
      </c>
      <c r="E91" s="314">
        <v>3654</v>
      </c>
      <c r="F91" s="500">
        <v>10</v>
      </c>
      <c r="G91" s="491">
        <v>1999.91</v>
      </c>
      <c r="H91" s="485">
        <v>0</v>
      </c>
      <c r="I91" s="490">
        <f t="shared" si="102"/>
        <v>1999.91</v>
      </c>
      <c r="J91" s="489">
        <f t="shared" si="92"/>
        <v>3.7382800000000001E-3</v>
      </c>
      <c r="K91" s="484">
        <f t="shared" si="93"/>
        <v>-224.24</v>
      </c>
      <c r="L91" s="484">
        <f t="shared" si="91"/>
        <v>0</v>
      </c>
      <c r="M91" s="484">
        <f t="shared" si="94"/>
        <v>47.09</v>
      </c>
      <c r="N91" s="485">
        <f t="shared" si="103"/>
        <v>47.09</v>
      </c>
      <c r="O91" s="485">
        <f t="shared" si="100"/>
        <v>0</v>
      </c>
      <c r="P91" s="485">
        <f t="shared" si="100"/>
        <v>0</v>
      </c>
      <c r="Q91" s="485">
        <f t="shared" si="104"/>
        <v>0</v>
      </c>
      <c r="R91" s="484">
        <f t="shared" si="105"/>
        <v>0</v>
      </c>
      <c r="S91" s="485">
        <f t="shared" si="106"/>
        <v>2047</v>
      </c>
      <c r="T91" s="488">
        <f t="shared" si="95"/>
        <v>2445.06</v>
      </c>
      <c r="U91" s="487">
        <v>1596.91</v>
      </c>
      <c r="V91" s="486">
        <f t="shared" si="107"/>
        <v>3.7382800000000001E-3</v>
      </c>
      <c r="W91" s="484">
        <f t="shared" si="96"/>
        <v>105.14</v>
      </c>
      <c r="X91" s="484">
        <v>0</v>
      </c>
      <c r="Y91" s="484">
        <f t="shared" si="136"/>
        <v>63.08</v>
      </c>
      <c r="Z91" s="484">
        <f t="shared" si="136"/>
        <v>-3.8</v>
      </c>
      <c r="AA91" s="484">
        <f t="shared" si="136"/>
        <v>-1.41</v>
      </c>
      <c r="AB91" s="485">
        <f t="shared" si="108"/>
        <v>163.01</v>
      </c>
      <c r="AC91" s="485">
        <f t="shared" si="98"/>
        <v>-29.35</v>
      </c>
      <c r="AD91" s="498">
        <f>(F91/F$184)*AD$184</f>
        <v>-41.12</v>
      </c>
      <c r="AE91" s="498">
        <v>0</v>
      </c>
      <c r="AF91" s="485">
        <f t="shared" si="109"/>
        <v>-41.12</v>
      </c>
      <c r="AG91" s="484">
        <f t="shared" si="110"/>
        <v>-70.47</v>
      </c>
      <c r="AH91" s="381">
        <f t="shared" si="111"/>
        <v>1689.45</v>
      </c>
      <c r="AI91" s="483">
        <f t="shared" si="112"/>
        <v>3736.45</v>
      </c>
      <c r="AJ91" s="483">
        <f t="shared" si="113"/>
        <v>4432.83</v>
      </c>
      <c r="AK91" s="83"/>
      <c r="AL91" s="114">
        <f t="shared" si="114"/>
        <v>1999.91</v>
      </c>
      <c r="AM91" s="497">
        <f t="shared" si="99"/>
        <v>2970.29</v>
      </c>
      <c r="AN91" s="192">
        <f t="shared" si="115"/>
        <v>0</v>
      </c>
      <c r="AO91" s="114">
        <f t="shared" si="116"/>
        <v>-224.24</v>
      </c>
      <c r="AP91" s="137">
        <f t="shared" si="117"/>
        <v>0</v>
      </c>
      <c r="AQ91" s="137">
        <f t="shared" si="118"/>
        <v>47.09</v>
      </c>
      <c r="AR91" s="84">
        <f t="shared" si="119"/>
        <v>47.09</v>
      </c>
      <c r="AS91" s="84">
        <f t="shared" si="120"/>
        <v>0</v>
      </c>
      <c r="AT91" s="84">
        <f t="shared" si="121"/>
        <v>0</v>
      </c>
      <c r="AU91" s="84">
        <f t="shared" si="122"/>
        <v>0</v>
      </c>
      <c r="AV91" s="84">
        <f t="shared" si="123"/>
        <v>0</v>
      </c>
      <c r="AW91" s="487">
        <v>1596.91</v>
      </c>
      <c r="AX91" s="137">
        <f t="shared" si="124"/>
        <v>105.14</v>
      </c>
      <c r="AY91" s="137">
        <f t="shared" si="125"/>
        <v>0</v>
      </c>
      <c r="AZ91" s="137">
        <f t="shared" si="126"/>
        <v>63.08</v>
      </c>
      <c r="BA91" s="137">
        <f t="shared" si="127"/>
        <v>-3.8</v>
      </c>
      <c r="BB91" s="137">
        <f t="shared" si="128"/>
        <v>-1.41</v>
      </c>
      <c r="BC91" s="84">
        <f t="shared" si="129"/>
        <v>163.01</v>
      </c>
      <c r="BD91" s="84">
        <f t="shared" si="130"/>
        <v>-29.35</v>
      </c>
      <c r="BE91" s="84">
        <f t="shared" si="131"/>
        <v>-41.12</v>
      </c>
      <c r="BF91" s="116">
        <f t="shared" si="132"/>
        <v>-70.47</v>
      </c>
      <c r="BG91" s="496">
        <f t="shared" si="133"/>
        <v>2793.14</v>
      </c>
      <c r="BH91" s="496">
        <f t="shared" si="134"/>
        <v>1689.45</v>
      </c>
      <c r="BI91" s="496">
        <f t="shared" si="135"/>
        <v>4482.59</v>
      </c>
    </row>
    <row r="92" spans="1:61" s="480" customFormat="1" ht="16.149999999999999" customHeight="1">
      <c r="A92" s="495" t="s">
        <v>195</v>
      </c>
      <c r="B92" s="494" t="s">
        <v>356</v>
      </c>
      <c r="C92" s="615" t="s">
        <v>63</v>
      </c>
      <c r="D92" s="385" t="s">
        <v>12</v>
      </c>
      <c r="E92" s="314">
        <v>11689</v>
      </c>
      <c r="F92" s="499"/>
      <c r="G92" s="491">
        <v>2999.89</v>
      </c>
      <c r="H92" s="485">
        <v>0</v>
      </c>
      <c r="I92" s="490">
        <f t="shared" si="102"/>
        <v>2999.89</v>
      </c>
      <c r="J92" s="489">
        <f t="shared" si="92"/>
        <v>5.6074699999999998E-3</v>
      </c>
      <c r="K92" s="484">
        <f t="shared" si="93"/>
        <v>-336.37</v>
      </c>
      <c r="L92" s="484">
        <f t="shared" si="91"/>
        <v>0</v>
      </c>
      <c r="M92" s="484">
        <f t="shared" si="94"/>
        <v>70.63</v>
      </c>
      <c r="N92" s="485">
        <f t="shared" si="103"/>
        <v>70.63</v>
      </c>
      <c r="O92" s="485">
        <f t="shared" ref="O92:P111" si="137">$J92*O$184</f>
        <v>0</v>
      </c>
      <c r="P92" s="485">
        <f t="shared" si="137"/>
        <v>0</v>
      </c>
      <c r="Q92" s="485">
        <f t="shared" si="104"/>
        <v>0</v>
      </c>
      <c r="R92" s="484">
        <f t="shared" si="105"/>
        <v>0</v>
      </c>
      <c r="S92" s="485">
        <f t="shared" si="106"/>
        <v>3070.52</v>
      </c>
      <c r="T92" s="488">
        <f t="shared" si="95"/>
        <v>3667.61</v>
      </c>
      <c r="U92" s="487">
        <v>3112.63</v>
      </c>
      <c r="V92" s="486">
        <f t="shared" si="107"/>
        <v>5.6074699999999998E-3</v>
      </c>
      <c r="W92" s="484">
        <f t="shared" si="96"/>
        <v>157.69999999999999</v>
      </c>
      <c r="X92" s="484">
        <v>0</v>
      </c>
      <c r="Y92" s="484">
        <f t="shared" si="136"/>
        <v>94.62</v>
      </c>
      <c r="Z92" s="484">
        <f t="shared" si="136"/>
        <v>-5.7</v>
      </c>
      <c r="AA92" s="484">
        <f t="shared" si="136"/>
        <v>-2.11</v>
      </c>
      <c r="AB92" s="485">
        <f t="shared" si="108"/>
        <v>244.51</v>
      </c>
      <c r="AC92" s="485">
        <f t="shared" si="98"/>
        <v>-44.02</v>
      </c>
      <c r="AD92" s="498">
        <v>0</v>
      </c>
      <c r="AE92" s="498">
        <v>0</v>
      </c>
      <c r="AF92" s="485">
        <f t="shared" si="109"/>
        <v>0</v>
      </c>
      <c r="AG92" s="484">
        <f t="shared" si="110"/>
        <v>-44.02</v>
      </c>
      <c r="AH92" s="381">
        <f t="shared" si="111"/>
        <v>3313.12</v>
      </c>
      <c r="AI92" s="483">
        <f t="shared" si="112"/>
        <v>6383.64</v>
      </c>
      <c r="AJ92" s="483">
        <f t="shared" si="113"/>
        <v>7573.39</v>
      </c>
      <c r="AK92" s="83"/>
      <c r="AL92" s="114">
        <f t="shared" si="114"/>
        <v>2999.89</v>
      </c>
      <c r="AM92" s="497">
        <f t="shared" si="99"/>
        <v>4455.47</v>
      </c>
      <c r="AN92" s="192">
        <f t="shared" si="115"/>
        <v>0</v>
      </c>
      <c r="AO92" s="114">
        <f t="shared" si="116"/>
        <v>-336.37</v>
      </c>
      <c r="AP92" s="137">
        <f t="shared" si="117"/>
        <v>0</v>
      </c>
      <c r="AQ92" s="137">
        <f t="shared" si="118"/>
        <v>70.63</v>
      </c>
      <c r="AR92" s="84">
        <f t="shared" si="119"/>
        <v>70.63</v>
      </c>
      <c r="AS92" s="84">
        <f t="shared" si="120"/>
        <v>0</v>
      </c>
      <c r="AT92" s="84">
        <f t="shared" si="121"/>
        <v>0</v>
      </c>
      <c r="AU92" s="84">
        <f t="shared" si="122"/>
        <v>0</v>
      </c>
      <c r="AV92" s="84">
        <f t="shared" si="123"/>
        <v>0</v>
      </c>
      <c r="AW92" s="487">
        <v>3112.63</v>
      </c>
      <c r="AX92" s="137">
        <f t="shared" si="124"/>
        <v>157.69999999999999</v>
      </c>
      <c r="AY92" s="137">
        <f t="shared" si="125"/>
        <v>0</v>
      </c>
      <c r="AZ92" s="137">
        <f t="shared" si="126"/>
        <v>94.62</v>
      </c>
      <c r="BA92" s="137">
        <f t="shared" si="127"/>
        <v>-5.7</v>
      </c>
      <c r="BB92" s="137">
        <f t="shared" si="128"/>
        <v>-2.11</v>
      </c>
      <c r="BC92" s="84">
        <f t="shared" si="129"/>
        <v>244.51</v>
      </c>
      <c r="BD92" s="84">
        <f t="shared" si="130"/>
        <v>-44.02</v>
      </c>
      <c r="BE92" s="84">
        <f t="shared" si="131"/>
        <v>0</v>
      </c>
      <c r="BF92" s="116">
        <f t="shared" si="132"/>
        <v>-44.02</v>
      </c>
      <c r="BG92" s="496">
        <f t="shared" si="133"/>
        <v>4189.7299999999996</v>
      </c>
      <c r="BH92" s="496">
        <f t="shared" si="134"/>
        <v>3313.12</v>
      </c>
      <c r="BI92" s="496">
        <f t="shared" si="135"/>
        <v>7502.85</v>
      </c>
    </row>
    <row r="93" spans="1:61" s="480" customFormat="1" ht="16.149999999999999" customHeight="1">
      <c r="A93" s="495" t="s">
        <v>195</v>
      </c>
      <c r="B93" s="494" t="s">
        <v>285</v>
      </c>
      <c r="C93" s="493" t="s">
        <v>62</v>
      </c>
      <c r="D93" s="385" t="s">
        <v>12</v>
      </c>
      <c r="E93" s="314">
        <v>17533</v>
      </c>
      <c r="F93" s="500">
        <v>10</v>
      </c>
      <c r="G93" s="491">
        <v>3999.94</v>
      </c>
      <c r="H93" s="485">
        <v>0</v>
      </c>
      <c r="I93" s="490">
        <f t="shared" si="102"/>
        <v>3999.94</v>
      </c>
      <c r="J93" s="489">
        <f t="shared" si="92"/>
        <v>7.4767899999999997E-3</v>
      </c>
      <c r="K93" s="484">
        <f t="shared" si="93"/>
        <v>-448.5</v>
      </c>
      <c r="L93" s="484">
        <f t="shared" ref="L93:L124" si="138">$J93*L$184</f>
        <v>0</v>
      </c>
      <c r="M93" s="484">
        <f t="shared" si="94"/>
        <v>94.18</v>
      </c>
      <c r="N93" s="485">
        <f t="shared" si="103"/>
        <v>94.18</v>
      </c>
      <c r="O93" s="485">
        <f t="shared" si="137"/>
        <v>0</v>
      </c>
      <c r="P93" s="485">
        <f t="shared" si="137"/>
        <v>0</v>
      </c>
      <c r="Q93" s="485">
        <f t="shared" si="104"/>
        <v>0</v>
      </c>
      <c r="R93" s="484">
        <f t="shared" si="105"/>
        <v>0</v>
      </c>
      <c r="S93" s="485">
        <f t="shared" si="106"/>
        <v>4094.12</v>
      </c>
      <c r="T93" s="488">
        <f t="shared" si="95"/>
        <v>4890.26</v>
      </c>
      <c r="U93" s="487">
        <v>3672.04</v>
      </c>
      <c r="V93" s="486">
        <f t="shared" si="107"/>
        <v>7.4767899999999997E-3</v>
      </c>
      <c r="W93" s="484">
        <f t="shared" si="96"/>
        <v>210.28</v>
      </c>
      <c r="X93" s="484">
        <v>0</v>
      </c>
      <c r="Y93" s="484">
        <f t="shared" si="136"/>
        <v>126.17</v>
      </c>
      <c r="Z93" s="484">
        <f t="shared" si="136"/>
        <v>-7.6</v>
      </c>
      <c r="AA93" s="484">
        <f t="shared" si="136"/>
        <v>-2.82</v>
      </c>
      <c r="AB93" s="485">
        <f t="shared" si="108"/>
        <v>326.02999999999997</v>
      </c>
      <c r="AC93" s="485">
        <f t="shared" si="98"/>
        <v>-58.7</v>
      </c>
      <c r="AD93" s="498">
        <f>(F93/F$184)*AD$184</f>
        <v>-41.12</v>
      </c>
      <c r="AE93" s="498">
        <v>0</v>
      </c>
      <c r="AF93" s="485">
        <f t="shared" si="109"/>
        <v>-41.12</v>
      </c>
      <c r="AG93" s="484">
        <f t="shared" si="110"/>
        <v>-99.82</v>
      </c>
      <c r="AH93" s="381">
        <f t="shared" si="111"/>
        <v>3898.25</v>
      </c>
      <c r="AI93" s="483">
        <f t="shared" si="112"/>
        <v>7992.37</v>
      </c>
      <c r="AJ93" s="483">
        <f t="shared" si="113"/>
        <v>9481.9500000000007</v>
      </c>
      <c r="AK93" s="83"/>
      <c r="AL93" s="114">
        <f t="shared" si="114"/>
        <v>3999.94</v>
      </c>
      <c r="AM93" s="497">
        <f t="shared" si="99"/>
        <v>5940.75</v>
      </c>
      <c r="AN93" s="192">
        <f t="shared" si="115"/>
        <v>0</v>
      </c>
      <c r="AO93" s="114">
        <f t="shared" si="116"/>
        <v>-448.5</v>
      </c>
      <c r="AP93" s="137">
        <f t="shared" si="117"/>
        <v>0</v>
      </c>
      <c r="AQ93" s="137">
        <f t="shared" si="118"/>
        <v>94.18</v>
      </c>
      <c r="AR93" s="84">
        <f t="shared" si="119"/>
        <v>94.18</v>
      </c>
      <c r="AS93" s="84">
        <f t="shared" si="120"/>
        <v>0</v>
      </c>
      <c r="AT93" s="84">
        <f t="shared" si="121"/>
        <v>0</v>
      </c>
      <c r="AU93" s="84">
        <f t="shared" si="122"/>
        <v>0</v>
      </c>
      <c r="AV93" s="84">
        <f t="shared" si="123"/>
        <v>0</v>
      </c>
      <c r="AW93" s="487">
        <v>3672.04</v>
      </c>
      <c r="AX93" s="137">
        <f t="shared" si="124"/>
        <v>210.28</v>
      </c>
      <c r="AY93" s="137">
        <f t="shared" si="125"/>
        <v>0</v>
      </c>
      <c r="AZ93" s="137">
        <f t="shared" si="126"/>
        <v>126.17</v>
      </c>
      <c r="BA93" s="137">
        <f t="shared" si="127"/>
        <v>-7.6</v>
      </c>
      <c r="BB93" s="137">
        <f t="shared" si="128"/>
        <v>-2.82</v>
      </c>
      <c r="BC93" s="84">
        <f t="shared" si="129"/>
        <v>326.02999999999997</v>
      </c>
      <c r="BD93" s="84">
        <f t="shared" si="130"/>
        <v>-58.7</v>
      </c>
      <c r="BE93" s="84">
        <f t="shared" si="131"/>
        <v>-41.12</v>
      </c>
      <c r="BF93" s="116">
        <f t="shared" si="132"/>
        <v>-99.82</v>
      </c>
      <c r="BG93" s="496">
        <f t="shared" si="133"/>
        <v>5586.43</v>
      </c>
      <c r="BH93" s="496">
        <f t="shared" si="134"/>
        <v>3898.25</v>
      </c>
      <c r="BI93" s="496">
        <f t="shared" si="135"/>
        <v>9484.68</v>
      </c>
    </row>
    <row r="94" spans="1:61" s="480" customFormat="1" ht="16.149999999999999" customHeight="1">
      <c r="A94" s="495" t="s">
        <v>195</v>
      </c>
      <c r="B94" s="494" t="s">
        <v>283</v>
      </c>
      <c r="C94" s="493" t="s">
        <v>62</v>
      </c>
      <c r="D94" s="385" t="s">
        <v>12</v>
      </c>
      <c r="E94" s="314">
        <v>14611</v>
      </c>
      <c r="F94" s="500">
        <v>10</v>
      </c>
      <c r="G94" s="491">
        <v>2999.89</v>
      </c>
      <c r="H94" s="485">
        <v>0</v>
      </c>
      <c r="I94" s="490">
        <f t="shared" si="102"/>
        <v>2999.89</v>
      </c>
      <c r="J94" s="489">
        <f t="shared" ref="J94:J125" si="139">(I94/(I$184))</f>
        <v>5.6074699999999998E-3</v>
      </c>
      <c r="K94" s="484">
        <f t="shared" ref="K94:K125" si="140">J94*K$184</f>
        <v>-336.37</v>
      </c>
      <c r="L94" s="484">
        <f t="shared" si="138"/>
        <v>0</v>
      </c>
      <c r="M94" s="484">
        <f t="shared" ref="M94:M125" si="141">$J94*M$184</f>
        <v>70.63</v>
      </c>
      <c r="N94" s="485">
        <f t="shared" si="103"/>
        <v>70.63</v>
      </c>
      <c r="O94" s="485">
        <f t="shared" si="137"/>
        <v>0</v>
      </c>
      <c r="P94" s="485">
        <f t="shared" si="137"/>
        <v>0</v>
      </c>
      <c r="Q94" s="485">
        <f t="shared" si="104"/>
        <v>0</v>
      </c>
      <c r="R94" s="484">
        <f t="shared" si="105"/>
        <v>0</v>
      </c>
      <c r="S94" s="485">
        <f t="shared" si="106"/>
        <v>3070.52</v>
      </c>
      <c r="T94" s="488">
        <f t="shared" ref="T94:T125" si="142">((S94/S$184)*T$184)</f>
        <v>3667.61</v>
      </c>
      <c r="U94" s="487">
        <v>2634.45</v>
      </c>
      <c r="V94" s="486">
        <f t="shared" si="107"/>
        <v>5.6074699999999998E-3</v>
      </c>
      <c r="W94" s="484">
        <f t="shared" ref="W94:W125" si="143">($V94*W$184)</f>
        <v>157.69999999999999</v>
      </c>
      <c r="X94" s="484">
        <v>0</v>
      </c>
      <c r="Y94" s="484">
        <f t="shared" si="136"/>
        <v>94.62</v>
      </c>
      <c r="Z94" s="484">
        <f t="shared" si="136"/>
        <v>-5.7</v>
      </c>
      <c r="AA94" s="484">
        <f t="shared" si="136"/>
        <v>-2.11</v>
      </c>
      <c r="AB94" s="485">
        <f t="shared" si="108"/>
        <v>244.51</v>
      </c>
      <c r="AC94" s="485">
        <f t="shared" ref="AC94:AC125" si="144">(V94*AC$184)</f>
        <v>-44.02</v>
      </c>
      <c r="AD94" s="498">
        <f>(F94/F$184)*AD$184</f>
        <v>-41.12</v>
      </c>
      <c r="AE94" s="498">
        <v>0</v>
      </c>
      <c r="AF94" s="485">
        <f t="shared" si="109"/>
        <v>-41.12</v>
      </c>
      <c r="AG94" s="484">
        <f t="shared" si="110"/>
        <v>-85.14</v>
      </c>
      <c r="AH94" s="381">
        <f t="shared" si="111"/>
        <v>2793.82</v>
      </c>
      <c r="AI94" s="483">
        <f t="shared" si="112"/>
        <v>5864.34</v>
      </c>
      <c r="AJ94" s="483">
        <f t="shared" si="113"/>
        <v>6957.3</v>
      </c>
      <c r="AK94" s="83"/>
      <c r="AL94" s="114">
        <f t="shared" si="114"/>
        <v>2999.89</v>
      </c>
      <c r="AM94" s="497">
        <f t="shared" ref="AM94:AM125" si="145">(AL94/AL$184)*AM$184</f>
        <v>4455.47</v>
      </c>
      <c r="AN94" s="192">
        <f t="shared" si="115"/>
        <v>0</v>
      </c>
      <c r="AO94" s="114">
        <f t="shared" si="116"/>
        <v>-336.37</v>
      </c>
      <c r="AP94" s="137">
        <f t="shared" si="117"/>
        <v>0</v>
      </c>
      <c r="AQ94" s="137">
        <f t="shared" si="118"/>
        <v>70.63</v>
      </c>
      <c r="AR94" s="84">
        <f t="shared" si="119"/>
        <v>70.63</v>
      </c>
      <c r="AS94" s="84">
        <f t="shared" si="120"/>
        <v>0</v>
      </c>
      <c r="AT94" s="84">
        <f t="shared" si="121"/>
        <v>0</v>
      </c>
      <c r="AU94" s="84">
        <f t="shared" si="122"/>
        <v>0</v>
      </c>
      <c r="AV94" s="84">
        <f t="shared" si="123"/>
        <v>0</v>
      </c>
      <c r="AW94" s="487">
        <v>2634.45</v>
      </c>
      <c r="AX94" s="137">
        <f t="shared" si="124"/>
        <v>157.69999999999999</v>
      </c>
      <c r="AY94" s="137">
        <f t="shared" si="125"/>
        <v>0</v>
      </c>
      <c r="AZ94" s="137">
        <f t="shared" si="126"/>
        <v>94.62</v>
      </c>
      <c r="BA94" s="137">
        <f t="shared" si="127"/>
        <v>-5.7</v>
      </c>
      <c r="BB94" s="137">
        <f t="shared" si="128"/>
        <v>-2.11</v>
      </c>
      <c r="BC94" s="84">
        <f t="shared" si="129"/>
        <v>244.51</v>
      </c>
      <c r="BD94" s="84">
        <f t="shared" si="130"/>
        <v>-44.02</v>
      </c>
      <c r="BE94" s="84">
        <f t="shared" si="131"/>
        <v>-41.12</v>
      </c>
      <c r="BF94" s="116">
        <f t="shared" si="132"/>
        <v>-85.14</v>
      </c>
      <c r="BG94" s="496">
        <f t="shared" si="133"/>
        <v>4189.7299999999996</v>
      </c>
      <c r="BH94" s="496">
        <f t="shared" si="134"/>
        <v>2793.82</v>
      </c>
      <c r="BI94" s="496">
        <f t="shared" si="135"/>
        <v>6983.55</v>
      </c>
    </row>
    <row r="95" spans="1:61" s="480" customFormat="1" ht="16.149999999999999" customHeight="1">
      <c r="A95" s="495" t="s">
        <v>195</v>
      </c>
      <c r="B95" s="494" t="s">
        <v>284</v>
      </c>
      <c r="C95" s="493" t="s">
        <v>62</v>
      </c>
      <c r="D95" s="385" t="s">
        <v>12</v>
      </c>
      <c r="E95" s="314">
        <v>17899</v>
      </c>
      <c r="F95" s="500">
        <v>10</v>
      </c>
      <c r="G95" s="491">
        <v>9999.7999999999993</v>
      </c>
      <c r="H95" s="485">
        <v>0</v>
      </c>
      <c r="I95" s="490">
        <f t="shared" si="102"/>
        <v>9999.7999999999993</v>
      </c>
      <c r="J95" s="489">
        <f t="shared" si="139"/>
        <v>1.8691869999999999E-2</v>
      </c>
      <c r="K95" s="484">
        <f t="shared" si="140"/>
        <v>-1121.24</v>
      </c>
      <c r="L95" s="484">
        <f t="shared" si="138"/>
        <v>0</v>
      </c>
      <c r="M95" s="484">
        <f t="shared" si="141"/>
        <v>235.45</v>
      </c>
      <c r="N95" s="485">
        <f t="shared" si="103"/>
        <v>235.45</v>
      </c>
      <c r="O95" s="485">
        <f t="shared" si="137"/>
        <v>0</v>
      </c>
      <c r="P95" s="485">
        <f t="shared" si="137"/>
        <v>0</v>
      </c>
      <c r="Q95" s="485">
        <f t="shared" si="104"/>
        <v>0</v>
      </c>
      <c r="R95" s="484">
        <f t="shared" si="105"/>
        <v>0</v>
      </c>
      <c r="S95" s="485">
        <f t="shared" si="106"/>
        <v>10235.25</v>
      </c>
      <c r="T95" s="488">
        <f t="shared" si="142"/>
        <v>12225.58</v>
      </c>
      <c r="U95" s="487">
        <v>9897.4500000000007</v>
      </c>
      <c r="V95" s="486">
        <f t="shared" si="107"/>
        <v>1.8691869999999999E-2</v>
      </c>
      <c r="W95" s="484">
        <f t="shared" si="143"/>
        <v>525.69000000000005</v>
      </c>
      <c r="X95" s="484">
        <v>0</v>
      </c>
      <c r="Y95" s="484">
        <f t="shared" si="136"/>
        <v>315.41000000000003</v>
      </c>
      <c r="Z95" s="484">
        <f t="shared" si="136"/>
        <v>-19</v>
      </c>
      <c r="AA95" s="484">
        <f t="shared" si="136"/>
        <v>-7.04</v>
      </c>
      <c r="AB95" s="485">
        <f t="shared" si="108"/>
        <v>815.06</v>
      </c>
      <c r="AC95" s="485">
        <f t="shared" si="144"/>
        <v>-146.74</v>
      </c>
      <c r="AD95" s="498">
        <f>(F95/F$184)*AD$184</f>
        <v>-41.12</v>
      </c>
      <c r="AE95" s="498">
        <v>0</v>
      </c>
      <c r="AF95" s="485">
        <f t="shared" si="109"/>
        <v>-41.12</v>
      </c>
      <c r="AG95" s="484">
        <f t="shared" si="110"/>
        <v>-187.86</v>
      </c>
      <c r="AH95" s="381">
        <f t="shared" si="111"/>
        <v>10524.65</v>
      </c>
      <c r="AI95" s="483">
        <f t="shared" si="112"/>
        <v>20759.900000000001</v>
      </c>
      <c r="AJ95" s="483">
        <f t="shared" si="113"/>
        <v>24629.02</v>
      </c>
      <c r="AK95" s="83"/>
      <c r="AL95" s="114">
        <f t="shared" si="114"/>
        <v>9999.7999999999993</v>
      </c>
      <c r="AM95" s="497">
        <f t="shared" si="145"/>
        <v>14851.8</v>
      </c>
      <c r="AN95" s="192">
        <f t="shared" si="115"/>
        <v>0</v>
      </c>
      <c r="AO95" s="114">
        <f t="shared" si="116"/>
        <v>-1121.24</v>
      </c>
      <c r="AP95" s="137">
        <f t="shared" si="117"/>
        <v>0</v>
      </c>
      <c r="AQ95" s="137">
        <f t="shared" si="118"/>
        <v>235.45</v>
      </c>
      <c r="AR95" s="84">
        <f t="shared" si="119"/>
        <v>235.45</v>
      </c>
      <c r="AS95" s="84">
        <f t="shared" si="120"/>
        <v>0</v>
      </c>
      <c r="AT95" s="84">
        <f t="shared" si="121"/>
        <v>0</v>
      </c>
      <c r="AU95" s="84">
        <f t="shared" si="122"/>
        <v>0</v>
      </c>
      <c r="AV95" s="84">
        <f t="shared" si="123"/>
        <v>0</v>
      </c>
      <c r="AW95" s="487">
        <v>9897.4500000000007</v>
      </c>
      <c r="AX95" s="137">
        <f t="shared" si="124"/>
        <v>525.69000000000005</v>
      </c>
      <c r="AY95" s="137">
        <f t="shared" si="125"/>
        <v>0</v>
      </c>
      <c r="AZ95" s="137">
        <f t="shared" si="126"/>
        <v>315.41000000000003</v>
      </c>
      <c r="BA95" s="137">
        <f t="shared" si="127"/>
        <v>-19</v>
      </c>
      <c r="BB95" s="137">
        <f t="shared" si="128"/>
        <v>-7.04</v>
      </c>
      <c r="BC95" s="84">
        <f t="shared" si="129"/>
        <v>815.06</v>
      </c>
      <c r="BD95" s="84">
        <f t="shared" si="130"/>
        <v>-146.74</v>
      </c>
      <c r="BE95" s="84">
        <f t="shared" si="131"/>
        <v>-41.12</v>
      </c>
      <c r="BF95" s="116">
        <f t="shared" si="132"/>
        <v>-187.86</v>
      </c>
      <c r="BG95" s="496">
        <f t="shared" si="133"/>
        <v>13966.01</v>
      </c>
      <c r="BH95" s="496">
        <f t="shared" si="134"/>
        <v>10524.65</v>
      </c>
      <c r="BI95" s="496">
        <f t="shared" si="135"/>
        <v>24490.66</v>
      </c>
    </row>
    <row r="96" spans="1:61" s="480" customFormat="1" ht="16.149999999999999" customHeight="1">
      <c r="A96" s="495" t="s">
        <v>195</v>
      </c>
      <c r="B96" s="494" t="s">
        <v>282</v>
      </c>
      <c r="C96" s="493" t="s">
        <v>62</v>
      </c>
      <c r="D96" s="385" t="s">
        <v>12</v>
      </c>
      <c r="E96" s="314">
        <v>2558</v>
      </c>
      <c r="F96" s="500">
        <v>5</v>
      </c>
      <c r="G96" s="491">
        <v>3999.94</v>
      </c>
      <c r="H96" s="485">
        <v>0</v>
      </c>
      <c r="I96" s="490">
        <f t="shared" si="102"/>
        <v>3999.94</v>
      </c>
      <c r="J96" s="489">
        <f t="shared" si="139"/>
        <v>7.4767899999999997E-3</v>
      </c>
      <c r="K96" s="484">
        <f t="shared" si="140"/>
        <v>-448.5</v>
      </c>
      <c r="L96" s="484">
        <f t="shared" si="138"/>
        <v>0</v>
      </c>
      <c r="M96" s="484">
        <f t="shared" si="141"/>
        <v>94.18</v>
      </c>
      <c r="N96" s="485">
        <f t="shared" si="103"/>
        <v>94.18</v>
      </c>
      <c r="O96" s="485">
        <f t="shared" si="137"/>
        <v>0</v>
      </c>
      <c r="P96" s="485">
        <f t="shared" si="137"/>
        <v>0</v>
      </c>
      <c r="Q96" s="485">
        <f t="shared" si="104"/>
        <v>0</v>
      </c>
      <c r="R96" s="484">
        <f t="shared" si="105"/>
        <v>0</v>
      </c>
      <c r="S96" s="485">
        <f t="shared" si="106"/>
        <v>4094.12</v>
      </c>
      <c r="T96" s="488">
        <f t="shared" si="142"/>
        <v>4890.26</v>
      </c>
      <c r="U96" s="487">
        <v>3911.13</v>
      </c>
      <c r="V96" s="486">
        <f t="shared" si="107"/>
        <v>7.4767899999999997E-3</v>
      </c>
      <c r="W96" s="484">
        <f t="shared" si="143"/>
        <v>210.28</v>
      </c>
      <c r="X96" s="484">
        <v>0</v>
      </c>
      <c r="Y96" s="484">
        <f t="shared" si="136"/>
        <v>126.17</v>
      </c>
      <c r="Z96" s="484">
        <f t="shared" si="136"/>
        <v>-7.6</v>
      </c>
      <c r="AA96" s="484">
        <f t="shared" si="136"/>
        <v>-2.82</v>
      </c>
      <c r="AB96" s="485">
        <f t="shared" si="108"/>
        <v>326.02999999999997</v>
      </c>
      <c r="AC96" s="485">
        <f t="shared" si="144"/>
        <v>-58.7</v>
      </c>
      <c r="AD96" s="498">
        <f>(F96/F$184)*AD$184</f>
        <v>-20.56</v>
      </c>
      <c r="AE96" s="498">
        <v>0</v>
      </c>
      <c r="AF96" s="485">
        <f t="shared" si="109"/>
        <v>-20.56</v>
      </c>
      <c r="AG96" s="484">
        <f t="shared" si="110"/>
        <v>-79.260000000000005</v>
      </c>
      <c r="AH96" s="381">
        <f t="shared" si="111"/>
        <v>4157.8999999999996</v>
      </c>
      <c r="AI96" s="483">
        <f t="shared" si="112"/>
        <v>8252.02</v>
      </c>
      <c r="AJ96" s="483">
        <f t="shared" si="113"/>
        <v>9789.99</v>
      </c>
      <c r="AK96" s="83"/>
      <c r="AL96" s="114">
        <f t="shared" si="114"/>
        <v>3999.94</v>
      </c>
      <c r="AM96" s="497">
        <f t="shared" si="145"/>
        <v>5940.75</v>
      </c>
      <c r="AN96" s="192">
        <f t="shared" si="115"/>
        <v>0</v>
      </c>
      <c r="AO96" s="114">
        <f t="shared" si="116"/>
        <v>-448.5</v>
      </c>
      <c r="AP96" s="137">
        <f t="shared" si="117"/>
        <v>0</v>
      </c>
      <c r="AQ96" s="137">
        <f t="shared" si="118"/>
        <v>94.18</v>
      </c>
      <c r="AR96" s="84">
        <f t="shared" si="119"/>
        <v>94.18</v>
      </c>
      <c r="AS96" s="84">
        <f t="shared" si="120"/>
        <v>0</v>
      </c>
      <c r="AT96" s="84">
        <f t="shared" si="121"/>
        <v>0</v>
      </c>
      <c r="AU96" s="84">
        <f t="shared" si="122"/>
        <v>0</v>
      </c>
      <c r="AV96" s="84">
        <f t="shared" si="123"/>
        <v>0</v>
      </c>
      <c r="AW96" s="487">
        <v>3911.13</v>
      </c>
      <c r="AX96" s="137">
        <f t="shared" si="124"/>
        <v>210.28</v>
      </c>
      <c r="AY96" s="137">
        <f t="shared" si="125"/>
        <v>0</v>
      </c>
      <c r="AZ96" s="137">
        <f t="shared" si="126"/>
        <v>126.17</v>
      </c>
      <c r="BA96" s="137">
        <f t="shared" si="127"/>
        <v>-7.6</v>
      </c>
      <c r="BB96" s="137">
        <f t="shared" si="128"/>
        <v>-2.82</v>
      </c>
      <c r="BC96" s="84">
        <f t="shared" si="129"/>
        <v>326.02999999999997</v>
      </c>
      <c r="BD96" s="84">
        <f t="shared" si="130"/>
        <v>-58.7</v>
      </c>
      <c r="BE96" s="84">
        <f t="shared" si="131"/>
        <v>-20.56</v>
      </c>
      <c r="BF96" s="116">
        <f t="shared" si="132"/>
        <v>-79.260000000000005</v>
      </c>
      <c r="BG96" s="496">
        <f t="shared" si="133"/>
        <v>5586.43</v>
      </c>
      <c r="BH96" s="496">
        <f t="shared" si="134"/>
        <v>4157.8999999999996</v>
      </c>
      <c r="BI96" s="496">
        <f t="shared" si="135"/>
        <v>9744.33</v>
      </c>
    </row>
    <row r="97" spans="1:61" s="480" customFormat="1" ht="16.149999999999999" customHeight="1">
      <c r="A97" s="495" t="s">
        <v>195</v>
      </c>
      <c r="B97" s="494" t="s">
        <v>281</v>
      </c>
      <c r="C97" s="493" t="s">
        <v>62</v>
      </c>
      <c r="D97" s="385" t="s">
        <v>12</v>
      </c>
      <c r="E97" s="314">
        <v>8037</v>
      </c>
      <c r="F97" s="500">
        <v>5</v>
      </c>
      <c r="G97" s="491">
        <v>1999.91</v>
      </c>
      <c r="H97" s="485">
        <v>0</v>
      </c>
      <c r="I97" s="490">
        <f t="shared" si="102"/>
        <v>1999.91</v>
      </c>
      <c r="J97" s="489">
        <f t="shared" si="139"/>
        <v>3.7382800000000001E-3</v>
      </c>
      <c r="K97" s="484">
        <f t="shared" si="140"/>
        <v>-224.24</v>
      </c>
      <c r="L97" s="484">
        <f t="shared" si="138"/>
        <v>0</v>
      </c>
      <c r="M97" s="484">
        <f t="shared" si="141"/>
        <v>47.09</v>
      </c>
      <c r="N97" s="485">
        <f t="shared" si="103"/>
        <v>47.09</v>
      </c>
      <c r="O97" s="485">
        <f t="shared" si="137"/>
        <v>0</v>
      </c>
      <c r="P97" s="485">
        <f t="shared" si="137"/>
        <v>0</v>
      </c>
      <c r="Q97" s="485">
        <f t="shared" si="104"/>
        <v>0</v>
      </c>
      <c r="R97" s="484">
        <f t="shared" si="105"/>
        <v>0</v>
      </c>
      <c r="S97" s="485">
        <f t="shared" si="106"/>
        <v>2047</v>
      </c>
      <c r="T97" s="488">
        <f t="shared" si="142"/>
        <v>2445.06</v>
      </c>
      <c r="U97" s="487">
        <v>1836</v>
      </c>
      <c r="V97" s="486">
        <f t="shared" si="107"/>
        <v>3.7382800000000001E-3</v>
      </c>
      <c r="W97" s="484">
        <f t="shared" si="143"/>
        <v>105.14</v>
      </c>
      <c r="X97" s="484">
        <v>0</v>
      </c>
      <c r="Y97" s="484">
        <f t="shared" si="136"/>
        <v>63.08</v>
      </c>
      <c r="Z97" s="484">
        <f t="shared" si="136"/>
        <v>-3.8</v>
      </c>
      <c r="AA97" s="484">
        <f t="shared" si="136"/>
        <v>-1.41</v>
      </c>
      <c r="AB97" s="485">
        <f t="shared" si="108"/>
        <v>163.01</v>
      </c>
      <c r="AC97" s="485">
        <f t="shared" si="144"/>
        <v>-29.35</v>
      </c>
      <c r="AD97" s="498">
        <f>(F97/F$184)*AD$184</f>
        <v>-20.56</v>
      </c>
      <c r="AE97" s="498">
        <v>0</v>
      </c>
      <c r="AF97" s="485">
        <f t="shared" si="109"/>
        <v>-20.56</v>
      </c>
      <c r="AG97" s="484">
        <f t="shared" si="110"/>
        <v>-49.91</v>
      </c>
      <c r="AH97" s="381">
        <f t="shared" si="111"/>
        <v>1949.1</v>
      </c>
      <c r="AI97" s="483">
        <f t="shared" si="112"/>
        <v>3996.1</v>
      </c>
      <c r="AJ97" s="483">
        <f t="shared" si="113"/>
        <v>4740.87</v>
      </c>
      <c r="AK97" s="83"/>
      <c r="AL97" s="114">
        <f t="shared" si="114"/>
        <v>1999.91</v>
      </c>
      <c r="AM97" s="497">
        <f t="shared" si="145"/>
        <v>2970.29</v>
      </c>
      <c r="AN97" s="192">
        <f t="shared" si="115"/>
        <v>0</v>
      </c>
      <c r="AO97" s="114">
        <f t="shared" si="116"/>
        <v>-224.24</v>
      </c>
      <c r="AP97" s="137">
        <f t="shared" si="117"/>
        <v>0</v>
      </c>
      <c r="AQ97" s="137">
        <f t="shared" si="118"/>
        <v>47.09</v>
      </c>
      <c r="AR97" s="84">
        <f t="shared" si="119"/>
        <v>47.09</v>
      </c>
      <c r="AS97" s="84">
        <f t="shared" si="120"/>
        <v>0</v>
      </c>
      <c r="AT97" s="84">
        <f t="shared" si="121"/>
        <v>0</v>
      </c>
      <c r="AU97" s="84">
        <f t="shared" si="122"/>
        <v>0</v>
      </c>
      <c r="AV97" s="84">
        <f t="shared" si="123"/>
        <v>0</v>
      </c>
      <c r="AW97" s="487">
        <v>1836</v>
      </c>
      <c r="AX97" s="137">
        <f t="shared" si="124"/>
        <v>105.14</v>
      </c>
      <c r="AY97" s="137">
        <f t="shared" si="125"/>
        <v>0</v>
      </c>
      <c r="AZ97" s="137">
        <f t="shared" si="126"/>
        <v>63.08</v>
      </c>
      <c r="BA97" s="137">
        <f t="shared" si="127"/>
        <v>-3.8</v>
      </c>
      <c r="BB97" s="137">
        <f t="shared" si="128"/>
        <v>-1.41</v>
      </c>
      <c r="BC97" s="84">
        <f t="shared" si="129"/>
        <v>163.01</v>
      </c>
      <c r="BD97" s="84">
        <f t="shared" si="130"/>
        <v>-29.35</v>
      </c>
      <c r="BE97" s="84">
        <f t="shared" si="131"/>
        <v>-20.56</v>
      </c>
      <c r="BF97" s="116">
        <f t="shared" si="132"/>
        <v>-49.91</v>
      </c>
      <c r="BG97" s="496">
        <f t="shared" si="133"/>
        <v>2793.14</v>
      </c>
      <c r="BH97" s="496">
        <f t="shared" si="134"/>
        <v>1949.1</v>
      </c>
      <c r="BI97" s="496">
        <f t="shared" si="135"/>
        <v>4742.24</v>
      </c>
    </row>
    <row r="98" spans="1:61" s="480" customFormat="1" ht="16.149999999999999" customHeight="1">
      <c r="A98" s="495" t="s">
        <v>195</v>
      </c>
      <c r="B98" s="494" t="s">
        <v>376</v>
      </c>
      <c r="C98" s="615" t="s">
        <v>63</v>
      </c>
      <c r="D98" s="385" t="s">
        <v>12</v>
      </c>
      <c r="E98" s="314">
        <v>33970</v>
      </c>
      <c r="F98" s="499"/>
      <c r="G98" s="491">
        <v>1387.92</v>
      </c>
      <c r="H98" s="485">
        <v>0</v>
      </c>
      <c r="I98" s="490">
        <f t="shared" si="102"/>
        <v>1387.92</v>
      </c>
      <c r="J98" s="489">
        <f t="shared" si="139"/>
        <v>2.5943300000000002E-3</v>
      </c>
      <c r="K98" s="484">
        <f t="shared" si="140"/>
        <v>-155.62</v>
      </c>
      <c r="L98" s="484">
        <f t="shared" si="138"/>
        <v>0</v>
      </c>
      <c r="M98" s="484">
        <f t="shared" si="141"/>
        <v>32.68</v>
      </c>
      <c r="N98" s="485">
        <f t="shared" si="103"/>
        <v>32.68</v>
      </c>
      <c r="O98" s="485">
        <f t="shared" si="137"/>
        <v>0</v>
      </c>
      <c r="P98" s="485">
        <f t="shared" si="137"/>
        <v>0</v>
      </c>
      <c r="Q98" s="485">
        <f t="shared" si="104"/>
        <v>0</v>
      </c>
      <c r="R98" s="484">
        <f t="shared" si="105"/>
        <v>0</v>
      </c>
      <c r="S98" s="485">
        <f t="shared" si="106"/>
        <v>1420.6</v>
      </c>
      <c r="T98" s="488">
        <f t="shared" si="142"/>
        <v>1696.85</v>
      </c>
      <c r="U98" s="487">
        <v>1440.08</v>
      </c>
      <c r="V98" s="486">
        <f t="shared" si="107"/>
        <v>2.5943300000000002E-3</v>
      </c>
      <c r="W98" s="484">
        <f t="shared" si="143"/>
        <v>72.959999999999994</v>
      </c>
      <c r="X98" s="484">
        <v>0</v>
      </c>
      <c r="Y98" s="484">
        <f t="shared" si="136"/>
        <v>43.78</v>
      </c>
      <c r="Z98" s="484">
        <f t="shared" si="136"/>
        <v>-2.64</v>
      </c>
      <c r="AA98" s="484">
        <f t="shared" si="136"/>
        <v>-0.98</v>
      </c>
      <c r="AB98" s="485">
        <f t="shared" si="108"/>
        <v>113.12</v>
      </c>
      <c r="AC98" s="485">
        <f t="shared" si="144"/>
        <v>-20.37</v>
      </c>
      <c r="AD98" s="498">
        <v>0</v>
      </c>
      <c r="AE98" s="498">
        <v>0</v>
      </c>
      <c r="AF98" s="485">
        <f t="shared" si="109"/>
        <v>0</v>
      </c>
      <c r="AG98" s="484">
        <f t="shared" si="110"/>
        <v>-20.37</v>
      </c>
      <c r="AH98" s="381">
        <f t="shared" si="111"/>
        <v>1532.83</v>
      </c>
      <c r="AI98" s="483">
        <f t="shared" si="112"/>
        <v>2953.43</v>
      </c>
      <c r="AJ98" s="483">
        <f t="shared" si="113"/>
        <v>3503.87</v>
      </c>
      <c r="AK98" s="83"/>
      <c r="AL98" s="114">
        <f t="shared" si="114"/>
        <v>1387.92</v>
      </c>
      <c r="AM98" s="497">
        <f t="shared" si="145"/>
        <v>2061.35</v>
      </c>
      <c r="AN98" s="192">
        <f t="shared" si="115"/>
        <v>0</v>
      </c>
      <c r="AO98" s="114">
        <f t="shared" si="116"/>
        <v>-155.62</v>
      </c>
      <c r="AP98" s="137">
        <f t="shared" si="117"/>
        <v>0</v>
      </c>
      <c r="AQ98" s="137">
        <f t="shared" si="118"/>
        <v>32.68</v>
      </c>
      <c r="AR98" s="84">
        <f t="shared" si="119"/>
        <v>32.68</v>
      </c>
      <c r="AS98" s="84">
        <f t="shared" si="120"/>
        <v>0</v>
      </c>
      <c r="AT98" s="84">
        <f t="shared" si="121"/>
        <v>0</v>
      </c>
      <c r="AU98" s="84">
        <f t="shared" si="122"/>
        <v>0</v>
      </c>
      <c r="AV98" s="84">
        <f t="shared" si="123"/>
        <v>0</v>
      </c>
      <c r="AW98" s="487">
        <v>1440.08</v>
      </c>
      <c r="AX98" s="137">
        <f t="shared" si="124"/>
        <v>72.959999999999994</v>
      </c>
      <c r="AY98" s="137">
        <f t="shared" si="125"/>
        <v>0</v>
      </c>
      <c r="AZ98" s="137">
        <f t="shared" si="126"/>
        <v>43.78</v>
      </c>
      <c r="BA98" s="137">
        <f t="shared" si="127"/>
        <v>-2.64</v>
      </c>
      <c r="BB98" s="137">
        <f t="shared" si="128"/>
        <v>-0.98</v>
      </c>
      <c r="BC98" s="84">
        <f t="shared" si="129"/>
        <v>113.12</v>
      </c>
      <c r="BD98" s="84">
        <f t="shared" si="130"/>
        <v>-20.37</v>
      </c>
      <c r="BE98" s="84">
        <f t="shared" si="131"/>
        <v>0</v>
      </c>
      <c r="BF98" s="116">
        <f t="shared" si="132"/>
        <v>-20.37</v>
      </c>
      <c r="BG98" s="496">
        <f t="shared" si="133"/>
        <v>1938.41</v>
      </c>
      <c r="BH98" s="496">
        <f t="shared" si="134"/>
        <v>1532.83</v>
      </c>
      <c r="BI98" s="496">
        <f t="shared" si="135"/>
        <v>3471.24</v>
      </c>
    </row>
    <row r="99" spans="1:61" s="480" customFormat="1" ht="16.149999999999999" customHeight="1">
      <c r="A99" s="495" t="s">
        <v>195</v>
      </c>
      <c r="B99" s="494" t="s">
        <v>286</v>
      </c>
      <c r="C99" s="493" t="s">
        <v>62</v>
      </c>
      <c r="D99" s="385" t="s">
        <v>12</v>
      </c>
      <c r="E99" s="314">
        <v>7672</v>
      </c>
      <c r="F99" s="500">
        <v>10</v>
      </c>
      <c r="G99" s="491">
        <v>1999.91</v>
      </c>
      <c r="H99" s="485">
        <v>0</v>
      </c>
      <c r="I99" s="490">
        <f t="shared" si="102"/>
        <v>1999.91</v>
      </c>
      <c r="J99" s="489">
        <f t="shared" si="139"/>
        <v>3.7382800000000001E-3</v>
      </c>
      <c r="K99" s="484">
        <f t="shared" si="140"/>
        <v>-224.24</v>
      </c>
      <c r="L99" s="484">
        <f t="shared" si="138"/>
        <v>0</v>
      </c>
      <c r="M99" s="484">
        <f t="shared" si="141"/>
        <v>47.09</v>
      </c>
      <c r="N99" s="485">
        <f t="shared" si="103"/>
        <v>47.09</v>
      </c>
      <c r="O99" s="485">
        <f t="shared" si="137"/>
        <v>0</v>
      </c>
      <c r="P99" s="485">
        <f t="shared" si="137"/>
        <v>0</v>
      </c>
      <c r="Q99" s="485">
        <f t="shared" si="104"/>
        <v>0</v>
      </c>
      <c r="R99" s="484">
        <f t="shared" si="105"/>
        <v>0</v>
      </c>
      <c r="S99" s="485">
        <f t="shared" si="106"/>
        <v>2047</v>
      </c>
      <c r="T99" s="488">
        <f t="shared" si="142"/>
        <v>2445.06</v>
      </c>
      <c r="U99" s="487">
        <v>1596.91</v>
      </c>
      <c r="V99" s="486">
        <f t="shared" si="107"/>
        <v>3.7382800000000001E-3</v>
      </c>
      <c r="W99" s="484">
        <f t="shared" si="143"/>
        <v>105.14</v>
      </c>
      <c r="X99" s="484">
        <v>0</v>
      </c>
      <c r="Y99" s="484">
        <f t="shared" si="136"/>
        <v>63.08</v>
      </c>
      <c r="Z99" s="484">
        <f t="shared" si="136"/>
        <v>-3.8</v>
      </c>
      <c r="AA99" s="484">
        <f t="shared" si="136"/>
        <v>-1.41</v>
      </c>
      <c r="AB99" s="485">
        <f t="shared" si="108"/>
        <v>163.01</v>
      </c>
      <c r="AC99" s="485">
        <f t="shared" si="144"/>
        <v>-29.35</v>
      </c>
      <c r="AD99" s="498">
        <f>(F99/F$184)*AD$184</f>
        <v>-41.12</v>
      </c>
      <c r="AE99" s="498">
        <v>0</v>
      </c>
      <c r="AF99" s="485">
        <f t="shared" si="109"/>
        <v>-41.12</v>
      </c>
      <c r="AG99" s="484">
        <f t="shared" si="110"/>
        <v>-70.47</v>
      </c>
      <c r="AH99" s="381">
        <f t="shared" si="111"/>
        <v>1689.45</v>
      </c>
      <c r="AI99" s="483">
        <f t="shared" si="112"/>
        <v>3736.45</v>
      </c>
      <c r="AJ99" s="483">
        <f t="shared" si="113"/>
        <v>4432.83</v>
      </c>
      <c r="AK99" s="83"/>
      <c r="AL99" s="114">
        <f t="shared" si="114"/>
        <v>1999.91</v>
      </c>
      <c r="AM99" s="497">
        <f t="shared" si="145"/>
        <v>2970.29</v>
      </c>
      <c r="AN99" s="192">
        <f t="shared" si="115"/>
        <v>0</v>
      </c>
      <c r="AO99" s="114">
        <f t="shared" si="116"/>
        <v>-224.24</v>
      </c>
      <c r="AP99" s="137">
        <f t="shared" si="117"/>
        <v>0</v>
      </c>
      <c r="AQ99" s="137">
        <f t="shared" si="118"/>
        <v>47.09</v>
      </c>
      <c r="AR99" s="84">
        <f t="shared" si="119"/>
        <v>47.09</v>
      </c>
      <c r="AS99" s="84">
        <f t="shared" si="120"/>
        <v>0</v>
      </c>
      <c r="AT99" s="84">
        <f t="shared" si="121"/>
        <v>0</v>
      </c>
      <c r="AU99" s="84">
        <f t="shared" si="122"/>
        <v>0</v>
      </c>
      <c r="AV99" s="84">
        <f t="shared" si="123"/>
        <v>0</v>
      </c>
      <c r="AW99" s="487">
        <v>1596.91</v>
      </c>
      <c r="AX99" s="137">
        <f t="shared" si="124"/>
        <v>105.14</v>
      </c>
      <c r="AY99" s="137">
        <f t="shared" si="125"/>
        <v>0</v>
      </c>
      <c r="AZ99" s="137">
        <f t="shared" si="126"/>
        <v>63.08</v>
      </c>
      <c r="BA99" s="137">
        <f t="shared" si="127"/>
        <v>-3.8</v>
      </c>
      <c r="BB99" s="137">
        <f t="shared" si="128"/>
        <v>-1.41</v>
      </c>
      <c r="BC99" s="84">
        <f t="shared" si="129"/>
        <v>163.01</v>
      </c>
      <c r="BD99" s="84">
        <f t="shared" si="130"/>
        <v>-29.35</v>
      </c>
      <c r="BE99" s="84">
        <f t="shared" si="131"/>
        <v>-41.12</v>
      </c>
      <c r="BF99" s="116">
        <f t="shared" si="132"/>
        <v>-70.47</v>
      </c>
      <c r="BG99" s="496">
        <f t="shared" si="133"/>
        <v>2793.14</v>
      </c>
      <c r="BH99" s="496">
        <f t="shared" si="134"/>
        <v>1689.45</v>
      </c>
      <c r="BI99" s="496">
        <f t="shared" si="135"/>
        <v>4482.59</v>
      </c>
    </row>
    <row r="100" spans="1:61" s="480" customFormat="1" ht="16.149999999999999" customHeight="1">
      <c r="A100" s="495" t="s">
        <v>195</v>
      </c>
      <c r="B100" s="494" t="s">
        <v>378</v>
      </c>
      <c r="C100" s="615" t="s">
        <v>63</v>
      </c>
      <c r="D100" s="385" t="s">
        <v>12</v>
      </c>
      <c r="E100" s="314">
        <v>35431</v>
      </c>
      <c r="F100" s="499"/>
      <c r="G100" s="491">
        <v>1387.92</v>
      </c>
      <c r="H100" s="485">
        <v>0</v>
      </c>
      <c r="I100" s="490">
        <f t="shared" si="102"/>
        <v>1387.92</v>
      </c>
      <c r="J100" s="489">
        <f t="shared" si="139"/>
        <v>2.5943300000000002E-3</v>
      </c>
      <c r="K100" s="484">
        <f t="shared" si="140"/>
        <v>-155.62</v>
      </c>
      <c r="L100" s="484">
        <f t="shared" si="138"/>
        <v>0</v>
      </c>
      <c r="M100" s="484">
        <f t="shared" si="141"/>
        <v>32.68</v>
      </c>
      <c r="N100" s="485">
        <f t="shared" si="103"/>
        <v>32.68</v>
      </c>
      <c r="O100" s="485">
        <f t="shared" si="137"/>
        <v>0</v>
      </c>
      <c r="P100" s="485">
        <f t="shared" si="137"/>
        <v>0</v>
      </c>
      <c r="Q100" s="485">
        <f t="shared" si="104"/>
        <v>0</v>
      </c>
      <c r="R100" s="484">
        <f t="shared" si="105"/>
        <v>0</v>
      </c>
      <c r="S100" s="485">
        <f t="shared" si="106"/>
        <v>1420.6</v>
      </c>
      <c r="T100" s="488">
        <f t="shared" si="142"/>
        <v>1696.85</v>
      </c>
      <c r="U100" s="487">
        <v>1440.08</v>
      </c>
      <c r="V100" s="486">
        <f t="shared" si="107"/>
        <v>2.5943300000000002E-3</v>
      </c>
      <c r="W100" s="484">
        <f t="shared" si="143"/>
        <v>72.959999999999994</v>
      </c>
      <c r="X100" s="484">
        <v>0</v>
      </c>
      <c r="Y100" s="484">
        <f t="shared" si="136"/>
        <v>43.78</v>
      </c>
      <c r="Z100" s="484">
        <f t="shared" si="136"/>
        <v>-2.64</v>
      </c>
      <c r="AA100" s="484">
        <f t="shared" si="136"/>
        <v>-0.98</v>
      </c>
      <c r="AB100" s="485">
        <f t="shared" si="108"/>
        <v>113.12</v>
      </c>
      <c r="AC100" s="485">
        <f t="shared" si="144"/>
        <v>-20.37</v>
      </c>
      <c r="AD100" s="498">
        <v>0</v>
      </c>
      <c r="AE100" s="498">
        <v>0</v>
      </c>
      <c r="AF100" s="485">
        <f t="shared" si="109"/>
        <v>0</v>
      </c>
      <c r="AG100" s="484">
        <f t="shared" si="110"/>
        <v>-20.37</v>
      </c>
      <c r="AH100" s="381">
        <f t="shared" si="111"/>
        <v>1532.83</v>
      </c>
      <c r="AI100" s="483">
        <f t="shared" si="112"/>
        <v>2953.43</v>
      </c>
      <c r="AJ100" s="483">
        <f t="shared" si="113"/>
        <v>3503.87</v>
      </c>
      <c r="AK100" s="83"/>
      <c r="AL100" s="114">
        <f t="shared" si="114"/>
        <v>1387.92</v>
      </c>
      <c r="AM100" s="497">
        <f t="shared" si="145"/>
        <v>2061.35</v>
      </c>
      <c r="AN100" s="192">
        <f t="shared" si="115"/>
        <v>0</v>
      </c>
      <c r="AO100" s="114">
        <f t="shared" si="116"/>
        <v>-155.62</v>
      </c>
      <c r="AP100" s="137">
        <f t="shared" si="117"/>
        <v>0</v>
      </c>
      <c r="AQ100" s="137">
        <f t="shared" si="118"/>
        <v>32.68</v>
      </c>
      <c r="AR100" s="84">
        <f t="shared" si="119"/>
        <v>32.68</v>
      </c>
      <c r="AS100" s="84">
        <f t="shared" si="120"/>
        <v>0</v>
      </c>
      <c r="AT100" s="84">
        <f t="shared" si="121"/>
        <v>0</v>
      </c>
      <c r="AU100" s="84">
        <f t="shared" si="122"/>
        <v>0</v>
      </c>
      <c r="AV100" s="84">
        <f t="shared" si="123"/>
        <v>0</v>
      </c>
      <c r="AW100" s="487">
        <v>1440.08</v>
      </c>
      <c r="AX100" s="137">
        <f t="shared" si="124"/>
        <v>72.959999999999994</v>
      </c>
      <c r="AY100" s="137">
        <f t="shared" si="125"/>
        <v>0</v>
      </c>
      <c r="AZ100" s="137">
        <f t="shared" si="126"/>
        <v>43.78</v>
      </c>
      <c r="BA100" s="137">
        <f t="shared" si="127"/>
        <v>-2.64</v>
      </c>
      <c r="BB100" s="137">
        <f t="shared" si="128"/>
        <v>-0.98</v>
      </c>
      <c r="BC100" s="84">
        <f t="shared" si="129"/>
        <v>113.12</v>
      </c>
      <c r="BD100" s="84">
        <f t="shared" si="130"/>
        <v>-20.37</v>
      </c>
      <c r="BE100" s="84">
        <f t="shared" si="131"/>
        <v>0</v>
      </c>
      <c r="BF100" s="116">
        <f t="shared" si="132"/>
        <v>-20.37</v>
      </c>
      <c r="BG100" s="496">
        <f t="shared" si="133"/>
        <v>1938.41</v>
      </c>
      <c r="BH100" s="496">
        <f t="shared" si="134"/>
        <v>1532.83</v>
      </c>
      <c r="BI100" s="496">
        <f t="shared" si="135"/>
        <v>3471.24</v>
      </c>
    </row>
    <row r="101" spans="1:61" s="480" customFormat="1" ht="16.149999999999999" customHeight="1">
      <c r="A101" s="495" t="s">
        <v>195</v>
      </c>
      <c r="B101" s="494" t="s">
        <v>287</v>
      </c>
      <c r="C101" s="493" t="s">
        <v>62</v>
      </c>
      <c r="D101" s="385" t="s">
        <v>12</v>
      </c>
      <c r="E101" s="314">
        <v>8037</v>
      </c>
      <c r="F101" s="500">
        <v>10</v>
      </c>
      <c r="G101" s="491">
        <v>1999.91</v>
      </c>
      <c r="H101" s="485">
        <v>0</v>
      </c>
      <c r="I101" s="490">
        <f t="shared" si="102"/>
        <v>1999.91</v>
      </c>
      <c r="J101" s="489">
        <f t="shared" si="139"/>
        <v>3.7382800000000001E-3</v>
      </c>
      <c r="K101" s="484">
        <f t="shared" si="140"/>
        <v>-224.24</v>
      </c>
      <c r="L101" s="484">
        <f t="shared" si="138"/>
        <v>0</v>
      </c>
      <c r="M101" s="484">
        <f t="shared" si="141"/>
        <v>47.09</v>
      </c>
      <c r="N101" s="485">
        <f t="shared" si="103"/>
        <v>47.09</v>
      </c>
      <c r="O101" s="485">
        <f t="shared" si="137"/>
        <v>0</v>
      </c>
      <c r="P101" s="485">
        <f t="shared" si="137"/>
        <v>0</v>
      </c>
      <c r="Q101" s="485">
        <f t="shared" si="104"/>
        <v>0</v>
      </c>
      <c r="R101" s="484">
        <f t="shared" si="105"/>
        <v>0</v>
      </c>
      <c r="S101" s="485">
        <f t="shared" si="106"/>
        <v>2047</v>
      </c>
      <c r="T101" s="488">
        <f t="shared" si="142"/>
        <v>2445.06</v>
      </c>
      <c r="U101" s="487">
        <v>1596.91</v>
      </c>
      <c r="V101" s="486">
        <f t="shared" si="107"/>
        <v>3.7382800000000001E-3</v>
      </c>
      <c r="W101" s="484">
        <f t="shared" si="143"/>
        <v>105.14</v>
      </c>
      <c r="X101" s="484">
        <v>0</v>
      </c>
      <c r="Y101" s="484">
        <f t="shared" si="136"/>
        <v>63.08</v>
      </c>
      <c r="Z101" s="484">
        <f t="shared" si="136"/>
        <v>-3.8</v>
      </c>
      <c r="AA101" s="484">
        <f t="shared" si="136"/>
        <v>-1.41</v>
      </c>
      <c r="AB101" s="485">
        <f t="shared" si="108"/>
        <v>163.01</v>
      </c>
      <c r="AC101" s="485">
        <f t="shared" si="144"/>
        <v>-29.35</v>
      </c>
      <c r="AD101" s="498">
        <f>(F101/F$184)*AD$184</f>
        <v>-41.12</v>
      </c>
      <c r="AE101" s="498">
        <v>0</v>
      </c>
      <c r="AF101" s="485">
        <f t="shared" si="109"/>
        <v>-41.12</v>
      </c>
      <c r="AG101" s="484">
        <f t="shared" si="110"/>
        <v>-70.47</v>
      </c>
      <c r="AH101" s="381">
        <f t="shared" si="111"/>
        <v>1689.45</v>
      </c>
      <c r="AI101" s="483">
        <f t="shared" si="112"/>
        <v>3736.45</v>
      </c>
      <c r="AJ101" s="483">
        <f t="shared" si="113"/>
        <v>4432.83</v>
      </c>
      <c r="AK101" s="83"/>
      <c r="AL101" s="114">
        <f t="shared" si="114"/>
        <v>1999.91</v>
      </c>
      <c r="AM101" s="497">
        <f t="shared" si="145"/>
        <v>2970.29</v>
      </c>
      <c r="AN101" s="192">
        <f t="shared" si="115"/>
        <v>0</v>
      </c>
      <c r="AO101" s="114">
        <f t="shared" si="116"/>
        <v>-224.24</v>
      </c>
      <c r="AP101" s="137">
        <f t="shared" si="117"/>
        <v>0</v>
      </c>
      <c r="AQ101" s="137">
        <f t="shared" si="118"/>
        <v>47.09</v>
      </c>
      <c r="AR101" s="84">
        <f t="shared" si="119"/>
        <v>47.09</v>
      </c>
      <c r="AS101" s="84">
        <f t="shared" si="120"/>
        <v>0</v>
      </c>
      <c r="AT101" s="84">
        <f t="shared" si="121"/>
        <v>0</v>
      </c>
      <c r="AU101" s="84">
        <f t="shared" si="122"/>
        <v>0</v>
      </c>
      <c r="AV101" s="84">
        <f t="shared" si="123"/>
        <v>0</v>
      </c>
      <c r="AW101" s="487">
        <v>1596.91</v>
      </c>
      <c r="AX101" s="137">
        <f t="shared" si="124"/>
        <v>105.14</v>
      </c>
      <c r="AY101" s="137">
        <f t="shared" si="125"/>
        <v>0</v>
      </c>
      <c r="AZ101" s="137">
        <f t="shared" si="126"/>
        <v>63.08</v>
      </c>
      <c r="BA101" s="137">
        <f t="shared" si="127"/>
        <v>-3.8</v>
      </c>
      <c r="BB101" s="137">
        <f t="shared" si="128"/>
        <v>-1.41</v>
      </c>
      <c r="BC101" s="84">
        <f t="shared" si="129"/>
        <v>163.01</v>
      </c>
      <c r="BD101" s="84">
        <f t="shared" si="130"/>
        <v>-29.35</v>
      </c>
      <c r="BE101" s="84">
        <f t="shared" si="131"/>
        <v>-41.12</v>
      </c>
      <c r="BF101" s="116">
        <f t="shared" si="132"/>
        <v>-70.47</v>
      </c>
      <c r="BG101" s="496">
        <f t="shared" si="133"/>
        <v>2793.14</v>
      </c>
      <c r="BH101" s="496">
        <f t="shared" si="134"/>
        <v>1689.45</v>
      </c>
      <c r="BI101" s="496">
        <f t="shared" si="135"/>
        <v>4482.59</v>
      </c>
    </row>
    <row r="102" spans="1:61" s="480" customFormat="1" ht="16.149999999999999" customHeight="1">
      <c r="A102" s="495" t="s">
        <v>195</v>
      </c>
      <c r="B102" s="494" t="s">
        <v>357</v>
      </c>
      <c r="C102" s="615" t="s">
        <v>63</v>
      </c>
      <c r="D102" s="385" t="s">
        <v>12</v>
      </c>
      <c r="E102" s="314">
        <v>16803</v>
      </c>
      <c r="F102" s="499"/>
      <c r="G102" s="491">
        <v>1999.91</v>
      </c>
      <c r="H102" s="485">
        <v>0</v>
      </c>
      <c r="I102" s="490">
        <f t="shared" si="102"/>
        <v>1999.91</v>
      </c>
      <c r="J102" s="489">
        <f t="shared" si="139"/>
        <v>3.7382800000000001E-3</v>
      </c>
      <c r="K102" s="484">
        <f t="shared" si="140"/>
        <v>-224.24</v>
      </c>
      <c r="L102" s="484">
        <f t="shared" si="138"/>
        <v>0</v>
      </c>
      <c r="M102" s="484">
        <f t="shared" si="141"/>
        <v>47.09</v>
      </c>
      <c r="N102" s="485">
        <f t="shared" si="103"/>
        <v>47.09</v>
      </c>
      <c r="O102" s="485">
        <f t="shared" si="137"/>
        <v>0</v>
      </c>
      <c r="P102" s="485">
        <f t="shared" si="137"/>
        <v>0</v>
      </c>
      <c r="Q102" s="485">
        <f t="shared" si="104"/>
        <v>0</v>
      </c>
      <c r="R102" s="484">
        <f t="shared" si="105"/>
        <v>0</v>
      </c>
      <c r="S102" s="485">
        <f t="shared" si="106"/>
        <v>2047</v>
      </c>
      <c r="T102" s="488">
        <f t="shared" si="142"/>
        <v>2445.06</v>
      </c>
      <c r="U102" s="487">
        <v>2075.08</v>
      </c>
      <c r="V102" s="486">
        <f t="shared" si="107"/>
        <v>3.7382800000000001E-3</v>
      </c>
      <c r="W102" s="484">
        <f t="shared" si="143"/>
        <v>105.14</v>
      </c>
      <c r="X102" s="484">
        <v>0</v>
      </c>
      <c r="Y102" s="484">
        <f t="shared" ref="Y102:AA121" si="146">$V102*Y$184</f>
        <v>63.08</v>
      </c>
      <c r="Z102" s="484">
        <f t="shared" si="146"/>
        <v>-3.8</v>
      </c>
      <c r="AA102" s="484">
        <f t="shared" si="146"/>
        <v>-1.41</v>
      </c>
      <c r="AB102" s="485">
        <f t="shared" si="108"/>
        <v>163.01</v>
      </c>
      <c r="AC102" s="485">
        <f t="shared" si="144"/>
        <v>-29.35</v>
      </c>
      <c r="AD102" s="498">
        <v>0</v>
      </c>
      <c r="AE102" s="498">
        <v>0</v>
      </c>
      <c r="AF102" s="485">
        <f t="shared" si="109"/>
        <v>0</v>
      </c>
      <c r="AG102" s="484">
        <f t="shared" si="110"/>
        <v>-29.35</v>
      </c>
      <c r="AH102" s="381">
        <f t="shared" si="111"/>
        <v>2208.7399999999998</v>
      </c>
      <c r="AI102" s="483">
        <f t="shared" si="112"/>
        <v>4255.74</v>
      </c>
      <c r="AJ102" s="483">
        <f t="shared" si="113"/>
        <v>5048.8999999999996</v>
      </c>
      <c r="AK102" s="83"/>
      <c r="AL102" s="114">
        <f t="shared" si="114"/>
        <v>1999.91</v>
      </c>
      <c r="AM102" s="497">
        <f t="shared" si="145"/>
        <v>2970.29</v>
      </c>
      <c r="AN102" s="192">
        <f t="shared" si="115"/>
        <v>0</v>
      </c>
      <c r="AO102" s="114">
        <f t="shared" si="116"/>
        <v>-224.24</v>
      </c>
      <c r="AP102" s="137">
        <f t="shared" si="117"/>
        <v>0</v>
      </c>
      <c r="AQ102" s="137">
        <f t="shared" si="118"/>
        <v>47.09</v>
      </c>
      <c r="AR102" s="84">
        <f t="shared" si="119"/>
        <v>47.09</v>
      </c>
      <c r="AS102" s="84">
        <f t="shared" si="120"/>
        <v>0</v>
      </c>
      <c r="AT102" s="84">
        <f t="shared" si="121"/>
        <v>0</v>
      </c>
      <c r="AU102" s="84">
        <f t="shared" si="122"/>
        <v>0</v>
      </c>
      <c r="AV102" s="84">
        <f t="shared" si="123"/>
        <v>0</v>
      </c>
      <c r="AW102" s="487">
        <v>2075.08</v>
      </c>
      <c r="AX102" s="137">
        <f t="shared" si="124"/>
        <v>105.14</v>
      </c>
      <c r="AY102" s="137">
        <f t="shared" si="125"/>
        <v>0</v>
      </c>
      <c r="AZ102" s="137">
        <f t="shared" si="126"/>
        <v>63.08</v>
      </c>
      <c r="BA102" s="137">
        <f t="shared" si="127"/>
        <v>-3.8</v>
      </c>
      <c r="BB102" s="137">
        <f t="shared" si="128"/>
        <v>-1.41</v>
      </c>
      <c r="BC102" s="84">
        <f t="shared" si="129"/>
        <v>163.01</v>
      </c>
      <c r="BD102" s="84">
        <f t="shared" si="130"/>
        <v>-29.35</v>
      </c>
      <c r="BE102" s="84">
        <f t="shared" si="131"/>
        <v>0</v>
      </c>
      <c r="BF102" s="116">
        <f t="shared" si="132"/>
        <v>-29.35</v>
      </c>
      <c r="BG102" s="496">
        <f t="shared" si="133"/>
        <v>2793.14</v>
      </c>
      <c r="BH102" s="496">
        <f t="shared" si="134"/>
        <v>2208.7399999999998</v>
      </c>
      <c r="BI102" s="496">
        <f t="shared" si="135"/>
        <v>5001.88</v>
      </c>
    </row>
    <row r="103" spans="1:61" s="480" customFormat="1" ht="16.149999999999999" customHeight="1">
      <c r="A103" s="495" t="s">
        <v>195</v>
      </c>
      <c r="B103" s="494" t="s">
        <v>288</v>
      </c>
      <c r="C103" s="493" t="s">
        <v>62</v>
      </c>
      <c r="D103" s="385" t="s">
        <v>12</v>
      </c>
      <c r="E103" s="314">
        <v>13881</v>
      </c>
      <c r="F103" s="500">
        <v>10</v>
      </c>
      <c r="G103" s="491">
        <v>3999.94</v>
      </c>
      <c r="H103" s="485">
        <v>0</v>
      </c>
      <c r="I103" s="490">
        <f t="shared" si="102"/>
        <v>3999.94</v>
      </c>
      <c r="J103" s="489">
        <f t="shared" si="139"/>
        <v>7.4767899999999997E-3</v>
      </c>
      <c r="K103" s="484">
        <f t="shared" si="140"/>
        <v>-448.5</v>
      </c>
      <c r="L103" s="484">
        <f t="shared" si="138"/>
        <v>0</v>
      </c>
      <c r="M103" s="484">
        <f t="shared" si="141"/>
        <v>94.18</v>
      </c>
      <c r="N103" s="485">
        <f t="shared" si="103"/>
        <v>94.18</v>
      </c>
      <c r="O103" s="485">
        <f t="shared" si="137"/>
        <v>0</v>
      </c>
      <c r="P103" s="485">
        <f t="shared" si="137"/>
        <v>0</v>
      </c>
      <c r="Q103" s="485">
        <f t="shared" si="104"/>
        <v>0</v>
      </c>
      <c r="R103" s="484">
        <f t="shared" si="105"/>
        <v>0</v>
      </c>
      <c r="S103" s="485">
        <f t="shared" si="106"/>
        <v>4094.12</v>
      </c>
      <c r="T103" s="488">
        <f t="shared" si="142"/>
        <v>4890.26</v>
      </c>
      <c r="U103" s="487">
        <v>3672.04</v>
      </c>
      <c r="V103" s="486">
        <f t="shared" si="107"/>
        <v>7.4767899999999997E-3</v>
      </c>
      <c r="W103" s="484">
        <f t="shared" si="143"/>
        <v>210.28</v>
      </c>
      <c r="X103" s="484">
        <v>0</v>
      </c>
      <c r="Y103" s="484">
        <f t="shared" si="146"/>
        <v>126.17</v>
      </c>
      <c r="Z103" s="484">
        <f t="shared" si="146"/>
        <v>-7.6</v>
      </c>
      <c r="AA103" s="484">
        <f t="shared" si="146"/>
        <v>-2.82</v>
      </c>
      <c r="AB103" s="485">
        <f t="shared" si="108"/>
        <v>326.02999999999997</v>
      </c>
      <c r="AC103" s="485">
        <f t="shared" si="144"/>
        <v>-58.7</v>
      </c>
      <c r="AD103" s="498">
        <f>(F103/F$184)*AD$184</f>
        <v>-41.12</v>
      </c>
      <c r="AE103" s="498">
        <v>0</v>
      </c>
      <c r="AF103" s="485">
        <f t="shared" si="109"/>
        <v>-41.12</v>
      </c>
      <c r="AG103" s="484">
        <f t="shared" si="110"/>
        <v>-99.82</v>
      </c>
      <c r="AH103" s="381">
        <f t="shared" si="111"/>
        <v>3898.25</v>
      </c>
      <c r="AI103" s="483">
        <f t="shared" si="112"/>
        <v>7992.37</v>
      </c>
      <c r="AJ103" s="483">
        <f t="shared" si="113"/>
        <v>9481.9500000000007</v>
      </c>
      <c r="AK103" s="83"/>
      <c r="AL103" s="114">
        <f t="shared" si="114"/>
        <v>3999.94</v>
      </c>
      <c r="AM103" s="497">
        <f t="shared" si="145"/>
        <v>5940.75</v>
      </c>
      <c r="AN103" s="192">
        <f t="shared" si="115"/>
        <v>0</v>
      </c>
      <c r="AO103" s="114">
        <f t="shared" si="116"/>
        <v>-448.5</v>
      </c>
      <c r="AP103" s="137">
        <f t="shared" si="117"/>
        <v>0</v>
      </c>
      <c r="AQ103" s="137">
        <f t="shared" si="118"/>
        <v>94.18</v>
      </c>
      <c r="AR103" s="84">
        <f t="shared" si="119"/>
        <v>94.18</v>
      </c>
      <c r="AS103" s="84">
        <f t="shared" si="120"/>
        <v>0</v>
      </c>
      <c r="AT103" s="84">
        <f t="shared" si="121"/>
        <v>0</v>
      </c>
      <c r="AU103" s="84">
        <f t="shared" si="122"/>
        <v>0</v>
      </c>
      <c r="AV103" s="84">
        <f t="shared" si="123"/>
        <v>0</v>
      </c>
      <c r="AW103" s="487">
        <v>3672.04</v>
      </c>
      <c r="AX103" s="137">
        <f t="shared" si="124"/>
        <v>210.28</v>
      </c>
      <c r="AY103" s="137">
        <f t="shared" si="125"/>
        <v>0</v>
      </c>
      <c r="AZ103" s="137">
        <f t="shared" si="126"/>
        <v>126.17</v>
      </c>
      <c r="BA103" s="137">
        <f t="shared" si="127"/>
        <v>-7.6</v>
      </c>
      <c r="BB103" s="137">
        <f t="shared" si="128"/>
        <v>-2.82</v>
      </c>
      <c r="BC103" s="84">
        <f t="shared" si="129"/>
        <v>326.02999999999997</v>
      </c>
      <c r="BD103" s="84">
        <f t="shared" si="130"/>
        <v>-58.7</v>
      </c>
      <c r="BE103" s="84">
        <f t="shared" si="131"/>
        <v>-41.12</v>
      </c>
      <c r="BF103" s="116">
        <f t="shared" si="132"/>
        <v>-99.82</v>
      </c>
      <c r="BG103" s="496">
        <f t="shared" si="133"/>
        <v>5586.43</v>
      </c>
      <c r="BH103" s="496">
        <f t="shared" si="134"/>
        <v>3898.25</v>
      </c>
      <c r="BI103" s="496">
        <f t="shared" si="135"/>
        <v>9484.68</v>
      </c>
    </row>
    <row r="104" spans="1:61" s="480" customFormat="1" ht="16.149999999999999" customHeight="1">
      <c r="A104" s="495" t="s">
        <v>195</v>
      </c>
      <c r="B104" s="494" t="s">
        <v>289</v>
      </c>
      <c r="C104" s="493" t="s">
        <v>62</v>
      </c>
      <c r="D104" s="385" t="s">
        <v>12</v>
      </c>
      <c r="E104" s="314">
        <v>14246</v>
      </c>
      <c r="F104" s="500">
        <v>10</v>
      </c>
      <c r="G104" s="491">
        <v>1999.91</v>
      </c>
      <c r="H104" s="485">
        <v>0</v>
      </c>
      <c r="I104" s="490">
        <f t="shared" si="102"/>
        <v>1999.91</v>
      </c>
      <c r="J104" s="489">
        <f t="shared" si="139"/>
        <v>3.7382800000000001E-3</v>
      </c>
      <c r="K104" s="484">
        <f t="shared" si="140"/>
        <v>-224.24</v>
      </c>
      <c r="L104" s="484">
        <f t="shared" si="138"/>
        <v>0</v>
      </c>
      <c r="M104" s="484">
        <f t="shared" si="141"/>
        <v>47.09</v>
      </c>
      <c r="N104" s="485">
        <f t="shared" si="103"/>
        <v>47.09</v>
      </c>
      <c r="O104" s="485">
        <f t="shared" si="137"/>
        <v>0</v>
      </c>
      <c r="P104" s="485">
        <f t="shared" si="137"/>
        <v>0</v>
      </c>
      <c r="Q104" s="485">
        <f t="shared" si="104"/>
        <v>0</v>
      </c>
      <c r="R104" s="484">
        <f t="shared" si="105"/>
        <v>0</v>
      </c>
      <c r="S104" s="485">
        <f t="shared" si="106"/>
        <v>2047</v>
      </c>
      <c r="T104" s="488">
        <f t="shared" si="142"/>
        <v>2445.06</v>
      </c>
      <c r="U104" s="487">
        <v>1596.91</v>
      </c>
      <c r="V104" s="486">
        <f t="shared" si="107"/>
        <v>3.7382800000000001E-3</v>
      </c>
      <c r="W104" s="484">
        <f t="shared" si="143"/>
        <v>105.14</v>
      </c>
      <c r="X104" s="484">
        <v>0</v>
      </c>
      <c r="Y104" s="484">
        <f t="shared" si="146"/>
        <v>63.08</v>
      </c>
      <c r="Z104" s="484">
        <f t="shared" si="146"/>
        <v>-3.8</v>
      </c>
      <c r="AA104" s="484">
        <f t="shared" si="146"/>
        <v>-1.41</v>
      </c>
      <c r="AB104" s="485">
        <f t="shared" si="108"/>
        <v>163.01</v>
      </c>
      <c r="AC104" s="485">
        <f t="shared" si="144"/>
        <v>-29.35</v>
      </c>
      <c r="AD104" s="498">
        <f>(F104/F$184)*AD$184</f>
        <v>-41.12</v>
      </c>
      <c r="AE104" s="498">
        <v>0</v>
      </c>
      <c r="AF104" s="485">
        <f t="shared" si="109"/>
        <v>-41.12</v>
      </c>
      <c r="AG104" s="484">
        <f t="shared" si="110"/>
        <v>-70.47</v>
      </c>
      <c r="AH104" s="381">
        <f t="shared" si="111"/>
        <v>1689.45</v>
      </c>
      <c r="AI104" s="483">
        <f t="shared" si="112"/>
        <v>3736.45</v>
      </c>
      <c r="AJ104" s="483">
        <f t="shared" si="113"/>
        <v>4432.83</v>
      </c>
      <c r="AK104" s="83"/>
      <c r="AL104" s="114">
        <f t="shared" si="114"/>
        <v>1999.91</v>
      </c>
      <c r="AM104" s="497">
        <f t="shared" si="145"/>
        <v>2970.29</v>
      </c>
      <c r="AN104" s="192">
        <f t="shared" si="115"/>
        <v>0</v>
      </c>
      <c r="AO104" s="114">
        <f t="shared" si="116"/>
        <v>-224.24</v>
      </c>
      <c r="AP104" s="137">
        <f t="shared" si="117"/>
        <v>0</v>
      </c>
      <c r="AQ104" s="137">
        <f t="shared" si="118"/>
        <v>47.09</v>
      </c>
      <c r="AR104" s="84">
        <f t="shared" si="119"/>
        <v>47.09</v>
      </c>
      <c r="AS104" s="84">
        <f t="shared" si="120"/>
        <v>0</v>
      </c>
      <c r="AT104" s="84">
        <f t="shared" si="121"/>
        <v>0</v>
      </c>
      <c r="AU104" s="84">
        <f t="shared" si="122"/>
        <v>0</v>
      </c>
      <c r="AV104" s="84">
        <f t="shared" si="123"/>
        <v>0</v>
      </c>
      <c r="AW104" s="487">
        <v>1596.91</v>
      </c>
      <c r="AX104" s="137">
        <f t="shared" si="124"/>
        <v>105.14</v>
      </c>
      <c r="AY104" s="137">
        <f t="shared" si="125"/>
        <v>0</v>
      </c>
      <c r="AZ104" s="137">
        <f t="shared" si="126"/>
        <v>63.08</v>
      </c>
      <c r="BA104" s="137">
        <f t="shared" si="127"/>
        <v>-3.8</v>
      </c>
      <c r="BB104" s="137">
        <f t="shared" si="128"/>
        <v>-1.41</v>
      </c>
      <c r="BC104" s="84">
        <f t="shared" si="129"/>
        <v>163.01</v>
      </c>
      <c r="BD104" s="84">
        <f t="shared" si="130"/>
        <v>-29.35</v>
      </c>
      <c r="BE104" s="84">
        <f t="shared" si="131"/>
        <v>-41.12</v>
      </c>
      <c r="BF104" s="116">
        <f t="shared" si="132"/>
        <v>-70.47</v>
      </c>
      <c r="BG104" s="496">
        <f t="shared" si="133"/>
        <v>2793.14</v>
      </c>
      <c r="BH104" s="496">
        <f t="shared" si="134"/>
        <v>1689.45</v>
      </c>
      <c r="BI104" s="496">
        <f t="shared" si="135"/>
        <v>4482.59</v>
      </c>
    </row>
    <row r="105" spans="1:61" s="480" customFormat="1" ht="16.149999999999999" customHeight="1">
      <c r="A105" s="495" t="s">
        <v>195</v>
      </c>
      <c r="B105" s="494" t="s">
        <v>290</v>
      </c>
      <c r="C105" s="493" t="s">
        <v>62</v>
      </c>
      <c r="D105" s="385" t="s">
        <v>12</v>
      </c>
      <c r="E105" s="314">
        <v>15342</v>
      </c>
      <c r="F105" s="500">
        <v>10</v>
      </c>
      <c r="G105" s="491">
        <v>3999.94</v>
      </c>
      <c r="H105" s="485">
        <v>0</v>
      </c>
      <c r="I105" s="490">
        <f t="shared" si="102"/>
        <v>3999.94</v>
      </c>
      <c r="J105" s="489">
        <f t="shared" si="139"/>
        <v>7.4767899999999997E-3</v>
      </c>
      <c r="K105" s="484">
        <f t="shared" si="140"/>
        <v>-448.5</v>
      </c>
      <c r="L105" s="484">
        <f t="shared" si="138"/>
        <v>0</v>
      </c>
      <c r="M105" s="484">
        <f t="shared" si="141"/>
        <v>94.18</v>
      </c>
      <c r="N105" s="485">
        <f t="shared" si="103"/>
        <v>94.18</v>
      </c>
      <c r="O105" s="485">
        <f t="shared" si="137"/>
        <v>0</v>
      </c>
      <c r="P105" s="485">
        <f t="shared" si="137"/>
        <v>0</v>
      </c>
      <c r="Q105" s="485">
        <f t="shared" si="104"/>
        <v>0</v>
      </c>
      <c r="R105" s="484">
        <f t="shared" si="105"/>
        <v>0</v>
      </c>
      <c r="S105" s="485">
        <f t="shared" si="106"/>
        <v>4094.12</v>
      </c>
      <c r="T105" s="488">
        <f t="shared" si="142"/>
        <v>4890.26</v>
      </c>
      <c r="U105" s="487">
        <v>3672.04</v>
      </c>
      <c r="V105" s="486">
        <f t="shared" si="107"/>
        <v>7.4767899999999997E-3</v>
      </c>
      <c r="W105" s="484">
        <f t="shared" si="143"/>
        <v>210.28</v>
      </c>
      <c r="X105" s="484">
        <v>0</v>
      </c>
      <c r="Y105" s="484">
        <f t="shared" si="146"/>
        <v>126.17</v>
      </c>
      <c r="Z105" s="484">
        <f t="shared" si="146"/>
        <v>-7.6</v>
      </c>
      <c r="AA105" s="484">
        <f t="shared" si="146"/>
        <v>-2.82</v>
      </c>
      <c r="AB105" s="485">
        <f t="shared" si="108"/>
        <v>326.02999999999997</v>
      </c>
      <c r="AC105" s="485">
        <f t="shared" si="144"/>
        <v>-58.7</v>
      </c>
      <c r="AD105" s="498">
        <f>(F105/F$184)*AD$184</f>
        <v>-41.12</v>
      </c>
      <c r="AE105" s="498">
        <v>0</v>
      </c>
      <c r="AF105" s="485">
        <f t="shared" si="109"/>
        <v>-41.12</v>
      </c>
      <c r="AG105" s="484">
        <f t="shared" si="110"/>
        <v>-99.82</v>
      </c>
      <c r="AH105" s="381">
        <f t="shared" si="111"/>
        <v>3898.25</v>
      </c>
      <c r="AI105" s="483">
        <f t="shared" si="112"/>
        <v>7992.37</v>
      </c>
      <c r="AJ105" s="483">
        <f t="shared" si="113"/>
        <v>9481.9500000000007</v>
      </c>
      <c r="AK105" s="83"/>
      <c r="AL105" s="114">
        <f t="shared" si="114"/>
        <v>3999.94</v>
      </c>
      <c r="AM105" s="497">
        <f t="shared" si="145"/>
        <v>5940.75</v>
      </c>
      <c r="AN105" s="192">
        <f t="shared" si="115"/>
        <v>0</v>
      </c>
      <c r="AO105" s="114">
        <f t="shared" si="116"/>
        <v>-448.5</v>
      </c>
      <c r="AP105" s="137">
        <f t="shared" si="117"/>
        <v>0</v>
      </c>
      <c r="AQ105" s="137">
        <f t="shared" si="118"/>
        <v>94.18</v>
      </c>
      <c r="AR105" s="84">
        <f t="shared" si="119"/>
        <v>94.18</v>
      </c>
      <c r="AS105" s="84">
        <f t="shared" si="120"/>
        <v>0</v>
      </c>
      <c r="AT105" s="84">
        <f t="shared" si="121"/>
        <v>0</v>
      </c>
      <c r="AU105" s="84">
        <f t="shared" si="122"/>
        <v>0</v>
      </c>
      <c r="AV105" s="84">
        <f t="shared" si="123"/>
        <v>0</v>
      </c>
      <c r="AW105" s="487">
        <v>3672.04</v>
      </c>
      <c r="AX105" s="137">
        <f t="shared" si="124"/>
        <v>210.28</v>
      </c>
      <c r="AY105" s="137">
        <f t="shared" si="125"/>
        <v>0</v>
      </c>
      <c r="AZ105" s="137">
        <f t="shared" si="126"/>
        <v>126.17</v>
      </c>
      <c r="BA105" s="137">
        <f t="shared" si="127"/>
        <v>-7.6</v>
      </c>
      <c r="BB105" s="137">
        <f t="shared" si="128"/>
        <v>-2.82</v>
      </c>
      <c r="BC105" s="84">
        <f t="shared" si="129"/>
        <v>326.02999999999997</v>
      </c>
      <c r="BD105" s="84">
        <f t="shared" si="130"/>
        <v>-58.7</v>
      </c>
      <c r="BE105" s="84">
        <f t="shared" si="131"/>
        <v>-41.12</v>
      </c>
      <c r="BF105" s="116">
        <f t="shared" si="132"/>
        <v>-99.82</v>
      </c>
      <c r="BG105" s="496">
        <f t="shared" si="133"/>
        <v>5586.43</v>
      </c>
      <c r="BH105" s="496">
        <f t="shared" si="134"/>
        <v>3898.25</v>
      </c>
      <c r="BI105" s="496">
        <f t="shared" si="135"/>
        <v>9484.68</v>
      </c>
    </row>
    <row r="106" spans="1:61" s="480" customFormat="1" ht="16.149999999999999" customHeight="1">
      <c r="A106" s="495" t="s">
        <v>195</v>
      </c>
      <c r="B106" s="494" t="s">
        <v>460</v>
      </c>
      <c r="C106" s="493" t="s">
        <v>62</v>
      </c>
      <c r="D106" s="385" t="s">
        <v>12</v>
      </c>
      <c r="E106" s="314">
        <v>7672</v>
      </c>
      <c r="F106" s="500">
        <v>10</v>
      </c>
      <c r="G106" s="491">
        <v>5999.83</v>
      </c>
      <c r="H106" s="485">
        <v>0</v>
      </c>
      <c r="I106" s="490">
        <f t="shared" si="102"/>
        <v>5999.83</v>
      </c>
      <c r="J106" s="489">
        <f t="shared" si="139"/>
        <v>1.1215030000000001E-2</v>
      </c>
      <c r="K106" s="484">
        <f t="shared" si="140"/>
        <v>-672.74</v>
      </c>
      <c r="L106" s="484">
        <f t="shared" si="138"/>
        <v>0</v>
      </c>
      <c r="M106" s="484">
        <f t="shared" si="141"/>
        <v>141.27000000000001</v>
      </c>
      <c r="N106" s="485">
        <f t="shared" si="103"/>
        <v>141.27000000000001</v>
      </c>
      <c r="O106" s="485">
        <f t="shared" si="137"/>
        <v>0</v>
      </c>
      <c r="P106" s="485">
        <f t="shared" si="137"/>
        <v>0</v>
      </c>
      <c r="Q106" s="485">
        <f t="shared" si="104"/>
        <v>0</v>
      </c>
      <c r="R106" s="484">
        <f t="shared" si="105"/>
        <v>0</v>
      </c>
      <c r="S106" s="485">
        <f t="shared" si="106"/>
        <v>6141.1</v>
      </c>
      <c r="T106" s="488">
        <f t="shared" si="142"/>
        <v>7335.29</v>
      </c>
      <c r="U106" s="487">
        <v>5747.11</v>
      </c>
      <c r="V106" s="486">
        <f t="shared" si="107"/>
        <v>1.1215030000000001E-2</v>
      </c>
      <c r="W106" s="484">
        <f t="shared" si="143"/>
        <v>315.41000000000003</v>
      </c>
      <c r="X106" s="484">
        <v>0</v>
      </c>
      <c r="Y106" s="484">
        <f t="shared" si="146"/>
        <v>189.25</v>
      </c>
      <c r="Z106" s="484">
        <f t="shared" si="146"/>
        <v>-11.4</v>
      </c>
      <c r="AA106" s="484">
        <f t="shared" si="146"/>
        <v>-4.22</v>
      </c>
      <c r="AB106" s="485">
        <f t="shared" si="108"/>
        <v>489.04</v>
      </c>
      <c r="AC106" s="485">
        <f t="shared" si="144"/>
        <v>-88.04</v>
      </c>
      <c r="AD106" s="498">
        <f>(F106/F$184)*AD$184</f>
        <v>-41.12</v>
      </c>
      <c r="AE106" s="498">
        <v>0</v>
      </c>
      <c r="AF106" s="485">
        <f t="shared" si="109"/>
        <v>-41.12</v>
      </c>
      <c r="AG106" s="484">
        <f t="shared" si="110"/>
        <v>-129.16</v>
      </c>
      <c r="AH106" s="381">
        <f t="shared" si="111"/>
        <v>6106.99</v>
      </c>
      <c r="AI106" s="483">
        <f t="shared" si="112"/>
        <v>12248.09</v>
      </c>
      <c r="AJ106" s="483">
        <f t="shared" si="113"/>
        <v>14530.82</v>
      </c>
      <c r="AK106" s="83"/>
      <c r="AL106" s="114">
        <f t="shared" si="114"/>
        <v>5999.83</v>
      </c>
      <c r="AM106" s="497">
        <f t="shared" si="145"/>
        <v>8911.01</v>
      </c>
      <c r="AN106" s="192">
        <f t="shared" si="115"/>
        <v>0</v>
      </c>
      <c r="AO106" s="114">
        <f t="shared" si="116"/>
        <v>-672.74</v>
      </c>
      <c r="AP106" s="137">
        <f t="shared" si="117"/>
        <v>0</v>
      </c>
      <c r="AQ106" s="137">
        <f t="shared" si="118"/>
        <v>141.27000000000001</v>
      </c>
      <c r="AR106" s="84">
        <f t="shared" si="119"/>
        <v>141.27000000000001</v>
      </c>
      <c r="AS106" s="84">
        <f t="shared" si="120"/>
        <v>0</v>
      </c>
      <c r="AT106" s="84">
        <f t="shared" si="121"/>
        <v>0</v>
      </c>
      <c r="AU106" s="84">
        <f t="shared" si="122"/>
        <v>0</v>
      </c>
      <c r="AV106" s="84">
        <f t="shared" si="123"/>
        <v>0</v>
      </c>
      <c r="AW106" s="487">
        <v>5747.11</v>
      </c>
      <c r="AX106" s="137">
        <f t="shared" si="124"/>
        <v>315.41000000000003</v>
      </c>
      <c r="AY106" s="137">
        <f t="shared" si="125"/>
        <v>0</v>
      </c>
      <c r="AZ106" s="137">
        <f t="shared" si="126"/>
        <v>189.25</v>
      </c>
      <c r="BA106" s="137">
        <f t="shared" si="127"/>
        <v>-11.4</v>
      </c>
      <c r="BB106" s="137">
        <f t="shared" si="128"/>
        <v>-4.22</v>
      </c>
      <c r="BC106" s="84">
        <f t="shared" si="129"/>
        <v>489.04</v>
      </c>
      <c r="BD106" s="84">
        <f t="shared" si="130"/>
        <v>-88.04</v>
      </c>
      <c r="BE106" s="84">
        <f t="shared" si="131"/>
        <v>-41.12</v>
      </c>
      <c r="BF106" s="116">
        <f t="shared" si="132"/>
        <v>-129.16</v>
      </c>
      <c r="BG106" s="496">
        <f t="shared" si="133"/>
        <v>8379.5400000000009</v>
      </c>
      <c r="BH106" s="496">
        <f t="shared" si="134"/>
        <v>6106.99</v>
      </c>
      <c r="BI106" s="496">
        <f t="shared" si="135"/>
        <v>14486.53</v>
      </c>
    </row>
    <row r="107" spans="1:61" s="480" customFormat="1" ht="16.149999999999999" customHeight="1">
      <c r="A107" s="495" t="s">
        <v>195</v>
      </c>
      <c r="B107" s="494" t="s">
        <v>374</v>
      </c>
      <c r="C107" s="615" t="s">
        <v>63</v>
      </c>
      <c r="D107" s="385" t="s">
        <v>12</v>
      </c>
      <c r="E107" s="314">
        <v>33970</v>
      </c>
      <c r="F107" s="499"/>
      <c r="G107" s="491">
        <v>1387.92</v>
      </c>
      <c r="H107" s="485">
        <v>0</v>
      </c>
      <c r="I107" s="490">
        <f t="shared" si="102"/>
        <v>1387.92</v>
      </c>
      <c r="J107" s="489">
        <f t="shared" si="139"/>
        <v>2.5943300000000002E-3</v>
      </c>
      <c r="K107" s="484">
        <f t="shared" si="140"/>
        <v>-155.62</v>
      </c>
      <c r="L107" s="484">
        <f t="shared" si="138"/>
        <v>0</v>
      </c>
      <c r="M107" s="484">
        <f t="shared" si="141"/>
        <v>32.68</v>
      </c>
      <c r="N107" s="485">
        <f t="shared" si="103"/>
        <v>32.68</v>
      </c>
      <c r="O107" s="485">
        <f t="shared" si="137"/>
        <v>0</v>
      </c>
      <c r="P107" s="485">
        <f t="shared" si="137"/>
        <v>0</v>
      </c>
      <c r="Q107" s="485">
        <f t="shared" si="104"/>
        <v>0</v>
      </c>
      <c r="R107" s="484">
        <f t="shared" si="105"/>
        <v>0</v>
      </c>
      <c r="S107" s="485">
        <f t="shared" si="106"/>
        <v>1420.6</v>
      </c>
      <c r="T107" s="488">
        <f t="shared" si="142"/>
        <v>1696.85</v>
      </c>
      <c r="U107" s="487">
        <v>1440.08</v>
      </c>
      <c r="V107" s="486">
        <f t="shared" si="107"/>
        <v>2.5943300000000002E-3</v>
      </c>
      <c r="W107" s="484">
        <f t="shared" si="143"/>
        <v>72.959999999999994</v>
      </c>
      <c r="X107" s="484">
        <v>0</v>
      </c>
      <c r="Y107" s="484">
        <f t="shared" si="146"/>
        <v>43.78</v>
      </c>
      <c r="Z107" s="484">
        <f t="shared" si="146"/>
        <v>-2.64</v>
      </c>
      <c r="AA107" s="484">
        <f t="shared" si="146"/>
        <v>-0.98</v>
      </c>
      <c r="AB107" s="485">
        <f t="shared" si="108"/>
        <v>113.12</v>
      </c>
      <c r="AC107" s="485">
        <f t="shared" si="144"/>
        <v>-20.37</v>
      </c>
      <c r="AD107" s="498">
        <v>0</v>
      </c>
      <c r="AE107" s="498">
        <v>0</v>
      </c>
      <c r="AF107" s="485">
        <f t="shared" si="109"/>
        <v>0</v>
      </c>
      <c r="AG107" s="484">
        <f t="shared" si="110"/>
        <v>-20.37</v>
      </c>
      <c r="AH107" s="381">
        <f t="shared" si="111"/>
        <v>1532.83</v>
      </c>
      <c r="AI107" s="483">
        <f t="shared" si="112"/>
        <v>2953.43</v>
      </c>
      <c r="AJ107" s="483">
        <f t="shared" si="113"/>
        <v>3503.87</v>
      </c>
      <c r="AK107" s="83"/>
      <c r="AL107" s="114">
        <f t="shared" si="114"/>
        <v>1387.92</v>
      </c>
      <c r="AM107" s="497">
        <f t="shared" si="145"/>
        <v>2061.35</v>
      </c>
      <c r="AN107" s="192">
        <f t="shared" si="115"/>
        <v>0</v>
      </c>
      <c r="AO107" s="114">
        <f t="shared" si="116"/>
        <v>-155.62</v>
      </c>
      <c r="AP107" s="137">
        <f t="shared" si="117"/>
        <v>0</v>
      </c>
      <c r="AQ107" s="137">
        <f t="shared" si="118"/>
        <v>32.68</v>
      </c>
      <c r="AR107" s="84">
        <f t="shared" si="119"/>
        <v>32.68</v>
      </c>
      <c r="AS107" s="84">
        <f t="shared" si="120"/>
        <v>0</v>
      </c>
      <c r="AT107" s="84">
        <f t="shared" si="121"/>
        <v>0</v>
      </c>
      <c r="AU107" s="84">
        <f t="shared" si="122"/>
        <v>0</v>
      </c>
      <c r="AV107" s="84">
        <f t="shared" si="123"/>
        <v>0</v>
      </c>
      <c r="AW107" s="487">
        <v>1440.08</v>
      </c>
      <c r="AX107" s="137">
        <f t="shared" si="124"/>
        <v>72.959999999999994</v>
      </c>
      <c r="AY107" s="137">
        <f t="shared" si="125"/>
        <v>0</v>
      </c>
      <c r="AZ107" s="137">
        <f t="shared" si="126"/>
        <v>43.78</v>
      </c>
      <c r="BA107" s="137">
        <f t="shared" si="127"/>
        <v>-2.64</v>
      </c>
      <c r="BB107" s="137">
        <f t="shared" si="128"/>
        <v>-0.98</v>
      </c>
      <c r="BC107" s="84">
        <f t="shared" si="129"/>
        <v>113.12</v>
      </c>
      <c r="BD107" s="84">
        <f t="shared" si="130"/>
        <v>-20.37</v>
      </c>
      <c r="BE107" s="84">
        <f t="shared" si="131"/>
        <v>0</v>
      </c>
      <c r="BF107" s="116">
        <f t="shared" si="132"/>
        <v>-20.37</v>
      </c>
      <c r="BG107" s="496">
        <f t="shared" si="133"/>
        <v>1938.41</v>
      </c>
      <c r="BH107" s="496">
        <f t="shared" si="134"/>
        <v>1532.83</v>
      </c>
      <c r="BI107" s="496">
        <f t="shared" si="135"/>
        <v>3471.24</v>
      </c>
    </row>
    <row r="108" spans="1:61" s="480" customFormat="1" ht="16.149999999999999" customHeight="1">
      <c r="A108" s="495" t="s">
        <v>195</v>
      </c>
      <c r="B108" s="494" t="s">
        <v>377</v>
      </c>
      <c r="C108" s="615" t="s">
        <v>63</v>
      </c>
      <c r="D108" s="385" t="s">
        <v>12</v>
      </c>
      <c r="E108" s="314">
        <v>34700</v>
      </c>
      <c r="F108" s="499"/>
      <c r="G108" s="491">
        <v>693.97</v>
      </c>
      <c r="H108" s="485">
        <v>0</v>
      </c>
      <c r="I108" s="490">
        <f t="shared" ref="I108:I139" si="147">G108+H108</f>
        <v>693.97</v>
      </c>
      <c r="J108" s="489">
        <f t="shared" si="139"/>
        <v>1.2971899999999999E-3</v>
      </c>
      <c r="K108" s="484">
        <f t="shared" si="140"/>
        <v>-77.81</v>
      </c>
      <c r="L108" s="484">
        <f t="shared" si="138"/>
        <v>0</v>
      </c>
      <c r="M108" s="484">
        <f t="shared" si="141"/>
        <v>16.34</v>
      </c>
      <c r="N108" s="485">
        <f t="shared" ref="N108:N139" si="148">L108+M108</f>
        <v>16.34</v>
      </c>
      <c r="O108" s="485">
        <f t="shared" si="137"/>
        <v>0</v>
      </c>
      <c r="P108" s="485">
        <f t="shared" si="137"/>
        <v>0</v>
      </c>
      <c r="Q108" s="485">
        <f t="shared" ref="Q108:Q139" si="149">Q$184*J108</f>
        <v>0</v>
      </c>
      <c r="R108" s="484">
        <f t="shared" ref="R108:R139" si="150">P108+Q108</f>
        <v>0</v>
      </c>
      <c r="S108" s="485">
        <f t="shared" ref="S108:S139" si="151">G108+H108+N108+O108+R108</f>
        <v>710.31</v>
      </c>
      <c r="T108" s="488">
        <f t="shared" si="142"/>
        <v>848.44</v>
      </c>
      <c r="U108" s="487">
        <v>720.05</v>
      </c>
      <c r="V108" s="486">
        <f t="shared" ref="V108:V139" si="152">J108</f>
        <v>1.2971899999999999E-3</v>
      </c>
      <c r="W108" s="484">
        <f t="shared" si="143"/>
        <v>36.479999999999997</v>
      </c>
      <c r="X108" s="484">
        <v>0</v>
      </c>
      <c r="Y108" s="484">
        <f t="shared" si="146"/>
        <v>21.89</v>
      </c>
      <c r="Z108" s="484">
        <f t="shared" si="146"/>
        <v>-1.32</v>
      </c>
      <c r="AA108" s="484">
        <f t="shared" si="146"/>
        <v>-0.49</v>
      </c>
      <c r="AB108" s="485">
        <f t="shared" ref="AB108:AB139" si="153">SUM(W108:AA108)</f>
        <v>56.56</v>
      </c>
      <c r="AC108" s="485">
        <f t="shared" si="144"/>
        <v>-10.18</v>
      </c>
      <c r="AD108" s="498">
        <v>0</v>
      </c>
      <c r="AE108" s="498">
        <v>0</v>
      </c>
      <c r="AF108" s="485">
        <f t="shared" ref="AF108:AF139" si="154">AD108+AE108</f>
        <v>0</v>
      </c>
      <c r="AG108" s="484">
        <f t="shared" ref="AG108:AG139" si="155">AC108+AF108</f>
        <v>-10.18</v>
      </c>
      <c r="AH108" s="381">
        <f t="shared" ref="AH108:AH139" si="156">U108+AB108+AG108</f>
        <v>766.43</v>
      </c>
      <c r="AI108" s="483">
        <f t="shared" ref="AI108:AI139" si="157">S108+AH108</f>
        <v>1476.74</v>
      </c>
      <c r="AJ108" s="483">
        <f t="shared" ref="AJ108:AJ113" si="158">(AI108/AI$184)*AJ$184</f>
        <v>1751.97</v>
      </c>
      <c r="AK108" s="83"/>
      <c r="AL108" s="114">
        <f t="shared" ref="AL108:AL139" si="159">G108</f>
        <v>693.97</v>
      </c>
      <c r="AM108" s="497">
        <f t="shared" si="145"/>
        <v>1030.69</v>
      </c>
      <c r="AN108" s="192">
        <f t="shared" ref="AN108:AN139" si="160">H108</f>
        <v>0</v>
      </c>
      <c r="AO108" s="114">
        <f t="shared" ref="AO108:AO139" si="161">K108</f>
        <v>-77.81</v>
      </c>
      <c r="AP108" s="137">
        <f t="shared" ref="AP108:AP139" si="162">L108</f>
        <v>0</v>
      </c>
      <c r="AQ108" s="137">
        <f t="shared" ref="AQ108:AQ139" si="163">M108</f>
        <v>16.34</v>
      </c>
      <c r="AR108" s="84">
        <f t="shared" ref="AR108:AR139" si="164">AP108+AQ108</f>
        <v>16.34</v>
      </c>
      <c r="AS108" s="84">
        <f t="shared" ref="AS108:AS139" si="165">O108</f>
        <v>0</v>
      </c>
      <c r="AT108" s="84">
        <f t="shared" ref="AT108:AT139" si="166">P108</f>
        <v>0</v>
      </c>
      <c r="AU108" s="84">
        <f t="shared" ref="AU108:AU139" si="167">Q108</f>
        <v>0</v>
      </c>
      <c r="AV108" s="84">
        <f t="shared" ref="AV108:AV139" si="168">AT108+AU108</f>
        <v>0</v>
      </c>
      <c r="AW108" s="487">
        <v>720.05</v>
      </c>
      <c r="AX108" s="137">
        <f t="shared" ref="AX108:AX139" si="169">W108</f>
        <v>36.479999999999997</v>
      </c>
      <c r="AY108" s="137">
        <f t="shared" ref="AY108:AY139" si="170">X108</f>
        <v>0</v>
      </c>
      <c r="AZ108" s="137">
        <f t="shared" ref="AZ108:AZ139" si="171">Y108</f>
        <v>21.89</v>
      </c>
      <c r="BA108" s="137">
        <f t="shared" ref="BA108:BA139" si="172">Z108</f>
        <v>-1.32</v>
      </c>
      <c r="BB108" s="137">
        <f t="shared" ref="BB108:BB139" si="173">AA108</f>
        <v>-0.49</v>
      </c>
      <c r="BC108" s="84">
        <f t="shared" ref="BC108:BC139" si="174">SUM(AX108:BB108)</f>
        <v>56.56</v>
      </c>
      <c r="BD108" s="84">
        <f t="shared" ref="BD108:BD139" si="175">AC108</f>
        <v>-10.18</v>
      </c>
      <c r="BE108" s="84">
        <f t="shared" ref="BE108:BE139" si="176">AF108</f>
        <v>0</v>
      </c>
      <c r="BF108" s="116">
        <f t="shared" ref="BF108:BF139" si="177">BD108+BE108</f>
        <v>-10.18</v>
      </c>
      <c r="BG108" s="496">
        <f t="shared" ref="BG108:BG139" si="178">AM108+AN108+AO108+AR108+AS108+AV108</f>
        <v>969.22</v>
      </c>
      <c r="BH108" s="496">
        <f t="shared" ref="BH108:BH139" si="179">AW108+BC108+BF108</f>
        <v>766.43</v>
      </c>
      <c r="BI108" s="496">
        <f t="shared" ref="BI108:BI139" si="180">AM108+AN108+AO108+AR108+AS108+AV108+AW108+BC108+BF108</f>
        <v>1735.65</v>
      </c>
    </row>
    <row r="109" spans="1:61" s="480" customFormat="1" ht="16.149999999999999" customHeight="1">
      <c r="A109" s="495" t="s">
        <v>195</v>
      </c>
      <c r="B109" s="494" t="s">
        <v>291</v>
      </c>
      <c r="C109" s="493" t="s">
        <v>62</v>
      </c>
      <c r="D109" s="385" t="s">
        <v>12</v>
      </c>
      <c r="E109" s="314">
        <v>13150</v>
      </c>
      <c r="F109" s="500">
        <v>10</v>
      </c>
      <c r="G109" s="491">
        <v>2999.89</v>
      </c>
      <c r="H109" s="485">
        <v>0</v>
      </c>
      <c r="I109" s="490">
        <f t="shared" si="147"/>
        <v>2999.89</v>
      </c>
      <c r="J109" s="489">
        <f t="shared" si="139"/>
        <v>5.6074699999999998E-3</v>
      </c>
      <c r="K109" s="484">
        <f t="shared" si="140"/>
        <v>-336.37</v>
      </c>
      <c r="L109" s="484">
        <f t="shared" si="138"/>
        <v>0</v>
      </c>
      <c r="M109" s="484">
        <f t="shared" si="141"/>
        <v>70.63</v>
      </c>
      <c r="N109" s="485">
        <f t="shared" si="148"/>
        <v>70.63</v>
      </c>
      <c r="O109" s="485">
        <f t="shared" si="137"/>
        <v>0</v>
      </c>
      <c r="P109" s="485">
        <f t="shared" si="137"/>
        <v>0</v>
      </c>
      <c r="Q109" s="485">
        <f t="shared" si="149"/>
        <v>0</v>
      </c>
      <c r="R109" s="484">
        <f t="shared" si="150"/>
        <v>0</v>
      </c>
      <c r="S109" s="485">
        <f t="shared" si="151"/>
        <v>3070.52</v>
      </c>
      <c r="T109" s="488">
        <f t="shared" si="142"/>
        <v>3667.61</v>
      </c>
      <c r="U109" s="487">
        <v>2634.45</v>
      </c>
      <c r="V109" s="486">
        <f t="shared" si="152"/>
        <v>5.6074699999999998E-3</v>
      </c>
      <c r="W109" s="484">
        <f t="shared" si="143"/>
        <v>157.69999999999999</v>
      </c>
      <c r="X109" s="484">
        <v>0</v>
      </c>
      <c r="Y109" s="484">
        <f t="shared" si="146"/>
        <v>94.62</v>
      </c>
      <c r="Z109" s="484">
        <f t="shared" si="146"/>
        <v>-5.7</v>
      </c>
      <c r="AA109" s="484">
        <f t="shared" si="146"/>
        <v>-2.11</v>
      </c>
      <c r="AB109" s="485">
        <f t="shared" si="153"/>
        <v>244.51</v>
      </c>
      <c r="AC109" s="485">
        <f t="shared" si="144"/>
        <v>-44.02</v>
      </c>
      <c r="AD109" s="498">
        <f>(F109/F$184)*AD$184</f>
        <v>-41.12</v>
      </c>
      <c r="AE109" s="498">
        <v>0</v>
      </c>
      <c r="AF109" s="485">
        <f t="shared" si="154"/>
        <v>-41.12</v>
      </c>
      <c r="AG109" s="484">
        <f t="shared" si="155"/>
        <v>-85.14</v>
      </c>
      <c r="AH109" s="381">
        <f t="shared" si="156"/>
        <v>2793.82</v>
      </c>
      <c r="AI109" s="483">
        <f t="shared" si="157"/>
        <v>5864.34</v>
      </c>
      <c r="AJ109" s="483">
        <f t="shared" si="158"/>
        <v>6957.3</v>
      </c>
      <c r="AK109" s="83"/>
      <c r="AL109" s="114">
        <f t="shared" si="159"/>
        <v>2999.89</v>
      </c>
      <c r="AM109" s="497">
        <f t="shared" si="145"/>
        <v>4455.47</v>
      </c>
      <c r="AN109" s="192">
        <f t="shared" si="160"/>
        <v>0</v>
      </c>
      <c r="AO109" s="114">
        <f t="shared" si="161"/>
        <v>-336.37</v>
      </c>
      <c r="AP109" s="137">
        <f t="shared" si="162"/>
        <v>0</v>
      </c>
      <c r="AQ109" s="137">
        <f t="shared" si="163"/>
        <v>70.63</v>
      </c>
      <c r="AR109" s="84">
        <f t="shared" si="164"/>
        <v>70.63</v>
      </c>
      <c r="AS109" s="84">
        <f t="shared" si="165"/>
        <v>0</v>
      </c>
      <c r="AT109" s="84">
        <f t="shared" si="166"/>
        <v>0</v>
      </c>
      <c r="AU109" s="84">
        <f t="shared" si="167"/>
        <v>0</v>
      </c>
      <c r="AV109" s="84">
        <f t="shared" si="168"/>
        <v>0</v>
      </c>
      <c r="AW109" s="487">
        <v>2634.45</v>
      </c>
      <c r="AX109" s="137">
        <f t="shared" si="169"/>
        <v>157.69999999999999</v>
      </c>
      <c r="AY109" s="137">
        <f t="shared" si="170"/>
        <v>0</v>
      </c>
      <c r="AZ109" s="137">
        <f t="shared" si="171"/>
        <v>94.62</v>
      </c>
      <c r="BA109" s="137">
        <f t="shared" si="172"/>
        <v>-5.7</v>
      </c>
      <c r="BB109" s="137">
        <f t="shared" si="173"/>
        <v>-2.11</v>
      </c>
      <c r="BC109" s="84">
        <f t="shared" si="174"/>
        <v>244.51</v>
      </c>
      <c r="BD109" s="84">
        <f t="shared" si="175"/>
        <v>-44.02</v>
      </c>
      <c r="BE109" s="84">
        <f t="shared" si="176"/>
        <v>-41.12</v>
      </c>
      <c r="BF109" s="116">
        <f t="shared" si="177"/>
        <v>-85.14</v>
      </c>
      <c r="BG109" s="496">
        <f t="shared" si="178"/>
        <v>4189.7299999999996</v>
      </c>
      <c r="BH109" s="496">
        <f t="shared" si="179"/>
        <v>2793.82</v>
      </c>
      <c r="BI109" s="496">
        <f t="shared" si="180"/>
        <v>6983.55</v>
      </c>
    </row>
    <row r="110" spans="1:61" s="480" customFormat="1" ht="16.149999999999999" customHeight="1">
      <c r="A110" s="495" t="s">
        <v>195</v>
      </c>
      <c r="B110" s="494" t="s">
        <v>358</v>
      </c>
      <c r="C110" s="615" t="s">
        <v>63</v>
      </c>
      <c r="D110" s="385" t="s">
        <v>12</v>
      </c>
      <c r="E110" s="314">
        <v>4750</v>
      </c>
      <c r="F110" s="499"/>
      <c r="G110" s="491">
        <v>3999.9</v>
      </c>
      <c r="H110" s="485">
        <v>0</v>
      </c>
      <c r="I110" s="490">
        <f t="shared" si="147"/>
        <v>3999.9</v>
      </c>
      <c r="J110" s="489">
        <f t="shared" si="139"/>
        <v>7.4767100000000001E-3</v>
      </c>
      <c r="K110" s="484">
        <f t="shared" si="140"/>
        <v>-448.49</v>
      </c>
      <c r="L110" s="484">
        <f t="shared" si="138"/>
        <v>0</v>
      </c>
      <c r="M110" s="484">
        <f t="shared" si="141"/>
        <v>94.18</v>
      </c>
      <c r="N110" s="485">
        <f t="shared" si="148"/>
        <v>94.18</v>
      </c>
      <c r="O110" s="485">
        <f t="shared" si="137"/>
        <v>0</v>
      </c>
      <c r="P110" s="485">
        <f t="shared" si="137"/>
        <v>0</v>
      </c>
      <c r="Q110" s="485">
        <f t="shared" si="149"/>
        <v>0</v>
      </c>
      <c r="R110" s="484">
        <f t="shared" si="150"/>
        <v>0</v>
      </c>
      <c r="S110" s="485">
        <f t="shared" si="151"/>
        <v>4094.08</v>
      </c>
      <c r="T110" s="488">
        <f t="shared" si="142"/>
        <v>4890.21</v>
      </c>
      <c r="U110" s="487">
        <v>4150.2299999999996</v>
      </c>
      <c r="V110" s="486">
        <f t="shared" si="152"/>
        <v>7.4767100000000001E-3</v>
      </c>
      <c r="W110" s="484">
        <f t="shared" si="143"/>
        <v>210.27</v>
      </c>
      <c r="X110" s="484">
        <v>0</v>
      </c>
      <c r="Y110" s="484">
        <f t="shared" si="146"/>
        <v>126.16</v>
      </c>
      <c r="Z110" s="484">
        <f t="shared" si="146"/>
        <v>-7.6</v>
      </c>
      <c r="AA110" s="484">
        <f t="shared" si="146"/>
        <v>-2.82</v>
      </c>
      <c r="AB110" s="485">
        <f t="shared" si="153"/>
        <v>326.01</v>
      </c>
      <c r="AC110" s="485">
        <f t="shared" si="144"/>
        <v>-58.7</v>
      </c>
      <c r="AD110" s="498">
        <v>0</v>
      </c>
      <c r="AE110" s="498">
        <v>0</v>
      </c>
      <c r="AF110" s="485">
        <f t="shared" si="154"/>
        <v>0</v>
      </c>
      <c r="AG110" s="484">
        <f t="shared" si="155"/>
        <v>-58.7</v>
      </c>
      <c r="AH110" s="381">
        <f t="shared" si="156"/>
        <v>4417.54</v>
      </c>
      <c r="AI110" s="483">
        <f t="shared" si="157"/>
        <v>8511.6200000000008</v>
      </c>
      <c r="AJ110" s="483">
        <f t="shared" si="158"/>
        <v>10097.969999999999</v>
      </c>
      <c r="AK110" s="83"/>
      <c r="AL110" s="114">
        <f t="shared" si="159"/>
        <v>3999.9</v>
      </c>
      <c r="AM110" s="497">
        <f t="shared" si="145"/>
        <v>5940.69</v>
      </c>
      <c r="AN110" s="192">
        <f t="shared" si="160"/>
        <v>0</v>
      </c>
      <c r="AO110" s="114">
        <f t="shared" si="161"/>
        <v>-448.49</v>
      </c>
      <c r="AP110" s="137">
        <f t="shared" si="162"/>
        <v>0</v>
      </c>
      <c r="AQ110" s="137">
        <f t="shared" si="163"/>
        <v>94.18</v>
      </c>
      <c r="AR110" s="84">
        <f t="shared" si="164"/>
        <v>94.18</v>
      </c>
      <c r="AS110" s="84">
        <f t="shared" si="165"/>
        <v>0</v>
      </c>
      <c r="AT110" s="84">
        <f t="shared" si="166"/>
        <v>0</v>
      </c>
      <c r="AU110" s="84">
        <f t="shared" si="167"/>
        <v>0</v>
      </c>
      <c r="AV110" s="84">
        <f t="shared" si="168"/>
        <v>0</v>
      </c>
      <c r="AW110" s="487">
        <v>4150.2299999999996</v>
      </c>
      <c r="AX110" s="137">
        <f t="shared" si="169"/>
        <v>210.27</v>
      </c>
      <c r="AY110" s="137">
        <f t="shared" si="170"/>
        <v>0</v>
      </c>
      <c r="AZ110" s="137">
        <f t="shared" si="171"/>
        <v>126.16</v>
      </c>
      <c r="BA110" s="137">
        <f t="shared" si="172"/>
        <v>-7.6</v>
      </c>
      <c r="BB110" s="137">
        <f t="shared" si="173"/>
        <v>-2.82</v>
      </c>
      <c r="BC110" s="84">
        <f t="shared" si="174"/>
        <v>326.01</v>
      </c>
      <c r="BD110" s="84">
        <f t="shared" si="175"/>
        <v>-58.7</v>
      </c>
      <c r="BE110" s="84">
        <f t="shared" si="176"/>
        <v>0</v>
      </c>
      <c r="BF110" s="116">
        <f t="shared" si="177"/>
        <v>-58.7</v>
      </c>
      <c r="BG110" s="496">
        <f t="shared" si="178"/>
        <v>5586.38</v>
      </c>
      <c r="BH110" s="496">
        <f t="shared" si="179"/>
        <v>4417.54</v>
      </c>
      <c r="BI110" s="496">
        <f t="shared" si="180"/>
        <v>10003.92</v>
      </c>
    </row>
    <row r="111" spans="1:61" s="480" customFormat="1" ht="16.149999999999999" customHeight="1">
      <c r="A111" s="495" t="s">
        <v>195</v>
      </c>
      <c r="B111" s="494" t="s">
        <v>461</v>
      </c>
      <c r="C111" s="493" t="s">
        <v>62</v>
      </c>
      <c r="D111" s="385" t="s">
        <v>12</v>
      </c>
      <c r="E111" s="314">
        <v>16072</v>
      </c>
      <c r="F111" s="500">
        <v>10</v>
      </c>
      <c r="G111" s="491">
        <v>1999.91</v>
      </c>
      <c r="H111" s="485">
        <v>0</v>
      </c>
      <c r="I111" s="490">
        <f t="shared" si="147"/>
        <v>1999.91</v>
      </c>
      <c r="J111" s="489">
        <f t="shared" si="139"/>
        <v>3.7382800000000001E-3</v>
      </c>
      <c r="K111" s="484">
        <f t="shared" si="140"/>
        <v>-224.24</v>
      </c>
      <c r="L111" s="484">
        <f t="shared" si="138"/>
        <v>0</v>
      </c>
      <c r="M111" s="484">
        <f t="shared" si="141"/>
        <v>47.09</v>
      </c>
      <c r="N111" s="485">
        <f t="shared" si="148"/>
        <v>47.09</v>
      </c>
      <c r="O111" s="485">
        <f t="shared" si="137"/>
        <v>0</v>
      </c>
      <c r="P111" s="485">
        <f t="shared" si="137"/>
        <v>0</v>
      </c>
      <c r="Q111" s="485">
        <f t="shared" si="149"/>
        <v>0</v>
      </c>
      <c r="R111" s="484">
        <f t="shared" si="150"/>
        <v>0</v>
      </c>
      <c r="S111" s="485">
        <f t="shared" si="151"/>
        <v>2047</v>
      </c>
      <c r="T111" s="488">
        <f t="shared" si="142"/>
        <v>2445.06</v>
      </c>
      <c r="U111" s="487">
        <v>1596.91</v>
      </c>
      <c r="V111" s="486">
        <f t="shared" si="152"/>
        <v>3.7382800000000001E-3</v>
      </c>
      <c r="W111" s="484">
        <f t="shared" si="143"/>
        <v>105.14</v>
      </c>
      <c r="X111" s="484">
        <v>0</v>
      </c>
      <c r="Y111" s="484">
        <f t="shared" si="146"/>
        <v>63.08</v>
      </c>
      <c r="Z111" s="484">
        <f t="shared" si="146"/>
        <v>-3.8</v>
      </c>
      <c r="AA111" s="484">
        <f t="shared" si="146"/>
        <v>-1.41</v>
      </c>
      <c r="AB111" s="485">
        <f t="shared" si="153"/>
        <v>163.01</v>
      </c>
      <c r="AC111" s="485">
        <f t="shared" si="144"/>
        <v>-29.35</v>
      </c>
      <c r="AD111" s="498">
        <f>(F111/F$184)*AD$184</f>
        <v>-41.12</v>
      </c>
      <c r="AE111" s="498">
        <v>0</v>
      </c>
      <c r="AF111" s="485">
        <f t="shared" si="154"/>
        <v>-41.12</v>
      </c>
      <c r="AG111" s="484">
        <f t="shared" si="155"/>
        <v>-70.47</v>
      </c>
      <c r="AH111" s="381">
        <f t="shared" si="156"/>
        <v>1689.45</v>
      </c>
      <c r="AI111" s="483">
        <f t="shared" si="157"/>
        <v>3736.45</v>
      </c>
      <c r="AJ111" s="483">
        <f t="shared" si="158"/>
        <v>4432.83</v>
      </c>
      <c r="AK111" s="83"/>
      <c r="AL111" s="114">
        <f t="shared" si="159"/>
        <v>1999.91</v>
      </c>
      <c r="AM111" s="497">
        <f t="shared" si="145"/>
        <v>2970.29</v>
      </c>
      <c r="AN111" s="192">
        <f t="shared" si="160"/>
        <v>0</v>
      </c>
      <c r="AO111" s="114">
        <f t="shared" si="161"/>
        <v>-224.24</v>
      </c>
      <c r="AP111" s="137">
        <f t="shared" si="162"/>
        <v>0</v>
      </c>
      <c r="AQ111" s="137">
        <f t="shared" si="163"/>
        <v>47.09</v>
      </c>
      <c r="AR111" s="84">
        <f t="shared" si="164"/>
        <v>47.09</v>
      </c>
      <c r="AS111" s="84">
        <f t="shared" si="165"/>
        <v>0</v>
      </c>
      <c r="AT111" s="84">
        <f t="shared" si="166"/>
        <v>0</v>
      </c>
      <c r="AU111" s="84">
        <f t="shared" si="167"/>
        <v>0</v>
      </c>
      <c r="AV111" s="84">
        <f t="shared" si="168"/>
        <v>0</v>
      </c>
      <c r="AW111" s="487">
        <v>1596.91</v>
      </c>
      <c r="AX111" s="137">
        <f t="shared" si="169"/>
        <v>105.14</v>
      </c>
      <c r="AY111" s="137">
        <f t="shared" si="170"/>
        <v>0</v>
      </c>
      <c r="AZ111" s="137">
        <f t="shared" si="171"/>
        <v>63.08</v>
      </c>
      <c r="BA111" s="137">
        <f t="shared" si="172"/>
        <v>-3.8</v>
      </c>
      <c r="BB111" s="137">
        <f t="shared" si="173"/>
        <v>-1.41</v>
      </c>
      <c r="BC111" s="84">
        <f t="shared" si="174"/>
        <v>163.01</v>
      </c>
      <c r="BD111" s="84">
        <f t="shared" si="175"/>
        <v>-29.35</v>
      </c>
      <c r="BE111" s="84">
        <f t="shared" si="176"/>
        <v>-41.12</v>
      </c>
      <c r="BF111" s="116">
        <f t="shared" si="177"/>
        <v>-70.47</v>
      </c>
      <c r="BG111" s="496">
        <f t="shared" si="178"/>
        <v>2793.14</v>
      </c>
      <c r="BH111" s="496">
        <f t="shared" si="179"/>
        <v>1689.45</v>
      </c>
      <c r="BI111" s="496">
        <f t="shared" si="180"/>
        <v>4482.59</v>
      </c>
    </row>
    <row r="112" spans="1:61" s="480" customFormat="1" ht="16.149999999999999" customHeight="1">
      <c r="A112" s="495" t="s">
        <v>195</v>
      </c>
      <c r="B112" s="494" t="s">
        <v>298</v>
      </c>
      <c r="C112" s="493" t="s">
        <v>62</v>
      </c>
      <c r="D112" s="385" t="s">
        <v>12</v>
      </c>
      <c r="E112" s="314">
        <v>19725</v>
      </c>
      <c r="F112" s="500">
        <v>2</v>
      </c>
      <c r="G112" s="491">
        <v>1999.91</v>
      </c>
      <c r="H112" s="485">
        <v>0</v>
      </c>
      <c r="I112" s="490">
        <f t="shared" si="147"/>
        <v>1999.91</v>
      </c>
      <c r="J112" s="489">
        <f t="shared" si="139"/>
        <v>3.7382800000000001E-3</v>
      </c>
      <c r="K112" s="484">
        <f t="shared" si="140"/>
        <v>-224.24</v>
      </c>
      <c r="L112" s="484">
        <f t="shared" si="138"/>
        <v>0</v>
      </c>
      <c r="M112" s="484">
        <f t="shared" si="141"/>
        <v>47.09</v>
      </c>
      <c r="N112" s="485">
        <f t="shared" si="148"/>
        <v>47.09</v>
      </c>
      <c r="O112" s="485">
        <f t="shared" ref="O112:P131" si="181">$J112*O$184</f>
        <v>0</v>
      </c>
      <c r="P112" s="485">
        <f t="shared" si="181"/>
        <v>0</v>
      </c>
      <c r="Q112" s="485">
        <f t="shared" si="149"/>
        <v>0</v>
      </c>
      <c r="R112" s="484">
        <f t="shared" si="150"/>
        <v>0</v>
      </c>
      <c r="S112" s="485">
        <f t="shared" si="151"/>
        <v>2047</v>
      </c>
      <c r="T112" s="488">
        <f t="shared" si="142"/>
        <v>2445.06</v>
      </c>
      <c r="U112" s="487">
        <v>1979.45</v>
      </c>
      <c r="V112" s="486">
        <f t="shared" si="152"/>
        <v>3.7382800000000001E-3</v>
      </c>
      <c r="W112" s="484">
        <f t="shared" si="143"/>
        <v>105.14</v>
      </c>
      <c r="X112" s="484">
        <v>0</v>
      </c>
      <c r="Y112" s="484">
        <f t="shared" si="146"/>
        <v>63.08</v>
      </c>
      <c r="Z112" s="484">
        <f t="shared" si="146"/>
        <v>-3.8</v>
      </c>
      <c r="AA112" s="484">
        <f t="shared" si="146"/>
        <v>-1.41</v>
      </c>
      <c r="AB112" s="485">
        <f t="shared" si="153"/>
        <v>163.01</v>
      </c>
      <c r="AC112" s="485">
        <f t="shared" si="144"/>
        <v>-29.35</v>
      </c>
      <c r="AD112" s="498">
        <f>(F112/F$184)*AD$184</f>
        <v>-8.2200000000000006</v>
      </c>
      <c r="AE112" s="498">
        <v>0</v>
      </c>
      <c r="AF112" s="485">
        <f t="shared" si="154"/>
        <v>-8.2200000000000006</v>
      </c>
      <c r="AG112" s="484">
        <f t="shared" si="155"/>
        <v>-37.57</v>
      </c>
      <c r="AH112" s="381">
        <f t="shared" si="156"/>
        <v>2104.89</v>
      </c>
      <c r="AI112" s="483">
        <f t="shared" si="157"/>
        <v>4151.8900000000003</v>
      </c>
      <c r="AJ112" s="483">
        <f t="shared" si="158"/>
        <v>4925.7</v>
      </c>
      <c r="AK112" s="83"/>
      <c r="AL112" s="114">
        <f t="shared" si="159"/>
        <v>1999.91</v>
      </c>
      <c r="AM112" s="497">
        <f t="shared" si="145"/>
        <v>2970.29</v>
      </c>
      <c r="AN112" s="192">
        <f t="shared" si="160"/>
        <v>0</v>
      </c>
      <c r="AO112" s="114">
        <f t="shared" si="161"/>
        <v>-224.24</v>
      </c>
      <c r="AP112" s="137">
        <f t="shared" si="162"/>
        <v>0</v>
      </c>
      <c r="AQ112" s="137">
        <f t="shared" si="163"/>
        <v>47.09</v>
      </c>
      <c r="AR112" s="84">
        <f t="shared" si="164"/>
        <v>47.09</v>
      </c>
      <c r="AS112" s="84">
        <f t="shared" si="165"/>
        <v>0</v>
      </c>
      <c r="AT112" s="84">
        <f t="shared" si="166"/>
        <v>0</v>
      </c>
      <c r="AU112" s="84">
        <f t="shared" si="167"/>
        <v>0</v>
      </c>
      <c r="AV112" s="84">
        <f t="shared" si="168"/>
        <v>0</v>
      </c>
      <c r="AW112" s="487">
        <v>1979.45</v>
      </c>
      <c r="AX112" s="137">
        <f t="shared" si="169"/>
        <v>105.14</v>
      </c>
      <c r="AY112" s="137">
        <f t="shared" si="170"/>
        <v>0</v>
      </c>
      <c r="AZ112" s="137">
        <f t="shared" si="171"/>
        <v>63.08</v>
      </c>
      <c r="BA112" s="137">
        <f t="shared" si="172"/>
        <v>-3.8</v>
      </c>
      <c r="BB112" s="137">
        <f t="shared" si="173"/>
        <v>-1.41</v>
      </c>
      <c r="BC112" s="84">
        <f t="shared" si="174"/>
        <v>163.01</v>
      </c>
      <c r="BD112" s="84">
        <f t="shared" si="175"/>
        <v>-29.35</v>
      </c>
      <c r="BE112" s="84">
        <f t="shared" si="176"/>
        <v>-8.2200000000000006</v>
      </c>
      <c r="BF112" s="116">
        <f t="shared" si="177"/>
        <v>-37.57</v>
      </c>
      <c r="BG112" s="496">
        <f t="shared" si="178"/>
        <v>2793.14</v>
      </c>
      <c r="BH112" s="496">
        <f t="shared" si="179"/>
        <v>2104.89</v>
      </c>
      <c r="BI112" s="496">
        <f t="shared" si="180"/>
        <v>4898.03</v>
      </c>
    </row>
    <row r="113" spans="1:61" s="480" customFormat="1" ht="16.149999999999999" customHeight="1">
      <c r="A113" s="495" t="s">
        <v>195</v>
      </c>
      <c r="B113" s="494" t="s">
        <v>340</v>
      </c>
      <c r="C113" s="493" t="s">
        <v>62</v>
      </c>
      <c r="D113" s="385" t="s">
        <v>12</v>
      </c>
      <c r="E113" s="314">
        <v>19725</v>
      </c>
      <c r="F113" s="500">
        <v>10</v>
      </c>
      <c r="G113" s="491">
        <v>7999.65</v>
      </c>
      <c r="H113" s="485">
        <v>0</v>
      </c>
      <c r="I113" s="490">
        <f t="shared" si="147"/>
        <v>7999.65</v>
      </c>
      <c r="J113" s="489">
        <f t="shared" si="139"/>
        <v>1.495314E-2</v>
      </c>
      <c r="K113" s="484">
        <f t="shared" si="140"/>
        <v>-896.97</v>
      </c>
      <c r="L113" s="484">
        <f t="shared" si="138"/>
        <v>0</v>
      </c>
      <c r="M113" s="484">
        <f t="shared" si="141"/>
        <v>188.36</v>
      </c>
      <c r="N113" s="485">
        <f t="shared" si="148"/>
        <v>188.36</v>
      </c>
      <c r="O113" s="485">
        <f t="shared" si="181"/>
        <v>0</v>
      </c>
      <c r="P113" s="485">
        <f t="shared" si="181"/>
        <v>0</v>
      </c>
      <c r="Q113" s="485">
        <f t="shared" si="149"/>
        <v>0</v>
      </c>
      <c r="R113" s="484">
        <f t="shared" si="150"/>
        <v>0</v>
      </c>
      <c r="S113" s="485">
        <f t="shared" si="151"/>
        <v>8188.01</v>
      </c>
      <c r="T113" s="488">
        <f t="shared" si="142"/>
        <v>9780.24</v>
      </c>
      <c r="U113" s="487">
        <v>7822.1</v>
      </c>
      <c r="V113" s="486">
        <f t="shared" si="152"/>
        <v>1.495314E-2</v>
      </c>
      <c r="W113" s="484">
        <f t="shared" si="143"/>
        <v>420.54</v>
      </c>
      <c r="X113" s="484">
        <v>0</v>
      </c>
      <c r="Y113" s="484">
        <f t="shared" si="146"/>
        <v>252.32</v>
      </c>
      <c r="Z113" s="484">
        <f t="shared" si="146"/>
        <v>-15.2</v>
      </c>
      <c r="AA113" s="484">
        <f t="shared" si="146"/>
        <v>-5.63</v>
      </c>
      <c r="AB113" s="485">
        <f t="shared" si="153"/>
        <v>652.03</v>
      </c>
      <c r="AC113" s="485">
        <f t="shared" si="144"/>
        <v>-117.39</v>
      </c>
      <c r="AD113" s="498">
        <f>(F113/F$184)*AD$184</f>
        <v>-41.12</v>
      </c>
      <c r="AE113" s="498">
        <v>0</v>
      </c>
      <c r="AF113" s="485">
        <f t="shared" si="154"/>
        <v>-41.12</v>
      </c>
      <c r="AG113" s="484">
        <f t="shared" si="155"/>
        <v>-158.51</v>
      </c>
      <c r="AH113" s="381">
        <f t="shared" si="156"/>
        <v>8315.6200000000008</v>
      </c>
      <c r="AI113" s="483">
        <f t="shared" si="157"/>
        <v>16503.63</v>
      </c>
      <c r="AJ113" s="483">
        <f t="shared" si="158"/>
        <v>19579.490000000002</v>
      </c>
      <c r="AK113" s="83"/>
      <c r="AL113" s="114">
        <f t="shared" si="159"/>
        <v>7999.65</v>
      </c>
      <c r="AM113" s="497">
        <f t="shared" si="145"/>
        <v>11881.16</v>
      </c>
      <c r="AN113" s="192">
        <f t="shared" si="160"/>
        <v>0</v>
      </c>
      <c r="AO113" s="114">
        <f t="shared" si="161"/>
        <v>-896.97</v>
      </c>
      <c r="AP113" s="137">
        <f t="shared" si="162"/>
        <v>0</v>
      </c>
      <c r="AQ113" s="137">
        <f t="shared" si="163"/>
        <v>188.36</v>
      </c>
      <c r="AR113" s="84">
        <f t="shared" si="164"/>
        <v>188.36</v>
      </c>
      <c r="AS113" s="84">
        <f t="shared" si="165"/>
        <v>0</v>
      </c>
      <c r="AT113" s="84">
        <f t="shared" si="166"/>
        <v>0</v>
      </c>
      <c r="AU113" s="84">
        <f t="shared" si="167"/>
        <v>0</v>
      </c>
      <c r="AV113" s="84">
        <f t="shared" si="168"/>
        <v>0</v>
      </c>
      <c r="AW113" s="487">
        <v>7822.1</v>
      </c>
      <c r="AX113" s="137">
        <f t="shared" si="169"/>
        <v>420.54</v>
      </c>
      <c r="AY113" s="137">
        <f t="shared" si="170"/>
        <v>0</v>
      </c>
      <c r="AZ113" s="137">
        <f t="shared" si="171"/>
        <v>252.32</v>
      </c>
      <c r="BA113" s="137">
        <f t="shared" si="172"/>
        <v>-15.2</v>
      </c>
      <c r="BB113" s="137">
        <f t="shared" si="173"/>
        <v>-5.63</v>
      </c>
      <c r="BC113" s="84">
        <f t="shared" si="174"/>
        <v>652.03</v>
      </c>
      <c r="BD113" s="84">
        <f t="shared" si="175"/>
        <v>-117.39</v>
      </c>
      <c r="BE113" s="84">
        <f t="shared" si="176"/>
        <v>-41.12</v>
      </c>
      <c r="BF113" s="116">
        <f t="shared" si="177"/>
        <v>-158.51</v>
      </c>
      <c r="BG113" s="496">
        <f t="shared" si="178"/>
        <v>11172.55</v>
      </c>
      <c r="BH113" s="496">
        <f t="shared" si="179"/>
        <v>8315.6200000000008</v>
      </c>
      <c r="BI113" s="496">
        <f t="shared" si="180"/>
        <v>19488.169999999998</v>
      </c>
    </row>
    <row r="114" spans="1:61" s="480" customFormat="1" ht="16.149999999999999" customHeight="1">
      <c r="A114" s="495" t="s">
        <v>195</v>
      </c>
      <c r="B114" s="494" t="s">
        <v>359</v>
      </c>
      <c r="C114" s="615" t="s">
        <v>63</v>
      </c>
      <c r="D114" s="385" t="s">
        <v>12</v>
      </c>
      <c r="E114" s="314">
        <v>6211</v>
      </c>
      <c r="F114" s="499"/>
      <c r="G114" s="491">
        <v>9999.81</v>
      </c>
      <c r="H114" s="485">
        <v>0</v>
      </c>
      <c r="I114" s="490">
        <f t="shared" si="147"/>
        <v>9999.81</v>
      </c>
      <c r="J114" s="489">
        <f t="shared" si="139"/>
        <v>1.8691889999999999E-2</v>
      </c>
      <c r="K114" s="484">
        <f t="shared" si="140"/>
        <v>-1121.24</v>
      </c>
      <c r="L114" s="484">
        <f t="shared" si="138"/>
        <v>0</v>
      </c>
      <c r="M114" s="484">
        <f t="shared" si="141"/>
        <v>235.45</v>
      </c>
      <c r="N114" s="485">
        <f t="shared" si="148"/>
        <v>235.45</v>
      </c>
      <c r="O114" s="485">
        <f t="shared" si="181"/>
        <v>0</v>
      </c>
      <c r="P114" s="485">
        <f t="shared" si="181"/>
        <v>0</v>
      </c>
      <c r="Q114" s="485">
        <f t="shared" si="149"/>
        <v>0</v>
      </c>
      <c r="R114" s="484">
        <f t="shared" si="150"/>
        <v>0</v>
      </c>
      <c r="S114" s="485">
        <f t="shared" si="151"/>
        <v>10235.26</v>
      </c>
      <c r="T114" s="488">
        <f t="shared" si="142"/>
        <v>12225.6</v>
      </c>
      <c r="U114" s="487">
        <v>10375.629999999999</v>
      </c>
      <c r="V114" s="486">
        <f t="shared" si="152"/>
        <v>1.8691889999999999E-2</v>
      </c>
      <c r="W114" s="484">
        <f t="shared" si="143"/>
        <v>525.69000000000005</v>
      </c>
      <c r="X114" s="484">
        <v>0</v>
      </c>
      <c r="Y114" s="484">
        <f t="shared" si="146"/>
        <v>315.41000000000003</v>
      </c>
      <c r="Z114" s="484">
        <f t="shared" si="146"/>
        <v>-19</v>
      </c>
      <c r="AA114" s="484">
        <f t="shared" si="146"/>
        <v>-7.04</v>
      </c>
      <c r="AB114" s="485">
        <f t="shared" si="153"/>
        <v>815.06</v>
      </c>
      <c r="AC114" s="485">
        <f t="shared" si="144"/>
        <v>-146.74</v>
      </c>
      <c r="AD114" s="498">
        <v>0</v>
      </c>
      <c r="AE114" s="498">
        <v>0</v>
      </c>
      <c r="AF114" s="485">
        <f t="shared" si="154"/>
        <v>0</v>
      </c>
      <c r="AG114" s="484">
        <f t="shared" si="155"/>
        <v>-146.74</v>
      </c>
      <c r="AH114" s="381">
        <f t="shared" si="156"/>
        <v>11043.95</v>
      </c>
      <c r="AI114" s="483">
        <f t="shared" si="157"/>
        <v>21279.21</v>
      </c>
      <c r="AJ114" s="483">
        <f>((AI114/AI$184)*AJ$184)+0.01</f>
        <v>25245.13</v>
      </c>
      <c r="AK114" s="83"/>
      <c r="AL114" s="114">
        <f t="shared" si="159"/>
        <v>9999.81</v>
      </c>
      <c r="AM114" s="497">
        <f t="shared" si="145"/>
        <v>14851.82</v>
      </c>
      <c r="AN114" s="192">
        <f t="shared" si="160"/>
        <v>0</v>
      </c>
      <c r="AO114" s="114">
        <f t="shared" si="161"/>
        <v>-1121.24</v>
      </c>
      <c r="AP114" s="137">
        <f t="shared" si="162"/>
        <v>0</v>
      </c>
      <c r="AQ114" s="137">
        <f t="shared" si="163"/>
        <v>235.45</v>
      </c>
      <c r="AR114" s="84">
        <f t="shared" si="164"/>
        <v>235.45</v>
      </c>
      <c r="AS114" s="84">
        <f t="shared" si="165"/>
        <v>0</v>
      </c>
      <c r="AT114" s="84">
        <f t="shared" si="166"/>
        <v>0</v>
      </c>
      <c r="AU114" s="84">
        <f t="shared" si="167"/>
        <v>0</v>
      </c>
      <c r="AV114" s="84">
        <f t="shared" si="168"/>
        <v>0</v>
      </c>
      <c r="AW114" s="487">
        <v>10375.629999999999</v>
      </c>
      <c r="AX114" s="137">
        <f t="shared" si="169"/>
        <v>525.69000000000005</v>
      </c>
      <c r="AY114" s="137">
        <f t="shared" si="170"/>
        <v>0</v>
      </c>
      <c r="AZ114" s="137">
        <f t="shared" si="171"/>
        <v>315.41000000000003</v>
      </c>
      <c r="BA114" s="137">
        <f t="shared" si="172"/>
        <v>-19</v>
      </c>
      <c r="BB114" s="137">
        <f t="shared" si="173"/>
        <v>-7.04</v>
      </c>
      <c r="BC114" s="84">
        <f t="shared" si="174"/>
        <v>815.06</v>
      </c>
      <c r="BD114" s="84">
        <f t="shared" si="175"/>
        <v>-146.74</v>
      </c>
      <c r="BE114" s="84">
        <f t="shared" si="176"/>
        <v>0</v>
      </c>
      <c r="BF114" s="116">
        <f t="shared" si="177"/>
        <v>-146.74</v>
      </c>
      <c r="BG114" s="496">
        <f t="shared" si="178"/>
        <v>13966.03</v>
      </c>
      <c r="BH114" s="496">
        <f t="shared" si="179"/>
        <v>11043.95</v>
      </c>
      <c r="BI114" s="496">
        <f t="shared" si="180"/>
        <v>25009.98</v>
      </c>
    </row>
    <row r="115" spans="1:61" s="480" customFormat="1" ht="16.149999999999999" customHeight="1">
      <c r="A115" s="495" t="s">
        <v>195</v>
      </c>
      <c r="B115" s="494" t="s">
        <v>299</v>
      </c>
      <c r="C115" s="493" t="s">
        <v>62</v>
      </c>
      <c r="D115" s="385" t="s">
        <v>12</v>
      </c>
      <c r="E115" s="314">
        <v>8767</v>
      </c>
      <c r="F115" s="500">
        <v>10</v>
      </c>
      <c r="G115" s="491">
        <v>1999.91</v>
      </c>
      <c r="H115" s="485">
        <v>0</v>
      </c>
      <c r="I115" s="490">
        <f t="shared" si="147"/>
        <v>1999.91</v>
      </c>
      <c r="J115" s="489">
        <f t="shared" si="139"/>
        <v>3.7382800000000001E-3</v>
      </c>
      <c r="K115" s="484">
        <f t="shared" si="140"/>
        <v>-224.24</v>
      </c>
      <c r="L115" s="484">
        <f t="shared" si="138"/>
        <v>0</v>
      </c>
      <c r="M115" s="484">
        <f t="shared" si="141"/>
        <v>47.09</v>
      </c>
      <c r="N115" s="485">
        <f t="shared" si="148"/>
        <v>47.09</v>
      </c>
      <c r="O115" s="485">
        <f t="shared" si="181"/>
        <v>0</v>
      </c>
      <c r="P115" s="485">
        <f t="shared" si="181"/>
        <v>0</v>
      </c>
      <c r="Q115" s="485">
        <f t="shared" si="149"/>
        <v>0</v>
      </c>
      <c r="R115" s="484">
        <f t="shared" si="150"/>
        <v>0</v>
      </c>
      <c r="S115" s="485">
        <f t="shared" si="151"/>
        <v>2047</v>
      </c>
      <c r="T115" s="488">
        <f t="shared" si="142"/>
        <v>2445.06</v>
      </c>
      <c r="U115" s="487">
        <v>1596.91</v>
      </c>
      <c r="V115" s="486">
        <f t="shared" si="152"/>
        <v>3.7382800000000001E-3</v>
      </c>
      <c r="W115" s="484">
        <f t="shared" si="143"/>
        <v>105.14</v>
      </c>
      <c r="X115" s="484">
        <v>0</v>
      </c>
      <c r="Y115" s="484">
        <f t="shared" si="146"/>
        <v>63.08</v>
      </c>
      <c r="Z115" s="484">
        <f t="shared" si="146"/>
        <v>-3.8</v>
      </c>
      <c r="AA115" s="484">
        <f t="shared" si="146"/>
        <v>-1.41</v>
      </c>
      <c r="AB115" s="485">
        <f t="shared" si="153"/>
        <v>163.01</v>
      </c>
      <c r="AC115" s="485">
        <f t="shared" si="144"/>
        <v>-29.35</v>
      </c>
      <c r="AD115" s="498">
        <f>(F115/F$184)*AD$184</f>
        <v>-41.12</v>
      </c>
      <c r="AE115" s="498">
        <v>0</v>
      </c>
      <c r="AF115" s="485">
        <f t="shared" si="154"/>
        <v>-41.12</v>
      </c>
      <c r="AG115" s="484">
        <f t="shared" si="155"/>
        <v>-70.47</v>
      </c>
      <c r="AH115" s="381">
        <f t="shared" si="156"/>
        <v>1689.45</v>
      </c>
      <c r="AI115" s="483">
        <f t="shared" si="157"/>
        <v>3736.45</v>
      </c>
      <c r="AJ115" s="483">
        <f t="shared" ref="AJ115:AJ146" si="182">(AI115/AI$184)*AJ$184</f>
        <v>4432.83</v>
      </c>
      <c r="AK115" s="83"/>
      <c r="AL115" s="114">
        <f t="shared" si="159"/>
        <v>1999.91</v>
      </c>
      <c r="AM115" s="497">
        <f t="shared" si="145"/>
        <v>2970.29</v>
      </c>
      <c r="AN115" s="192">
        <f t="shared" si="160"/>
        <v>0</v>
      </c>
      <c r="AO115" s="114">
        <f t="shared" si="161"/>
        <v>-224.24</v>
      </c>
      <c r="AP115" s="137">
        <f t="shared" si="162"/>
        <v>0</v>
      </c>
      <c r="AQ115" s="137">
        <f t="shared" si="163"/>
        <v>47.09</v>
      </c>
      <c r="AR115" s="84">
        <f t="shared" si="164"/>
        <v>47.09</v>
      </c>
      <c r="AS115" s="84">
        <f t="shared" si="165"/>
        <v>0</v>
      </c>
      <c r="AT115" s="84">
        <f t="shared" si="166"/>
        <v>0</v>
      </c>
      <c r="AU115" s="84">
        <f t="shared" si="167"/>
        <v>0</v>
      </c>
      <c r="AV115" s="84">
        <f t="shared" si="168"/>
        <v>0</v>
      </c>
      <c r="AW115" s="487">
        <v>1596.91</v>
      </c>
      <c r="AX115" s="137">
        <f t="shared" si="169"/>
        <v>105.14</v>
      </c>
      <c r="AY115" s="137">
        <f t="shared" si="170"/>
        <v>0</v>
      </c>
      <c r="AZ115" s="137">
        <f t="shared" si="171"/>
        <v>63.08</v>
      </c>
      <c r="BA115" s="137">
        <f t="shared" si="172"/>
        <v>-3.8</v>
      </c>
      <c r="BB115" s="137">
        <f t="shared" si="173"/>
        <v>-1.41</v>
      </c>
      <c r="BC115" s="84">
        <f t="shared" si="174"/>
        <v>163.01</v>
      </c>
      <c r="BD115" s="84">
        <f t="shared" si="175"/>
        <v>-29.35</v>
      </c>
      <c r="BE115" s="84">
        <f t="shared" si="176"/>
        <v>-41.12</v>
      </c>
      <c r="BF115" s="116">
        <f t="shared" si="177"/>
        <v>-70.47</v>
      </c>
      <c r="BG115" s="496">
        <f t="shared" si="178"/>
        <v>2793.14</v>
      </c>
      <c r="BH115" s="496">
        <f t="shared" si="179"/>
        <v>1689.45</v>
      </c>
      <c r="BI115" s="496">
        <f t="shared" si="180"/>
        <v>4482.59</v>
      </c>
    </row>
    <row r="116" spans="1:61" s="480" customFormat="1" ht="16.149999999999999" customHeight="1">
      <c r="A116" s="495" t="s">
        <v>195</v>
      </c>
      <c r="B116" s="494" t="s">
        <v>301</v>
      </c>
      <c r="C116" s="493" t="s">
        <v>62</v>
      </c>
      <c r="D116" s="385" t="s">
        <v>12</v>
      </c>
      <c r="E116" s="314">
        <v>10594</v>
      </c>
      <c r="F116" s="500">
        <v>10</v>
      </c>
      <c r="G116" s="491">
        <v>3999.94</v>
      </c>
      <c r="H116" s="485">
        <v>0</v>
      </c>
      <c r="I116" s="490">
        <f t="shared" si="147"/>
        <v>3999.94</v>
      </c>
      <c r="J116" s="489">
        <f t="shared" si="139"/>
        <v>7.4767899999999997E-3</v>
      </c>
      <c r="K116" s="484">
        <f t="shared" si="140"/>
        <v>-448.5</v>
      </c>
      <c r="L116" s="484">
        <f t="shared" si="138"/>
        <v>0</v>
      </c>
      <c r="M116" s="484">
        <f t="shared" si="141"/>
        <v>94.18</v>
      </c>
      <c r="N116" s="485">
        <f t="shared" si="148"/>
        <v>94.18</v>
      </c>
      <c r="O116" s="485">
        <f t="shared" si="181"/>
        <v>0</v>
      </c>
      <c r="P116" s="485">
        <f t="shared" si="181"/>
        <v>0</v>
      </c>
      <c r="Q116" s="485">
        <f t="shared" si="149"/>
        <v>0</v>
      </c>
      <c r="R116" s="484">
        <f t="shared" si="150"/>
        <v>0</v>
      </c>
      <c r="S116" s="485">
        <f t="shared" si="151"/>
        <v>4094.12</v>
      </c>
      <c r="T116" s="488">
        <f t="shared" si="142"/>
        <v>4890.26</v>
      </c>
      <c r="U116" s="487">
        <v>3672.04</v>
      </c>
      <c r="V116" s="486">
        <f t="shared" si="152"/>
        <v>7.4767899999999997E-3</v>
      </c>
      <c r="W116" s="484">
        <f t="shared" si="143"/>
        <v>210.28</v>
      </c>
      <c r="X116" s="484">
        <v>0</v>
      </c>
      <c r="Y116" s="484">
        <f t="shared" si="146"/>
        <v>126.17</v>
      </c>
      <c r="Z116" s="484">
        <f t="shared" si="146"/>
        <v>-7.6</v>
      </c>
      <c r="AA116" s="484">
        <f t="shared" si="146"/>
        <v>-2.82</v>
      </c>
      <c r="AB116" s="485">
        <f t="shared" si="153"/>
        <v>326.02999999999997</v>
      </c>
      <c r="AC116" s="485">
        <f t="shared" si="144"/>
        <v>-58.7</v>
      </c>
      <c r="AD116" s="498">
        <f>(F116/F$184)*AD$184</f>
        <v>-41.12</v>
      </c>
      <c r="AE116" s="498">
        <v>0</v>
      </c>
      <c r="AF116" s="485">
        <f t="shared" si="154"/>
        <v>-41.12</v>
      </c>
      <c r="AG116" s="484">
        <f t="shared" si="155"/>
        <v>-99.82</v>
      </c>
      <c r="AH116" s="381">
        <f t="shared" si="156"/>
        <v>3898.25</v>
      </c>
      <c r="AI116" s="483">
        <f t="shared" si="157"/>
        <v>7992.37</v>
      </c>
      <c r="AJ116" s="483">
        <f t="shared" si="182"/>
        <v>9481.9500000000007</v>
      </c>
      <c r="AK116" s="83"/>
      <c r="AL116" s="114">
        <f t="shared" si="159"/>
        <v>3999.94</v>
      </c>
      <c r="AM116" s="497">
        <f t="shared" si="145"/>
        <v>5940.75</v>
      </c>
      <c r="AN116" s="192">
        <f t="shared" si="160"/>
        <v>0</v>
      </c>
      <c r="AO116" s="114">
        <f t="shared" si="161"/>
        <v>-448.5</v>
      </c>
      <c r="AP116" s="137">
        <f t="shared" si="162"/>
        <v>0</v>
      </c>
      <c r="AQ116" s="137">
        <f t="shared" si="163"/>
        <v>94.18</v>
      </c>
      <c r="AR116" s="84">
        <f t="shared" si="164"/>
        <v>94.18</v>
      </c>
      <c r="AS116" s="84">
        <f t="shared" si="165"/>
        <v>0</v>
      </c>
      <c r="AT116" s="84">
        <f t="shared" si="166"/>
        <v>0</v>
      </c>
      <c r="AU116" s="84">
        <f t="shared" si="167"/>
        <v>0</v>
      </c>
      <c r="AV116" s="84">
        <f t="shared" si="168"/>
        <v>0</v>
      </c>
      <c r="AW116" s="487">
        <v>3672.04</v>
      </c>
      <c r="AX116" s="137">
        <f t="shared" si="169"/>
        <v>210.28</v>
      </c>
      <c r="AY116" s="137">
        <f t="shared" si="170"/>
        <v>0</v>
      </c>
      <c r="AZ116" s="137">
        <f t="shared" si="171"/>
        <v>126.17</v>
      </c>
      <c r="BA116" s="137">
        <f t="shared" si="172"/>
        <v>-7.6</v>
      </c>
      <c r="BB116" s="137">
        <f t="shared" si="173"/>
        <v>-2.82</v>
      </c>
      <c r="BC116" s="84">
        <f t="shared" si="174"/>
        <v>326.02999999999997</v>
      </c>
      <c r="BD116" s="84">
        <f t="shared" si="175"/>
        <v>-58.7</v>
      </c>
      <c r="BE116" s="84">
        <f t="shared" si="176"/>
        <v>-41.12</v>
      </c>
      <c r="BF116" s="116">
        <f t="shared" si="177"/>
        <v>-99.82</v>
      </c>
      <c r="BG116" s="496">
        <f t="shared" si="178"/>
        <v>5586.43</v>
      </c>
      <c r="BH116" s="496">
        <f t="shared" si="179"/>
        <v>3898.25</v>
      </c>
      <c r="BI116" s="496">
        <f t="shared" si="180"/>
        <v>9484.68</v>
      </c>
    </row>
    <row r="117" spans="1:61" s="480" customFormat="1" ht="16.149999999999999" customHeight="1">
      <c r="A117" s="495" t="s">
        <v>195</v>
      </c>
      <c r="B117" s="494" t="s">
        <v>300</v>
      </c>
      <c r="C117" s="493" t="s">
        <v>62</v>
      </c>
      <c r="D117" s="385" t="s">
        <v>12</v>
      </c>
      <c r="E117" s="314">
        <v>9133</v>
      </c>
      <c r="F117" s="500">
        <v>10</v>
      </c>
      <c r="G117" s="491">
        <v>1999.91</v>
      </c>
      <c r="H117" s="485">
        <v>0</v>
      </c>
      <c r="I117" s="490">
        <f t="shared" si="147"/>
        <v>1999.91</v>
      </c>
      <c r="J117" s="489">
        <f t="shared" si="139"/>
        <v>3.7382800000000001E-3</v>
      </c>
      <c r="K117" s="484">
        <f t="shared" si="140"/>
        <v>-224.24</v>
      </c>
      <c r="L117" s="484">
        <f t="shared" si="138"/>
        <v>0</v>
      </c>
      <c r="M117" s="484">
        <f t="shared" si="141"/>
        <v>47.09</v>
      </c>
      <c r="N117" s="485">
        <f t="shared" si="148"/>
        <v>47.09</v>
      </c>
      <c r="O117" s="485">
        <f t="shared" si="181"/>
        <v>0</v>
      </c>
      <c r="P117" s="485">
        <f t="shared" si="181"/>
        <v>0</v>
      </c>
      <c r="Q117" s="485">
        <f t="shared" si="149"/>
        <v>0</v>
      </c>
      <c r="R117" s="484">
        <f t="shared" si="150"/>
        <v>0</v>
      </c>
      <c r="S117" s="485">
        <f t="shared" si="151"/>
        <v>2047</v>
      </c>
      <c r="T117" s="488">
        <f t="shared" si="142"/>
        <v>2445.06</v>
      </c>
      <c r="U117" s="487">
        <v>1596.91</v>
      </c>
      <c r="V117" s="486">
        <f t="shared" si="152"/>
        <v>3.7382800000000001E-3</v>
      </c>
      <c r="W117" s="484">
        <f t="shared" si="143"/>
        <v>105.14</v>
      </c>
      <c r="X117" s="484">
        <v>0</v>
      </c>
      <c r="Y117" s="484">
        <f t="shared" si="146"/>
        <v>63.08</v>
      </c>
      <c r="Z117" s="484">
        <f t="shared" si="146"/>
        <v>-3.8</v>
      </c>
      <c r="AA117" s="484">
        <f t="shared" si="146"/>
        <v>-1.41</v>
      </c>
      <c r="AB117" s="485">
        <f t="shared" si="153"/>
        <v>163.01</v>
      </c>
      <c r="AC117" s="485">
        <f t="shared" si="144"/>
        <v>-29.35</v>
      </c>
      <c r="AD117" s="498">
        <f>(F117/F$184)*AD$184</f>
        <v>-41.12</v>
      </c>
      <c r="AE117" s="498">
        <v>0</v>
      </c>
      <c r="AF117" s="485">
        <f t="shared" si="154"/>
        <v>-41.12</v>
      </c>
      <c r="AG117" s="484">
        <f t="shared" si="155"/>
        <v>-70.47</v>
      </c>
      <c r="AH117" s="381">
        <f t="shared" si="156"/>
        <v>1689.45</v>
      </c>
      <c r="AI117" s="483">
        <f t="shared" si="157"/>
        <v>3736.45</v>
      </c>
      <c r="AJ117" s="483">
        <f t="shared" si="182"/>
        <v>4432.83</v>
      </c>
      <c r="AK117" s="83"/>
      <c r="AL117" s="114">
        <f t="shared" si="159"/>
        <v>1999.91</v>
      </c>
      <c r="AM117" s="497">
        <f t="shared" si="145"/>
        <v>2970.29</v>
      </c>
      <c r="AN117" s="192">
        <f t="shared" si="160"/>
        <v>0</v>
      </c>
      <c r="AO117" s="114">
        <f t="shared" si="161"/>
        <v>-224.24</v>
      </c>
      <c r="AP117" s="137">
        <f t="shared" si="162"/>
        <v>0</v>
      </c>
      <c r="AQ117" s="137">
        <f t="shared" si="163"/>
        <v>47.09</v>
      </c>
      <c r="AR117" s="84">
        <f t="shared" si="164"/>
        <v>47.09</v>
      </c>
      <c r="AS117" s="84">
        <f t="shared" si="165"/>
        <v>0</v>
      </c>
      <c r="AT117" s="84">
        <f t="shared" si="166"/>
        <v>0</v>
      </c>
      <c r="AU117" s="84">
        <f t="shared" si="167"/>
        <v>0</v>
      </c>
      <c r="AV117" s="84">
        <f t="shared" si="168"/>
        <v>0</v>
      </c>
      <c r="AW117" s="487">
        <v>1596.91</v>
      </c>
      <c r="AX117" s="137">
        <f t="shared" si="169"/>
        <v>105.14</v>
      </c>
      <c r="AY117" s="137">
        <f t="shared" si="170"/>
        <v>0</v>
      </c>
      <c r="AZ117" s="137">
        <f t="shared" si="171"/>
        <v>63.08</v>
      </c>
      <c r="BA117" s="137">
        <f t="shared" si="172"/>
        <v>-3.8</v>
      </c>
      <c r="BB117" s="137">
        <f t="shared" si="173"/>
        <v>-1.41</v>
      </c>
      <c r="BC117" s="84">
        <f t="shared" si="174"/>
        <v>163.01</v>
      </c>
      <c r="BD117" s="84">
        <f t="shared" si="175"/>
        <v>-29.35</v>
      </c>
      <c r="BE117" s="84">
        <f t="shared" si="176"/>
        <v>-41.12</v>
      </c>
      <c r="BF117" s="116">
        <f t="shared" si="177"/>
        <v>-70.47</v>
      </c>
      <c r="BG117" s="496">
        <f t="shared" si="178"/>
        <v>2793.14</v>
      </c>
      <c r="BH117" s="496">
        <f t="shared" si="179"/>
        <v>1689.45</v>
      </c>
      <c r="BI117" s="496">
        <f t="shared" si="180"/>
        <v>4482.59</v>
      </c>
    </row>
    <row r="118" spans="1:61" s="480" customFormat="1" ht="16.149999999999999" customHeight="1">
      <c r="A118" s="495" t="s">
        <v>195</v>
      </c>
      <c r="B118" s="494" t="s">
        <v>297</v>
      </c>
      <c r="C118" s="493" t="s">
        <v>62</v>
      </c>
      <c r="D118" s="385" t="s">
        <v>12</v>
      </c>
      <c r="E118" s="314">
        <v>12420</v>
      </c>
      <c r="F118" s="500">
        <v>10</v>
      </c>
      <c r="G118" s="491">
        <v>1999.91</v>
      </c>
      <c r="H118" s="485">
        <v>0</v>
      </c>
      <c r="I118" s="490">
        <f t="shared" si="147"/>
        <v>1999.91</v>
      </c>
      <c r="J118" s="489">
        <f t="shared" si="139"/>
        <v>3.7382800000000001E-3</v>
      </c>
      <c r="K118" s="484">
        <f t="shared" si="140"/>
        <v>-224.24</v>
      </c>
      <c r="L118" s="484">
        <f t="shared" si="138"/>
        <v>0</v>
      </c>
      <c r="M118" s="484">
        <f t="shared" si="141"/>
        <v>47.09</v>
      </c>
      <c r="N118" s="485">
        <f t="shared" si="148"/>
        <v>47.09</v>
      </c>
      <c r="O118" s="485">
        <f t="shared" si="181"/>
        <v>0</v>
      </c>
      <c r="P118" s="485">
        <f t="shared" si="181"/>
        <v>0</v>
      </c>
      <c r="Q118" s="485">
        <f t="shared" si="149"/>
        <v>0</v>
      </c>
      <c r="R118" s="484">
        <f t="shared" si="150"/>
        <v>0</v>
      </c>
      <c r="S118" s="485">
        <f t="shared" si="151"/>
        <v>2047</v>
      </c>
      <c r="T118" s="488">
        <f t="shared" si="142"/>
        <v>2445.06</v>
      </c>
      <c r="U118" s="487">
        <v>1596.91</v>
      </c>
      <c r="V118" s="486">
        <f t="shared" si="152"/>
        <v>3.7382800000000001E-3</v>
      </c>
      <c r="W118" s="484">
        <f t="shared" si="143"/>
        <v>105.14</v>
      </c>
      <c r="X118" s="484">
        <v>0</v>
      </c>
      <c r="Y118" s="484">
        <f t="shared" si="146"/>
        <v>63.08</v>
      </c>
      <c r="Z118" s="484">
        <f t="shared" si="146"/>
        <v>-3.8</v>
      </c>
      <c r="AA118" s="484">
        <f t="shared" si="146"/>
        <v>-1.41</v>
      </c>
      <c r="AB118" s="485">
        <f t="shared" si="153"/>
        <v>163.01</v>
      </c>
      <c r="AC118" s="485">
        <f t="shared" si="144"/>
        <v>-29.35</v>
      </c>
      <c r="AD118" s="498">
        <f>(F118/F$184)*AD$184</f>
        <v>-41.12</v>
      </c>
      <c r="AE118" s="498">
        <v>0</v>
      </c>
      <c r="AF118" s="485">
        <f t="shared" si="154"/>
        <v>-41.12</v>
      </c>
      <c r="AG118" s="484">
        <f t="shared" si="155"/>
        <v>-70.47</v>
      </c>
      <c r="AH118" s="381">
        <f t="shared" si="156"/>
        <v>1689.45</v>
      </c>
      <c r="AI118" s="483">
        <f t="shared" si="157"/>
        <v>3736.45</v>
      </c>
      <c r="AJ118" s="483">
        <f t="shared" si="182"/>
        <v>4432.83</v>
      </c>
      <c r="AK118" s="83"/>
      <c r="AL118" s="114">
        <f t="shared" si="159"/>
        <v>1999.91</v>
      </c>
      <c r="AM118" s="497">
        <f t="shared" si="145"/>
        <v>2970.29</v>
      </c>
      <c r="AN118" s="192">
        <f t="shared" si="160"/>
        <v>0</v>
      </c>
      <c r="AO118" s="114">
        <f t="shared" si="161"/>
        <v>-224.24</v>
      </c>
      <c r="AP118" s="137">
        <f t="shared" si="162"/>
        <v>0</v>
      </c>
      <c r="AQ118" s="137">
        <f t="shared" si="163"/>
        <v>47.09</v>
      </c>
      <c r="AR118" s="84">
        <f t="shared" si="164"/>
        <v>47.09</v>
      </c>
      <c r="AS118" s="84">
        <f t="shared" si="165"/>
        <v>0</v>
      </c>
      <c r="AT118" s="84">
        <f t="shared" si="166"/>
        <v>0</v>
      </c>
      <c r="AU118" s="84">
        <f t="shared" si="167"/>
        <v>0</v>
      </c>
      <c r="AV118" s="84">
        <f t="shared" si="168"/>
        <v>0</v>
      </c>
      <c r="AW118" s="487">
        <v>1596.91</v>
      </c>
      <c r="AX118" s="137">
        <f t="shared" si="169"/>
        <v>105.14</v>
      </c>
      <c r="AY118" s="137">
        <f t="shared" si="170"/>
        <v>0</v>
      </c>
      <c r="AZ118" s="137">
        <f t="shared" si="171"/>
        <v>63.08</v>
      </c>
      <c r="BA118" s="137">
        <f t="shared" si="172"/>
        <v>-3.8</v>
      </c>
      <c r="BB118" s="137">
        <f t="shared" si="173"/>
        <v>-1.41</v>
      </c>
      <c r="BC118" s="84">
        <f t="shared" si="174"/>
        <v>163.01</v>
      </c>
      <c r="BD118" s="84">
        <f t="shared" si="175"/>
        <v>-29.35</v>
      </c>
      <c r="BE118" s="84">
        <f t="shared" si="176"/>
        <v>-41.12</v>
      </c>
      <c r="BF118" s="116">
        <f t="shared" si="177"/>
        <v>-70.47</v>
      </c>
      <c r="BG118" s="496">
        <f t="shared" si="178"/>
        <v>2793.14</v>
      </c>
      <c r="BH118" s="496">
        <f t="shared" si="179"/>
        <v>1689.45</v>
      </c>
      <c r="BI118" s="496">
        <f t="shared" si="180"/>
        <v>4482.59</v>
      </c>
    </row>
    <row r="119" spans="1:61" s="480" customFormat="1" ht="16.149999999999999" customHeight="1">
      <c r="A119" s="495" t="s">
        <v>195</v>
      </c>
      <c r="B119" s="494" t="s">
        <v>292</v>
      </c>
      <c r="C119" s="493" t="s">
        <v>62</v>
      </c>
      <c r="D119" s="385" t="s">
        <v>12</v>
      </c>
      <c r="E119" s="314">
        <v>3654</v>
      </c>
      <c r="F119" s="500">
        <v>10</v>
      </c>
      <c r="G119" s="491">
        <v>3999.94</v>
      </c>
      <c r="H119" s="485">
        <v>0</v>
      </c>
      <c r="I119" s="490">
        <f t="shared" si="147"/>
        <v>3999.94</v>
      </c>
      <c r="J119" s="489">
        <f t="shared" si="139"/>
        <v>7.4767899999999997E-3</v>
      </c>
      <c r="K119" s="484">
        <f t="shared" si="140"/>
        <v>-448.5</v>
      </c>
      <c r="L119" s="484">
        <f t="shared" si="138"/>
        <v>0</v>
      </c>
      <c r="M119" s="484">
        <f t="shared" si="141"/>
        <v>94.18</v>
      </c>
      <c r="N119" s="485">
        <f t="shared" si="148"/>
        <v>94.18</v>
      </c>
      <c r="O119" s="485">
        <f t="shared" si="181"/>
        <v>0</v>
      </c>
      <c r="P119" s="485">
        <f t="shared" si="181"/>
        <v>0</v>
      </c>
      <c r="Q119" s="485">
        <f t="shared" si="149"/>
        <v>0</v>
      </c>
      <c r="R119" s="484">
        <f t="shared" si="150"/>
        <v>0</v>
      </c>
      <c r="S119" s="485">
        <f t="shared" si="151"/>
        <v>4094.12</v>
      </c>
      <c r="T119" s="488">
        <f t="shared" si="142"/>
        <v>4890.26</v>
      </c>
      <c r="U119" s="487">
        <v>3672.04</v>
      </c>
      <c r="V119" s="486">
        <f t="shared" si="152"/>
        <v>7.4767899999999997E-3</v>
      </c>
      <c r="W119" s="484">
        <f t="shared" si="143"/>
        <v>210.28</v>
      </c>
      <c r="X119" s="484">
        <v>0</v>
      </c>
      <c r="Y119" s="484">
        <f t="shared" si="146"/>
        <v>126.17</v>
      </c>
      <c r="Z119" s="484">
        <f t="shared" si="146"/>
        <v>-7.6</v>
      </c>
      <c r="AA119" s="484">
        <f t="shared" si="146"/>
        <v>-2.82</v>
      </c>
      <c r="AB119" s="485">
        <f t="shared" si="153"/>
        <v>326.02999999999997</v>
      </c>
      <c r="AC119" s="485">
        <f t="shared" si="144"/>
        <v>-58.7</v>
      </c>
      <c r="AD119" s="498">
        <f>(F119/F$184)*AD$184</f>
        <v>-41.12</v>
      </c>
      <c r="AE119" s="498">
        <v>0</v>
      </c>
      <c r="AF119" s="485">
        <f t="shared" si="154"/>
        <v>-41.12</v>
      </c>
      <c r="AG119" s="484">
        <f t="shared" si="155"/>
        <v>-99.82</v>
      </c>
      <c r="AH119" s="381">
        <f t="shared" si="156"/>
        <v>3898.25</v>
      </c>
      <c r="AI119" s="483">
        <f t="shared" si="157"/>
        <v>7992.37</v>
      </c>
      <c r="AJ119" s="483">
        <f t="shared" si="182"/>
        <v>9481.9500000000007</v>
      </c>
      <c r="AK119" s="83"/>
      <c r="AL119" s="114">
        <f t="shared" si="159"/>
        <v>3999.94</v>
      </c>
      <c r="AM119" s="497">
        <f t="shared" si="145"/>
        <v>5940.75</v>
      </c>
      <c r="AN119" s="192">
        <f t="shared" si="160"/>
        <v>0</v>
      </c>
      <c r="AO119" s="114">
        <f t="shared" si="161"/>
        <v>-448.5</v>
      </c>
      <c r="AP119" s="137">
        <f t="shared" si="162"/>
        <v>0</v>
      </c>
      <c r="AQ119" s="137">
        <f t="shared" si="163"/>
        <v>94.18</v>
      </c>
      <c r="AR119" s="84">
        <f t="shared" si="164"/>
        <v>94.18</v>
      </c>
      <c r="AS119" s="84">
        <f t="shared" si="165"/>
        <v>0</v>
      </c>
      <c r="AT119" s="84">
        <f t="shared" si="166"/>
        <v>0</v>
      </c>
      <c r="AU119" s="84">
        <f t="shared" si="167"/>
        <v>0</v>
      </c>
      <c r="AV119" s="84">
        <f t="shared" si="168"/>
        <v>0</v>
      </c>
      <c r="AW119" s="487">
        <v>3672.04</v>
      </c>
      <c r="AX119" s="137">
        <f t="shared" si="169"/>
        <v>210.28</v>
      </c>
      <c r="AY119" s="137">
        <f t="shared" si="170"/>
        <v>0</v>
      </c>
      <c r="AZ119" s="137">
        <f t="shared" si="171"/>
        <v>126.17</v>
      </c>
      <c r="BA119" s="137">
        <f t="shared" si="172"/>
        <v>-7.6</v>
      </c>
      <c r="BB119" s="137">
        <f t="shared" si="173"/>
        <v>-2.82</v>
      </c>
      <c r="BC119" s="84">
        <f t="shared" si="174"/>
        <v>326.02999999999997</v>
      </c>
      <c r="BD119" s="84">
        <f t="shared" si="175"/>
        <v>-58.7</v>
      </c>
      <c r="BE119" s="84">
        <f t="shared" si="176"/>
        <v>-41.12</v>
      </c>
      <c r="BF119" s="116">
        <f t="shared" si="177"/>
        <v>-99.82</v>
      </c>
      <c r="BG119" s="496">
        <f t="shared" si="178"/>
        <v>5586.43</v>
      </c>
      <c r="BH119" s="496">
        <f t="shared" si="179"/>
        <v>3898.25</v>
      </c>
      <c r="BI119" s="496">
        <f t="shared" si="180"/>
        <v>9484.68</v>
      </c>
    </row>
    <row r="120" spans="1:61" s="480" customFormat="1" ht="16.149999999999999" customHeight="1">
      <c r="A120" s="495" t="s">
        <v>195</v>
      </c>
      <c r="B120" s="494" t="s">
        <v>293</v>
      </c>
      <c r="C120" s="493" t="s">
        <v>62</v>
      </c>
      <c r="D120" s="385" t="s">
        <v>12</v>
      </c>
      <c r="E120" s="314">
        <v>5480</v>
      </c>
      <c r="F120" s="500">
        <v>20</v>
      </c>
      <c r="G120" s="491">
        <v>7999.65</v>
      </c>
      <c r="H120" s="485">
        <v>0</v>
      </c>
      <c r="I120" s="490">
        <f t="shared" si="147"/>
        <v>7999.65</v>
      </c>
      <c r="J120" s="489">
        <f t="shared" si="139"/>
        <v>1.495314E-2</v>
      </c>
      <c r="K120" s="484">
        <f t="shared" si="140"/>
        <v>-896.97</v>
      </c>
      <c r="L120" s="484">
        <f t="shared" si="138"/>
        <v>0</v>
      </c>
      <c r="M120" s="484">
        <f t="shared" si="141"/>
        <v>188.36</v>
      </c>
      <c r="N120" s="485">
        <f t="shared" si="148"/>
        <v>188.36</v>
      </c>
      <c r="O120" s="485">
        <f t="shared" si="181"/>
        <v>0</v>
      </c>
      <c r="P120" s="485">
        <f t="shared" si="181"/>
        <v>0</v>
      </c>
      <c r="Q120" s="485">
        <f t="shared" si="149"/>
        <v>0</v>
      </c>
      <c r="R120" s="484">
        <f t="shared" si="150"/>
        <v>0</v>
      </c>
      <c r="S120" s="485">
        <f t="shared" si="151"/>
        <v>8188.01</v>
      </c>
      <c r="T120" s="488">
        <f t="shared" si="142"/>
        <v>9780.24</v>
      </c>
      <c r="U120" s="487">
        <v>7343.92</v>
      </c>
      <c r="V120" s="486">
        <f t="shared" si="152"/>
        <v>1.495314E-2</v>
      </c>
      <c r="W120" s="484">
        <f t="shared" si="143"/>
        <v>420.54</v>
      </c>
      <c r="X120" s="484">
        <v>0</v>
      </c>
      <c r="Y120" s="484">
        <f t="shared" si="146"/>
        <v>252.32</v>
      </c>
      <c r="Z120" s="484">
        <f t="shared" si="146"/>
        <v>-15.2</v>
      </c>
      <c r="AA120" s="484">
        <f t="shared" si="146"/>
        <v>-5.63</v>
      </c>
      <c r="AB120" s="485">
        <f t="shared" si="153"/>
        <v>652.03</v>
      </c>
      <c r="AC120" s="485">
        <f t="shared" si="144"/>
        <v>-117.39</v>
      </c>
      <c r="AD120" s="498">
        <f>((F120/F$184)*AD$184)+0.01</f>
        <v>-82.23</v>
      </c>
      <c r="AE120" s="498">
        <v>0</v>
      </c>
      <c r="AF120" s="485">
        <f t="shared" si="154"/>
        <v>-82.23</v>
      </c>
      <c r="AG120" s="484">
        <f t="shared" si="155"/>
        <v>-199.62</v>
      </c>
      <c r="AH120" s="381">
        <f t="shared" si="156"/>
        <v>7796.33</v>
      </c>
      <c r="AI120" s="483">
        <f t="shared" si="157"/>
        <v>15984.34</v>
      </c>
      <c r="AJ120" s="483">
        <f t="shared" si="182"/>
        <v>18963.419999999998</v>
      </c>
      <c r="AK120" s="83"/>
      <c r="AL120" s="114">
        <f t="shared" si="159"/>
        <v>7999.65</v>
      </c>
      <c r="AM120" s="497">
        <f t="shared" si="145"/>
        <v>11881.16</v>
      </c>
      <c r="AN120" s="192">
        <f t="shared" si="160"/>
        <v>0</v>
      </c>
      <c r="AO120" s="114">
        <f t="shared" si="161"/>
        <v>-896.97</v>
      </c>
      <c r="AP120" s="137">
        <f t="shared" si="162"/>
        <v>0</v>
      </c>
      <c r="AQ120" s="137">
        <f t="shared" si="163"/>
        <v>188.36</v>
      </c>
      <c r="AR120" s="84">
        <f t="shared" si="164"/>
        <v>188.36</v>
      </c>
      <c r="AS120" s="84">
        <f t="shared" si="165"/>
        <v>0</v>
      </c>
      <c r="AT120" s="84">
        <f t="shared" si="166"/>
        <v>0</v>
      </c>
      <c r="AU120" s="84">
        <f t="shared" si="167"/>
        <v>0</v>
      </c>
      <c r="AV120" s="84">
        <f t="shared" si="168"/>
        <v>0</v>
      </c>
      <c r="AW120" s="487">
        <v>7343.92</v>
      </c>
      <c r="AX120" s="137">
        <f t="shared" si="169"/>
        <v>420.54</v>
      </c>
      <c r="AY120" s="137">
        <f t="shared" si="170"/>
        <v>0</v>
      </c>
      <c r="AZ120" s="137">
        <f t="shared" si="171"/>
        <v>252.32</v>
      </c>
      <c r="BA120" s="137">
        <f t="shared" si="172"/>
        <v>-15.2</v>
      </c>
      <c r="BB120" s="137">
        <f t="shared" si="173"/>
        <v>-5.63</v>
      </c>
      <c r="BC120" s="84">
        <f t="shared" si="174"/>
        <v>652.03</v>
      </c>
      <c r="BD120" s="84">
        <f t="shared" si="175"/>
        <v>-117.39</v>
      </c>
      <c r="BE120" s="84">
        <f t="shared" si="176"/>
        <v>-82.23</v>
      </c>
      <c r="BF120" s="116">
        <f t="shared" si="177"/>
        <v>-199.62</v>
      </c>
      <c r="BG120" s="496">
        <f t="shared" si="178"/>
        <v>11172.55</v>
      </c>
      <c r="BH120" s="496">
        <f t="shared" si="179"/>
        <v>7796.33</v>
      </c>
      <c r="BI120" s="496">
        <f t="shared" si="180"/>
        <v>18968.88</v>
      </c>
    </row>
    <row r="121" spans="1:61" s="480" customFormat="1" ht="16.149999999999999" customHeight="1">
      <c r="A121" s="495" t="s">
        <v>195</v>
      </c>
      <c r="B121" s="494" t="s">
        <v>294</v>
      </c>
      <c r="C121" s="493" t="s">
        <v>62</v>
      </c>
      <c r="D121" s="385" t="s">
        <v>12</v>
      </c>
      <c r="E121" s="314">
        <v>7306</v>
      </c>
      <c r="F121" s="500">
        <v>10</v>
      </c>
      <c r="G121" s="491">
        <v>3999.94</v>
      </c>
      <c r="H121" s="485">
        <v>0</v>
      </c>
      <c r="I121" s="490">
        <f t="shared" si="147"/>
        <v>3999.94</v>
      </c>
      <c r="J121" s="489">
        <f t="shared" si="139"/>
        <v>7.4767899999999997E-3</v>
      </c>
      <c r="K121" s="484">
        <f t="shared" si="140"/>
        <v>-448.5</v>
      </c>
      <c r="L121" s="484">
        <f t="shared" si="138"/>
        <v>0</v>
      </c>
      <c r="M121" s="484">
        <f t="shared" si="141"/>
        <v>94.18</v>
      </c>
      <c r="N121" s="485">
        <f t="shared" si="148"/>
        <v>94.18</v>
      </c>
      <c r="O121" s="485">
        <f t="shared" si="181"/>
        <v>0</v>
      </c>
      <c r="P121" s="485">
        <f t="shared" si="181"/>
        <v>0</v>
      </c>
      <c r="Q121" s="485">
        <f t="shared" si="149"/>
        <v>0</v>
      </c>
      <c r="R121" s="484">
        <f t="shared" si="150"/>
        <v>0</v>
      </c>
      <c r="S121" s="485">
        <f t="shared" si="151"/>
        <v>4094.12</v>
      </c>
      <c r="T121" s="488">
        <f t="shared" si="142"/>
        <v>4890.26</v>
      </c>
      <c r="U121" s="487">
        <v>3672.04</v>
      </c>
      <c r="V121" s="486">
        <f t="shared" si="152"/>
        <v>7.4767899999999997E-3</v>
      </c>
      <c r="W121" s="484">
        <f t="shared" si="143"/>
        <v>210.28</v>
      </c>
      <c r="X121" s="484">
        <v>0</v>
      </c>
      <c r="Y121" s="484">
        <f t="shared" si="146"/>
        <v>126.17</v>
      </c>
      <c r="Z121" s="484">
        <f t="shared" si="146"/>
        <v>-7.6</v>
      </c>
      <c r="AA121" s="484">
        <f t="shared" si="146"/>
        <v>-2.82</v>
      </c>
      <c r="AB121" s="485">
        <f t="shared" si="153"/>
        <v>326.02999999999997</v>
      </c>
      <c r="AC121" s="485">
        <f t="shared" si="144"/>
        <v>-58.7</v>
      </c>
      <c r="AD121" s="498">
        <f>(F121/F$184)*AD$184</f>
        <v>-41.12</v>
      </c>
      <c r="AE121" s="498">
        <v>0</v>
      </c>
      <c r="AF121" s="485">
        <f t="shared" si="154"/>
        <v>-41.12</v>
      </c>
      <c r="AG121" s="484">
        <f t="shared" si="155"/>
        <v>-99.82</v>
      </c>
      <c r="AH121" s="381">
        <f t="shared" si="156"/>
        <v>3898.25</v>
      </c>
      <c r="AI121" s="483">
        <f t="shared" si="157"/>
        <v>7992.37</v>
      </c>
      <c r="AJ121" s="483">
        <f t="shared" si="182"/>
        <v>9481.9500000000007</v>
      </c>
      <c r="AK121" s="83"/>
      <c r="AL121" s="114">
        <f t="shared" si="159"/>
        <v>3999.94</v>
      </c>
      <c r="AM121" s="497">
        <f t="shared" si="145"/>
        <v>5940.75</v>
      </c>
      <c r="AN121" s="192">
        <f t="shared" si="160"/>
        <v>0</v>
      </c>
      <c r="AO121" s="114">
        <f t="shared" si="161"/>
        <v>-448.5</v>
      </c>
      <c r="AP121" s="137">
        <f t="shared" si="162"/>
        <v>0</v>
      </c>
      <c r="AQ121" s="137">
        <f t="shared" si="163"/>
        <v>94.18</v>
      </c>
      <c r="AR121" s="84">
        <f t="shared" si="164"/>
        <v>94.18</v>
      </c>
      <c r="AS121" s="84">
        <f t="shared" si="165"/>
        <v>0</v>
      </c>
      <c r="AT121" s="84">
        <f t="shared" si="166"/>
        <v>0</v>
      </c>
      <c r="AU121" s="84">
        <f t="shared" si="167"/>
        <v>0</v>
      </c>
      <c r="AV121" s="84">
        <f t="shared" si="168"/>
        <v>0</v>
      </c>
      <c r="AW121" s="487">
        <v>3672.04</v>
      </c>
      <c r="AX121" s="137">
        <f t="shared" si="169"/>
        <v>210.28</v>
      </c>
      <c r="AY121" s="137">
        <f t="shared" si="170"/>
        <v>0</v>
      </c>
      <c r="AZ121" s="137">
        <f t="shared" si="171"/>
        <v>126.17</v>
      </c>
      <c r="BA121" s="137">
        <f t="shared" si="172"/>
        <v>-7.6</v>
      </c>
      <c r="BB121" s="137">
        <f t="shared" si="173"/>
        <v>-2.82</v>
      </c>
      <c r="BC121" s="84">
        <f t="shared" si="174"/>
        <v>326.02999999999997</v>
      </c>
      <c r="BD121" s="84">
        <f t="shared" si="175"/>
        <v>-58.7</v>
      </c>
      <c r="BE121" s="84">
        <f t="shared" si="176"/>
        <v>-41.12</v>
      </c>
      <c r="BF121" s="116">
        <f t="shared" si="177"/>
        <v>-99.82</v>
      </c>
      <c r="BG121" s="496">
        <f t="shared" si="178"/>
        <v>5586.43</v>
      </c>
      <c r="BH121" s="496">
        <f t="shared" si="179"/>
        <v>3898.25</v>
      </c>
      <c r="BI121" s="496">
        <f t="shared" si="180"/>
        <v>9484.68</v>
      </c>
    </row>
    <row r="122" spans="1:61" s="480" customFormat="1" ht="16.149999999999999" customHeight="1">
      <c r="A122" s="495" t="s">
        <v>195</v>
      </c>
      <c r="B122" s="494" t="s">
        <v>295</v>
      </c>
      <c r="C122" s="493" t="s">
        <v>62</v>
      </c>
      <c r="D122" s="385" t="s">
        <v>12</v>
      </c>
      <c r="E122" s="314">
        <v>5115</v>
      </c>
      <c r="F122" s="500">
        <v>10</v>
      </c>
      <c r="G122" s="491">
        <v>1999.91</v>
      </c>
      <c r="H122" s="485">
        <v>0</v>
      </c>
      <c r="I122" s="490">
        <f t="shared" si="147"/>
        <v>1999.91</v>
      </c>
      <c r="J122" s="489">
        <f t="shared" si="139"/>
        <v>3.7382800000000001E-3</v>
      </c>
      <c r="K122" s="484">
        <f t="shared" si="140"/>
        <v>-224.24</v>
      </c>
      <c r="L122" s="484">
        <f t="shared" si="138"/>
        <v>0</v>
      </c>
      <c r="M122" s="484">
        <f t="shared" si="141"/>
        <v>47.09</v>
      </c>
      <c r="N122" s="485">
        <f t="shared" si="148"/>
        <v>47.09</v>
      </c>
      <c r="O122" s="485">
        <f t="shared" si="181"/>
        <v>0</v>
      </c>
      <c r="P122" s="485">
        <f t="shared" si="181"/>
        <v>0</v>
      </c>
      <c r="Q122" s="485">
        <f t="shared" si="149"/>
        <v>0</v>
      </c>
      <c r="R122" s="484">
        <f t="shared" si="150"/>
        <v>0</v>
      </c>
      <c r="S122" s="485">
        <f t="shared" si="151"/>
        <v>2047</v>
      </c>
      <c r="T122" s="488">
        <f t="shared" si="142"/>
        <v>2445.06</v>
      </c>
      <c r="U122" s="487">
        <v>1596.91</v>
      </c>
      <c r="V122" s="486">
        <f t="shared" si="152"/>
        <v>3.7382800000000001E-3</v>
      </c>
      <c r="W122" s="484">
        <f t="shared" si="143"/>
        <v>105.14</v>
      </c>
      <c r="X122" s="484">
        <v>0</v>
      </c>
      <c r="Y122" s="484">
        <f t="shared" ref="Y122:AA141" si="183">$V122*Y$184</f>
        <v>63.08</v>
      </c>
      <c r="Z122" s="484">
        <f t="shared" si="183"/>
        <v>-3.8</v>
      </c>
      <c r="AA122" s="484">
        <f t="shared" si="183"/>
        <v>-1.41</v>
      </c>
      <c r="AB122" s="485">
        <f t="shared" si="153"/>
        <v>163.01</v>
      </c>
      <c r="AC122" s="485">
        <f t="shared" si="144"/>
        <v>-29.35</v>
      </c>
      <c r="AD122" s="498">
        <f>(F122/F$184)*AD$184</f>
        <v>-41.12</v>
      </c>
      <c r="AE122" s="498">
        <v>0</v>
      </c>
      <c r="AF122" s="485">
        <f t="shared" si="154"/>
        <v>-41.12</v>
      </c>
      <c r="AG122" s="484">
        <f t="shared" si="155"/>
        <v>-70.47</v>
      </c>
      <c r="AH122" s="381">
        <f t="shared" si="156"/>
        <v>1689.45</v>
      </c>
      <c r="AI122" s="483">
        <f t="shared" si="157"/>
        <v>3736.45</v>
      </c>
      <c r="AJ122" s="483">
        <f t="shared" si="182"/>
        <v>4432.83</v>
      </c>
      <c r="AK122" s="83"/>
      <c r="AL122" s="114">
        <f t="shared" si="159"/>
        <v>1999.91</v>
      </c>
      <c r="AM122" s="497">
        <f t="shared" si="145"/>
        <v>2970.29</v>
      </c>
      <c r="AN122" s="192">
        <f t="shared" si="160"/>
        <v>0</v>
      </c>
      <c r="AO122" s="114">
        <f t="shared" si="161"/>
        <v>-224.24</v>
      </c>
      <c r="AP122" s="137">
        <f t="shared" si="162"/>
        <v>0</v>
      </c>
      <c r="AQ122" s="137">
        <f t="shared" si="163"/>
        <v>47.09</v>
      </c>
      <c r="AR122" s="84">
        <f t="shared" si="164"/>
        <v>47.09</v>
      </c>
      <c r="AS122" s="84">
        <f t="shared" si="165"/>
        <v>0</v>
      </c>
      <c r="AT122" s="84">
        <f t="shared" si="166"/>
        <v>0</v>
      </c>
      <c r="AU122" s="84">
        <f t="shared" si="167"/>
        <v>0</v>
      </c>
      <c r="AV122" s="84">
        <f t="shared" si="168"/>
        <v>0</v>
      </c>
      <c r="AW122" s="487">
        <v>1596.91</v>
      </c>
      <c r="AX122" s="137">
        <f t="shared" si="169"/>
        <v>105.14</v>
      </c>
      <c r="AY122" s="137">
        <f t="shared" si="170"/>
        <v>0</v>
      </c>
      <c r="AZ122" s="137">
        <f t="shared" si="171"/>
        <v>63.08</v>
      </c>
      <c r="BA122" s="137">
        <f t="shared" si="172"/>
        <v>-3.8</v>
      </c>
      <c r="BB122" s="137">
        <f t="shared" si="173"/>
        <v>-1.41</v>
      </c>
      <c r="BC122" s="84">
        <f t="shared" si="174"/>
        <v>163.01</v>
      </c>
      <c r="BD122" s="84">
        <f t="shared" si="175"/>
        <v>-29.35</v>
      </c>
      <c r="BE122" s="84">
        <f t="shared" si="176"/>
        <v>-41.12</v>
      </c>
      <c r="BF122" s="116">
        <f t="shared" si="177"/>
        <v>-70.47</v>
      </c>
      <c r="BG122" s="496">
        <f t="shared" si="178"/>
        <v>2793.14</v>
      </c>
      <c r="BH122" s="496">
        <f t="shared" si="179"/>
        <v>1689.45</v>
      </c>
      <c r="BI122" s="496">
        <f t="shared" si="180"/>
        <v>4482.59</v>
      </c>
    </row>
    <row r="123" spans="1:61" s="480" customFormat="1" ht="16.149999999999999" customHeight="1">
      <c r="A123" s="495" t="s">
        <v>195</v>
      </c>
      <c r="B123" s="494" t="s">
        <v>364</v>
      </c>
      <c r="C123" s="615" t="s">
        <v>63</v>
      </c>
      <c r="D123" s="385" t="s">
        <v>12</v>
      </c>
      <c r="E123" s="314">
        <v>25934</v>
      </c>
      <c r="F123" s="499"/>
      <c r="G123" s="491">
        <v>848.77</v>
      </c>
      <c r="H123" s="485">
        <v>0</v>
      </c>
      <c r="I123" s="490">
        <f t="shared" si="147"/>
        <v>848.77</v>
      </c>
      <c r="J123" s="489">
        <f t="shared" si="139"/>
        <v>1.58654E-3</v>
      </c>
      <c r="K123" s="484">
        <f t="shared" si="140"/>
        <v>-95.17</v>
      </c>
      <c r="L123" s="484">
        <f t="shared" si="138"/>
        <v>0</v>
      </c>
      <c r="M123" s="484">
        <f t="shared" si="141"/>
        <v>19.98</v>
      </c>
      <c r="N123" s="485">
        <f t="shared" si="148"/>
        <v>19.98</v>
      </c>
      <c r="O123" s="485">
        <f t="shared" si="181"/>
        <v>0</v>
      </c>
      <c r="P123" s="485">
        <f t="shared" si="181"/>
        <v>0</v>
      </c>
      <c r="Q123" s="485">
        <f t="shared" si="149"/>
        <v>0</v>
      </c>
      <c r="R123" s="484">
        <f t="shared" si="150"/>
        <v>0</v>
      </c>
      <c r="S123" s="485">
        <f t="shared" si="151"/>
        <v>868.75</v>
      </c>
      <c r="T123" s="488">
        <f t="shared" si="142"/>
        <v>1037.69</v>
      </c>
      <c r="U123" s="487">
        <v>880.66</v>
      </c>
      <c r="V123" s="486">
        <f t="shared" si="152"/>
        <v>1.58654E-3</v>
      </c>
      <c r="W123" s="484">
        <f t="shared" si="143"/>
        <v>44.62</v>
      </c>
      <c r="X123" s="484">
        <v>0</v>
      </c>
      <c r="Y123" s="484">
        <f t="shared" si="183"/>
        <v>26.77</v>
      </c>
      <c r="Z123" s="484">
        <f t="shared" si="183"/>
        <v>-1.61</v>
      </c>
      <c r="AA123" s="484">
        <f t="shared" si="183"/>
        <v>-0.6</v>
      </c>
      <c r="AB123" s="485">
        <f t="shared" si="153"/>
        <v>69.180000000000007</v>
      </c>
      <c r="AC123" s="485">
        <f t="shared" si="144"/>
        <v>-12.46</v>
      </c>
      <c r="AD123" s="498">
        <v>0</v>
      </c>
      <c r="AE123" s="498">
        <v>0</v>
      </c>
      <c r="AF123" s="485">
        <f t="shared" si="154"/>
        <v>0</v>
      </c>
      <c r="AG123" s="484">
        <f t="shared" si="155"/>
        <v>-12.46</v>
      </c>
      <c r="AH123" s="381">
        <f t="shared" si="156"/>
        <v>937.38</v>
      </c>
      <c r="AI123" s="483">
        <f t="shared" si="157"/>
        <v>1806.13</v>
      </c>
      <c r="AJ123" s="483">
        <f t="shared" si="182"/>
        <v>2142.75</v>
      </c>
      <c r="AK123" s="83"/>
      <c r="AL123" s="114">
        <f t="shared" si="159"/>
        <v>848.77</v>
      </c>
      <c r="AM123" s="497">
        <f t="shared" si="145"/>
        <v>1260.5999999999999</v>
      </c>
      <c r="AN123" s="192">
        <f t="shared" si="160"/>
        <v>0</v>
      </c>
      <c r="AO123" s="114">
        <f t="shared" si="161"/>
        <v>-95.17</v>
      </c>
      <c r="AP123" s="137">
        <f t="shared" si="162"/>
        <v>0</v>
      </c>
      <c r="AQ123" s="137">
        <f t="shared" si="163"/>
        <v>19.98</v>
      </c>
      <c r="AR123" s="84">
        <f t="shared" si="164"/>
        <v>19.98</v>
      </c>
      <c r="AS123" s="84">
        <f t="shared" si="165"/>
        <v>0</v>
      </c>
      <c r="AT123" s="84">
        <f t="shared" si="166"/>
        <v>0</v>
      </c>
      <c r="AU123" s="84">
        <f t="shared" si="167"/>
        <v>0</v>
      </c>
      <c r="AV123" s="84">
        <f t="shared" si="168"/>
        <v>0</v>
      </c>
      <c r="AW123" s="487">
        <v>880.66</v>
      </c>
      <c r="AX123" s="137">
        <f t="shared" si="169"/>
        <v>44.62</v>
      </c>
      <c r="AY123" s="137">
        <f t="shared" si="170"/>
        <v>0</v>
      </c>
      <c r="AZ123" s="137">
        <f t="shared" si="171"/>
        <v>26.77</v>
      </c>
      <c r="BA123" s="137">
        <f t="shared" si="172"/>
        <v>-1.61</v>
      </c>
      <c r="BB123" s="137">
        <f t="shared" si="173"/>
        <v>-0.6</v>
      </c>
      <c r="BC123" s="84">
        <f t="shared" si="174"/>
        <v>69.180000000000007</v>
      </c>
      <c r="BD123" s="84">
        <f t="shared" si="175"/>
        <v>-12.46</v>
      </c>
      <c r="BE123" s="84">
        <f t="shared" si="176"/>
        <v>0</v>
      </c>
      <c r="BF123" s="116">
        <f t="shared" si="177"/>
        <v>-12.46</v>
      </c>
      <c r="BG123" s="496">
        <f t="shared" si="178"/>
        <v>1185.4100000000001</v>
      </c>
      <c r="BH123" s="496">
        <f t="shared" si="179"/>
        <v>937.38</v>
      </c>
      <c r="BI123" s="496">
        <f t="shared" si="180"/>
        <v>2122.79</v>
      </c>
    </row>
    <row r="124" spans="1:61" s="480" customFormat="1" ht="16.149999999999999" customHeight="1">
      <c r="A124" s="495" t="s">
        <v>195</v>
      </c>
      <c r="B124" s="494" t="s">
        <v>296</v>
      </c>
      <c r="C124" s="493" t="s">
        <v>62</v>
      </c>
      <c r="D124" s="385" t="s">
        <v>12</v>
      </c>
      <c r="E124" s="314">
        <v>6211</v>
      </c>
      <c r="F124" s="500">
        <v>10</v>
      </c>
      <c r="G124" s="491">
        <v>1999.91</v>
      </c>
      <c r="H124" s="485">
        <v>0</v>
      </c>
      <c r="I124" s="490">
        <f t="shared" si="147"/>
        <v>1999.91</v>
      </c>
      <c r="J124" s="489">
        <f t="shared" si="139"/>
        <v>3.7382800000000001E-3</v>
      </c>
      <c r="K124" s="484">
        <f t="shared" si="140"/>
        <v>-224.24</v>
      </c>
      <c r="L124" s="484">
        <f t="shared" si="138"/>
        <v>0</v>
      </c>
      <c r="M124" s="484">
        <f t="shared" si="141"/>
        <v>47.09</v>
      </c>
      <c r="N124" s="485">
        <f t="shared" si="148"/>
        <v>47.09</v>
      </c>
      <c r="O124" s="485">
        <f t="shared" si="181"/>
        <v>0</v>
      </c>
      <c r="P124" s="485">
        <f t="shared" si="181"/>
        <v>0</v>
      </c>
      <c r="Q124" s="485">
        <f t="shared" si="149"/>
        <v>0</v>
      </c>
      <c r="R124" s="484">
        <f t="shared" si="150"/>
        <v>0</v>
      </c>
      <c r="S124" s="485">
        <f t="shared" si="151"/>
        <v>2047</v>
      </c>
      <c r="T124" s="488">
        <f t="shared" si="142"/>
        <v>2445.06</v>
      </c>
      <c r="U124" s="487">
        <v>1596.91</v>
      </c>
      <c r="V124" s="486">
        <f t="shared" si="152"/>
        <v>3.7382800000000001E-3</v>
      </c>
      <c r="W124" s="484">
        <f t="shared" si="143"/>
        <v>105.14</v>
      </c>
      <c r="X124" s="484">
        <v>0</v>
      </c>
      <c r="Y124" s="484">
        <f t="shared" si="183"/>
        <v>63.08</v>
      </c>
      <c r="Z124" s="484">
        <f t="shared" si="183"/>
        <v>-3.8</v>
      </c>
      <c r="AA124" s="484">
        <f t="shared" si="183"/>
        <v>-1.41</v>
      </c>
      <c r="AB124" s="485">
        <f t="shared" si="153"/>
        <v>163.01</v>
      </c>
      <c r="AC124" s="485">
        <f t="shared" si="144"/>
        <v>-29.35</v>
      </c>
      <c r="AD124" s="498">
        <f>(F124/F$184)*AD$184</f>
        <v>-41.12</v>
      </c>
      <c r="AE124" s="498">
        <v>0</v>
      </c>
      <c r="AF124" s="485">
        <f t="shared" si="154"/>
        <v>-41.12</v>
      </c>
      <c r="AG124" s="484">
        <f t="shared" si="155"/>
        <v>-70.47</v>
      </c>
      <c r="AH124" s="381">
        <f t="shared" si="156"/>
        <v>1689.45</v>
      </c>
      <c r="AI124" s="483">
        <f t="shared" si="157"/>
        <v>3736.45</v>
      </c>
      <c r="AJ124" s="483">
        <f t="shared" si="182"/>
        <v>4432.83</v>
      </c>
      <c r="AK124" s="83"/>
      <c r="AL124" s="114">
        <f t="shared" si="159"/>
        <v>1999.91</v>
      </c>
      <c r="AM124" s="497">
        <f t="shared" si="145"/>
        <v>2970.29</v>
      </c>
      <c r="AN124" s="192">
        <f t="shared" si="160"/>
        <v>0</v>
      </c>
      <c r="AO124" s="114">
        <f t="shared" si="161"/>
        <v>-224.24</v>
      </c>
      <c r="AP124" s="137">
        <f t="shared" si="162"/>
        <v>0</v>
      </c>
      <c r="AQ124" s="137">
        <f t="shared" si="163"/>
        <v>47.09</v>
      </c>
      <c r="AR124" s="84">
        <f t="shared" si="164"/>
        <v>47.09</v>
      </c>
      <c r="AS124" s="84">
        <f t="shared" si="165"/>
        <v>0</v>
      </c>
      <c r="AT124" s="84">
        <f t="shared" si="166"/>
        <v>0</v>
      </c>
      <c r="AU124" s="84">
        <f t="shared" si="167"/>
        <v>0</v>
      </c>
      <c r="AV124" s="84">
        <f t="shared" si="168"/>
        <v>0</v>
      </c>
      <c r="AW124" s="487">
        <v>1596.91</v>
      </c>
      <c r="AX124" s="137">
        <f t="shared" si="169"/>
        <v>105.14</v>
      </c>
      <c r="AY124" s="137">
        <f t="shared" si="170"/>
        <v>0</v>
      </c>
      <c r="AZ124" s="137">
        <f t="shared" si="171"/>
        <v>63.08</v>
      </c>
      <c r="BA124" s="137">
        <f t="shared" si="172"/>
        <v>-3.8</v>
      </c>
      <c r="BB124" s="137">
        <f t="shared" si="173"/>
        <v>-1.41</v>
      </c>
      <c r="BC124" s="84">
        <f t="shared" si="174"/>
        <v>163.01</v>
      </c>
      <c r="BD124" s="84">
        <f t="shared" si="175"/>
        <v>-29.35</v>
      </c>
      <c r="BE124" s="84">
        <f t="shared" si="176"/>
        <v>-41.12</v>
      </c>
      <c r="BF124" s="116">
        <f t="shared" si="177"/>
        <v>-70.47</v>
      </c>
      <c r="BG124" s="496">
        <f t="shared" si="178"/>
        <v>2793.14</v>
      </c>
      <c r="BH124" s="496">
        <f t="shared" si="179"/>
        <v>1689.45</v>
      </c>
      <c r="BI124" s="496">
        <f t="shared" si="180"/>
        <v>4482.59</v>
      </c>
    </row>
    <row r="125" spans="1:61" s="480" customFormat="1" ht="16.149999999999999" customHeight="1">
      <c r="A125" s="495" t="s">
        <v>195</v>
      </c>
      <c r="B125" s="494" t="s">
        <v>375</v>
      </c>
      <c r="C125" s="615" t="s">
        <v>63</v>
      </c>
      <c r="D125" s="385" t="s">
        <v>12</v>
      </c>
      <c r="E125" s="314">
        <v>33970</v>
      </c>
      <c r="F125" s="499"/>
      <c r="G125" s="491">
        <v>2775.85</v>
      </c>
      <c r="H125" s="485">
        <v>0</v>
      </c>
      <c r="I125" s="490">
        <f t="shared" si="147"/>
        <v>2775.85</v>
      </c>
      <c r="J125" s="489">
        <f t="shared" si="139"/>
        <v>5.1886900000000001E-3</v>
      </c>
      <c r="K125" s="484">
        <f t="shared" si="140"/>
        <v>-311.25</v>
      </c>
      <c r="L125" s="484">
        <f t="shared" ref="L125:L156" si="184">$J125*L$184</f>
        <v>0</v>
      </c>
      <c r="M125" s="484">
        <f t="shared" si="141"/>
        <v>65.36</v>
      </c>
      <c r="N125" s="485">
        <f t="shared" si="148"/>
        <v>65.36</v>
      </c>
      <c r="O125" s="485">
        <f t="shared" si="181"/>
        <v>0</v>
      </c>
      <c r="P125" s="485">
        <f t="shared" si="181"/>
        <v>0</v>
      </c>
      <c r="Q125" s="485">
        <f t="shared" si="149"/>
        <v>0</v>
      </c>
      <c r="R125" s="484">
        <f t="shared" si="150"/>
        <v>0</v>
      </c>
      <c r="S125" s="485">
        <f t="shared" si="151"/>
        <v>2841.21</v>
      </c>
      <c r="T125" s="488">
        <f t="shared" si="142"/>
        <v>3393.71</v>
      </c>
      <c r="U125" s="487">
        <v>2880.2</v>
      </c>
      <c r="V125" s="486">
        <f t="shared" si="152"/>
        <v>5.1886900000000001E-3</v>
      </c>
      <c r="W125" s="484">
        <f t="shared" si="143"/>
        <v>145.93</v>
      </c>
      <c r="X125" s="484">
        <v>0</v>
      </c>
      <c r="Y125" s="484">
        <f t="shared" si="183"/>
        <v>87.56</v>
      </c>
      <c r="Z125" s="484">
        <f t="shared" si="183"/>
        <v>-5.27</v>
      </c>
      <c r="AA125" s="484">
        <f t="shared" si="183"/>
        <v>-1.95</v>
      </c>
      <c r="AB125" s="485">
        <f t="shared" si="153"/>
        <v>226.27</v>
      </c>
      <c r="AC125" s="485">
        <f t="shared" si="144"/>
        <v>-40.729999999999997</v>
      </c>
      <c r="AD125" s="498">
        <v>0</v>
      </c>
      <c r="AE125" s="498">
        <v>0</v>
      </c>
      <c r="AF125" s="485">
        <f t="shared" si="154"/>
        <v>0</v>
      </c>
      <c r="AG125" s="484">
        <f t="shared" si="155"/>
        <v>-40.729999999999997</v>
      </c>
      <c r="AH125" s="381">
        <f t="shared" si="156"/>
        <v>3065.74</v>
      </c>
      <c r="AI125" s="483">
        <f t="shared" si="157"/>
        <v>5906.95</v>
      </c>
      <c r="AJ125" s="483">
        <f t="shared" si="182"/>
        <v>7007.86</v>
      </c>
      <c r="AK125" s="83"/>
      <c r="AL125" s="114">
        <f t="shared" si="159"/>
        <v>2775.85</v>
      </c>
      <c r="AM125" s="497">
        <f t="shared" si="145"/>
        <v>4122.72</v>
      </c>
      <c r="AN125" s="192">
        <f t="shared" si="160"/>
        <v>0</v>
      </c>
      <c r="AO125" s="114">
        <f t="shared" si="161"/>
        <v>-311.25</v>
      </c>
      <c r="AP125" s="137">
        <f t="shared" si="162"/>
        <v>0</v>
      </c>
      <c r="AQ125" s="137">
        <f t="shared" si="163"/>
        <v>65.36</v>
      </c>
      <c r="AR125" s="84">
        <f t="shared" si="164"/>
        <v>65.36</v>
      </c>
      <c r="AS125" s="84">
        <f t="shared" si="165"/>
        <v>0</v>
      </c>
      <c r="AT125" s="84">
        <f t="shared" si="166"/>
        <v>0</v>
      </c>
      <c r="AU125" s="84">
        <f t="shared" si="167"/>
        <v>0</v>
      </c>
      <c r="AV125" s="84">
        <f t="shared" si="168"/>
        <v>0</v>
      </c>
      <c r="AW125" s="487">
        <v>2880.2</v>
      </c>
      <c r="AX125" s="137">
        <f t="shared" si="169"/>
        <v>145.93</v>
      </c>
      <c r="AY125" s="137">
        <f t="shared" si="170"/>
        <v>0</v>
      </c>
      <c r="AZ125" s="137">
        <f t="shared" si="171"/>
        <v>87.56</v>
      </c>
      <c r="BA125" s="137">
        <f t="shared" si="172"/>
        <v>-5.27</v>
      </c>
      <c r="BB125" s="137">
        <f t="shared" si="173"/>
        <v>-1.95</v>
      </c>
      <c r="BC125" s="84">
        <f t="shared" si="174"/>
        <v>226.27</v>
      </c>
      <c r="BD125" s="84">
        <f t="shared" si="175"/>
        <v>-40.729999999999997</v>
      </c>
      <c r="BE125" s="84">
        <f t="shared" si="176"/>
        <v>0</v>
      </c>
      <c r="BF125" s="116">
        <f t="shared" si="177"/>
        <v>-40.729999999999997</v>
      </c>
      <c r="BG125" s="496">
        <f t="shared" si="178"/>
        <v>3876.83</v>
      </c>
      <c r="BH125" s="496">
        <f t="shared" si="179"/>
        <v>3065.74</v>
      </c>
      <c r="BI125" s="496">
        <f t="shared" si="180"/>
        <v>6942.57</v>
      </c>
    </row>
    <row r="126" spans="1:61" s="480" customFormat="1" ht="16.149999999999999" customHeight="1">
      <c r="A126" s="495" t="s">
        <v>195</v>
      </c>
      <c r="B126" s="494" t="s">
        <v>302</v>
      </c>
      <c r="C126" s="493" t="s">
        <v>62</v>
      </c>
      <c r="D126" s="385" t="s">
        <v>12</v>
      </c>
      <c r="E126" s="314">
        <v>4384</v>
      </c>
      <c r="F126" s="500">
        <v>10</v>
      </c>
      <c r="G126" s="491">
        <v>3999.94</v>
      </c>
      <c r="H126" s="485">
        <v>0</v>
      </c>
      <c r="I126" s="490">
        <f t="shared" si="147"/>
        <v>3999.94</v>
      </c>
      <c r="J126" s="489">
        <f t="shared" ref="J126:J157" si="185">(I126/(I$184))</f>
        <v>7.4767899999999997E-3</v>
      </c>
      <c r="K126" s="484">
        <f t="shared" ref="K126:K157" si="186">J126*K$184</f>
        <v>-448.5</v>
      </c>
      <c r="L126" s="484">
        <f t="shared" si="184"/>
        <v>0</v>
      </c>
      <c r="M126" s="484">
        <f t="shared" ref="M126:M157" si="187">$J126*M$184</f>
        <v>94.18</v>
      </c>
      <c r="N126" s="485">
        <f t="shared" si="148"/>
        <v>94.18</v>
      </c>
      <c r="O126" s="485">
        <f t="shared" si="181"/>
        <v>0</v>
      </c>
      <c r="P126" s="485">
        <f t="shared" si="181"/>
        <v>0</v>
      </c>
      <c r="Q126" s="485">
        <f t="shared" si="149"/>
        <v>0</v>
      </c>
      <c r="R126" s="484">
        <f t="shared" si="150"/>
        <v>0</v>
      </c>
      <c r="S126" s="485">
        <f t="shared" si="151"/>
        <v>4094.12</v>
      </c>
      <c r="T126" s="488">
        <f t="shared" ref="T126:T157" si="188">((S126/S$184)*T$184)</f>
        <v>4890.26</v>
      </c>
      <c r="U126" s="487">
        <v>3672.04</v>
      </c>
      <c r="V126" s="486">
        <f t="shared" si="152"/>
        <v>7.4767899999999997E-3</v>
      </c>
      <c r="W126" s="484">
        <f t="shared" ref="W126:W157" si="189">($V126*W$184)</f>
        <v>210.28</v>
      </c>
      <c r="X126" s="484">
        <v>0</v>
      </c>
      <c r="Y126" s="484">
        <f t="shared" si="183"/>
        <v>126.17</v>
      </c>
      <c r="Z126" s="484">
        <f t="shared" si="183"/>
        <v>-7.6</v>
      </c>
      <c r="AA126" s="484">
        <f t="shared" si="183"/>
        <v>-2.82</v>
      </c>
      <c r="AB126" s="485">
        <f t="shared" si="153"/>
        <v>326.02999999999997</v>
      </c>
      <c r="AC126" s="485">
        <f t="shared" ref="AC126:AC157" si="190">(V126*AC$184)</f>
        <v>-58.7</v>
      </c>
      <c r="AD126" s="498">
        <f>(F126/F$184)*AD$184</f>
        <v>-41.12</v>
      </c>
      <c r="AE126" s="498">
        <v>0</v>
      </c>
      <c r="AF126" s="485">
        <f t="shared" si="154"/>
        <v>-41.12</v>
      </c>
      <c r="AG126" s="484">
        <f t="shared" si="155"/>
        <v>-99.82</v>
      </c>
      <c r="AH126" s="381">
        <f t="shared" si="156"/>
        <v>3898.25</v>
      </c>
      <c r="AI126" s="483">
        <f t="shared" si="157"/>
        <v>7992.37</v>
      </c>
      <c r="AJ126" s="483">
        <f t="shared" si="182"/>
        <v>9481.9500000000007</v>
      </c>
      <c r="AK126" s="83"/>
      <c r="AL126" s="114">
        <f t="shared" si="159"/>
        <v>3999.94</v>
      </c>
      <c r="AM126" s="497">
        <f t="shared" ref="AM126:AM157" si="191">(AL126/AL$184)*AM$184</f>
        <v>5940.75</v>
      </c>
      <c r="AN126" s="192">
        <f t="shared" si="160"/>
        <v>0</v>
      </c>
      <c r="AO126" s="114">
        <f t="shared" si="161"/>
        <v>-448.5</v>
      </c>
      <c r="AP126" s="137">
        <f t="shared" si="162"/>
        <v>0</v>
      </c>
      <c r="AQ126" s="137">
        <f t="shared" si="163"/>
        <v>94.18</v>
      </c>
      <c r="AR126" s="84">
        <f t="shared" si="164"/>
        <v>94.18</v>
      </c>
      <c r="AS126" s="84">
        <f t="shared" si="165"/>
        <v>0</v>
      </c>
      <c r="AT126" s="84">
        <f t="shared" si="166"/>
        <v>0</v>
      </c>
      <c r="AU126" s="84">
        <f t="shared" si="167"/>
        <v>0</v>
      </c>
      <c r="AV126" s="84">
        <f t="shared" si="168"/>
        <v>0</v>
      </c>
      <c r="AW126" s="487">
        <v>3672.04</v>
      </c>
      <c r="AX126" s="137">
        <f t="shared" si="169"/>
        <v>210.28</v>
      </c>
      <c r="AY126" s="137">
        <f t="shared" si="170"/>
        <v>0</v>
      </c>
      <c r="AZ126" s="137">
        <f t="shared" si="171"/>
        <v>126.17</v>
      </c>
      <c r="BA126" s="137">
        <f t="shared" si="172"/>
        <v>-7.6</v>
      </c>
      <c r="BB126" s="137">
        <f t="shared" si="173"/>
        <v>-2.82</v>
      </c>
      <c r="BC126" s="84">
        <f t="shared" si="174"/>
        <v>326.02999999999997</v>
      </c>
      <c r="BD126" s="84">
        <f t="shared" si="175"/>
        <v>-58.7</v>
      </c>
      <c r="BE126" s="84">
        <f t="shared" si="176"/>
        <v>-41.12</v>
      </c>
      <c r="BF126" s="116">
        <f t="shared" si="177"/>
        <v>-99.82</v>
      </c>
      <c r="BG126" s="496">
        <f t="shared" si="178"/>
        <v>5586.43</v>
      </c>
      <c r="BH126" s="496">
        <f t="shared" si="179"/>
        <v>3898.25</v>
      </c>
      <c r="BI126" s="496">
        <f t="shared" si="180"/>
        <v>9484.68</v>
      </c>
    </row>
    <row r="127" spans="1:61" s="480" customFormat="1" ht="16.149999999999999" customHeight="1">
      <c r="A127" s="495" t="s">
        <v>195</v>
      </c>
      <c r="B127" s="494" t="s">
        <v>303</v>
      </c>
      <c r="C127" s="493" t="s">
        <v>62</v>
      </c>
      <c r="D127" s="385" t="s">
        <v>12</v>
      </c>
      <c r="E127" s="314">
        <v>8402</v>
      </c>
      <c r="F127" s="500">
        <v>10</v>
      </c>
      <c r="G127" s="491">
        <v>1999.91</v>
      </c>
      <c r="H127" s="485">
        <v>0</v>
      </c>
      <c r="I127" s="490">
        <f t="shared" si="147"/>
        <v>1999.91</v>
      </c>
      <c r="J127" s="489">
        <f t="shared" si="185"/>
        <v>3.7382800000000001E-3</v>
      </c>
      <c r="K127" s="484">
        <f t="shared" si="186"/>
        <v>-224.24</v>
      </c>
      <c r="L127" s="484">
        <f t="shared" si="184"/>
        <v>0</v>
      </c>
      <c r="M127" s="484">
        <f t="shared" si="187"/>
        <v>47.09</v>
      </c>
      <c r="N127" s="485">
        <f t="shared" si="148"/>
        <v>47.09</v>
      </c>
      <c r="O127" s="485">
        <f t="shared" si="181"/>
        <v>0</v>
      </c>
      <c r="P127" s="485">
        <f t="shared" si="181"/>
        <v>0</v>
      </c>
      <c r="Q127" s="485">
        <f t="shared" si="149"/>
        <v>0</v>
      </c>
      <c r="R127" s="484">
        <f t="shared" si="150"/>
        <v>0</v>
      </c>
      <c r="S127" s="485">
        <f t="shared" si="151"/>
        <v>2047</v>
      </c>
      <c r="T127" s="488">
        <f t="shared" si="188"/>
        <v>2445.06</v>
      </c>
      <c r="U127" s="487">
        <v>1596.91</v>
      </c>
      <c r="V127" s="486">
        <f t="shared" si="152"/>
        <v>3.7382800000000001E-3</v>
      </c>
      <c r="W127" s="484">
        <f t="shared" si="189"/>
        <v>105.14</v>
      </c>
      <c r="X127" s="484">
        <v>0</v>
      </c>
      <c r="Y127" s="484">
        <f t="shared" si="183"/>
        <v>63.08</v>
      </c>
      <c r="Z127" s="484">
        <f t="shared" si="183"/>
        <v>-3.8</v>
      </c>
      <c r="AA127" s="484">
        <f t="shared" si="183"/>
        <v>-1.41</v>
      </c>
      <c r="AB127" s="485">
        <f t="shared" si="153"/>
        <v>163.01</v>
      </c>
      <c r="AC127" s="485">
        <f t="shared" si="190"/>
        <v>-29.35</v>
      </c>
      <c r="AD127" s="498">
        <f>(F127/F$184)*AD$184</f>
        <v>-41.12</v>
      </c>
      <c r="AE127" s="498">
        <v>0</v>
      </c>
      <c r="AF127" s="485">
        <f t="shared" si="154"/>
        <v>-41.12</v>
      </c>
      <c r="AG127" s="484">
        <f t="shared" si="155"/>
        <v>-70.47</v>
      </c>
      <c r="AH127" s="381">
        <f t="shared" si="156"/>
        <v>1689.45</v>
      </c>
      <c r="AI127" s="483">
        <f t="shared" si="157"/>
        <v>3736.45</v>
      </c>
      <c r="AJ127" s="483">
        <f t="shared" si="182"/>
        <v>4432.83</v>
      </c>
      <c r="AK127" s="83"/>
      <c r="AL127" s="114">
        <f t="shared" si="159"/>
        <v>1999.91</v>
      </c>
      <c r="AM127" s="497">
        <f t="shared" si="191"/>
        <v>2970.29</v>
      </c>
      <c r="AN127" s="192">
        <f t="shared" si="160"/>
        <v>0</v>
      </c>
      <c r="AO127" s="114">
        <f t="shared" si="161"/>
        <v>-224.24</v>
      </c>
      <c r="AP127" s="137">
        <f t="shared" si="162"/>
        <v>0</v>
      </c>
      <c r="AQ127" s="137">
        <f t="shared" si="163"/>
        <v>47.09</v>
      </c>
      <c r="AR127" s="84">
        <f t="shared" si="164"/>
        <v>47.09</v>
      </c>
      <c r="AS127" s="84">
        <f t="shared" si="165"/>
        <v>0</v>
      </c>
      <c r="AT127" s="84">
        <f t="shared" si="166"/>
        <v>0</v>
      </c>
      <c r="AU127" s="84">
        <f t="shared" si="167"/>
        <v>0</v>
      </c>
      <c r="AV127" s="84">
        <f t="shared" si="168"/>
        <v>0</v>
      </c>
      <c r="AW127" s="487">
        <v>1596.91</v>
      </c>
      <c r="AX127" s="137">
        <f t="shared" si="169"/>
        <v>105.14</v>
      </c>
      <c r="AY127" s="137">
        <f t="shared" si="170"/>
        <v>0</v>
      </c>
      <c r="AZ127" s="137">
        <f t="shared" si="171"/>
        <v>63.08</v>
      </c>
      <c r="BA127" s="137">
        <f t="shared" si="172"/>
        <v>-3.8</v>
      </c>
      <c r="BB127" s="137">
        <f t="shared" si="173"/>
        <v>-1.41</v>
      </c>
      <c r="BC127" s="84">
        <f t="shared" si="174"/>
        <v>163.01</v>
      </c>
      <c r="BD127" s="84">
        <f t="shared" si="175"/>
        <v>-29.35</v>
      </c>
      <c r="BE127" s="84">
        <f t="shared" si="176"/>
        <v>-41.12</v>
      </c>
      <c r="BF127" s="116">
        <f t="shared" si="177"/>
        <v>-70.47</v>
      </c>
      <c r="BG127" s="496">
        <f t="shared" si="178"/>
        <v>2793.14</v>
      </c>
      <c r="BH127" s="496">
        <f t="shared" si="179"/>
        <v>1689.45</v>
      </c>
      <c r="BI127" s="496">
        <f t="shared" si="180"/>
        <v>4482.59</v>
      </c>
    </row>
    <row r="128" spans="1:61" s="480" customFormat="1" ht="16.149999999999999" customHeight="1">
      <c r="A128" s="495" t="s">
        <v>195</v>
      </c>
      <c r="B128" s="494" t="s">
        <v>304</v>
      </c>
      <c r="C128" s="493" t="s">
        <v>62</v>
      </c>
      <c r="D128" s="385" t="s">
        <v>12</v>
      </c>
      <c r="E128" s="314">
        <v>8767</v>
      </c>
      <c r="F128" s="500">
        <v>20</v>
      </c>
      <c r="G128" s="491">
        <v>3999.94</v>
      </c>
      <c r="H128" s="485">
        <v>0</v>
      </c>
      <c r="I128" s="490">
        <f t="shared" si="147"/>
        <v>3999.94</v>
      </c>
      <c r="J128" s="489">
        <f t="shared" si="185"/>
        <v>7.4767899999999997E-3</v>
      </c>
      <c r="K128" s="484">
        <f t="shared" si="186"/>
        <v>-448.5</v>
      </c>
      <c r="L128" s="484">
        <f t="shared" si="184"/>
        <v>0</v>
      </c>
      <c r="M128" s="484">
        <f t="shared" si="187"/>
        <v>94.18</v>
      </c>
      <c r="N128" s="485">
        <f t="shared" si="148"/>
        <v>94.18</v>
      </c>
      <c r="O128" s="485">
        <f t="shared" si="181"/>
        <v>0</v>
      </c>
      <c r="P128" s="485">
        <f t="shared" si="181"/>
        <v>0</v>
      </c>
      <c r="Q128" s="485">
        <f t="shared" si="149"/>
        <v>0</v>
      </c>
      <c r="R128" s="484">
        <f t="shared" si="150"/>
        <v>0</v>
      </c>
      <c r="S128" s="485">
        <f t="shared" si="151"/>
        <v>4094.12</v>
      </c>
      <c r="T128" s="488">
        <f t="shared" si="188"/>
        <v>4890.26</v>
      </c>
      <c r="U128" s="487">
        <v>3193.86</v>
      </c>
      <c r="V128" s="486">
        <f t="shared" si="152"/>
        <v>7.4767899999999997E-3</v>
      </c>
      <c r="W128" s="484">
        <f t="shared" si="189"/>
        <v>210.28</v>
      </c>
      <c r="X128" s="484">
        <v>0</v>
      </c>
      <c r="Y128" s="484">
        <f t="shared" si="183"/>
        <v>126.17</v>
      </c>
      <c r="Z128" s="484">
        <f t="shared" si="183"/>
        <v>-7.6</v>
      </c>
      <c r="AA128" s="484">
        <f t="shared" si="183"/>
        <v>-2.82</v>
      </c>
      <c r="AB128" s="485">
        <f t="shared" si="153"/>
        <v>326.02999999999997</v>
      </c>
      <c r="AC128" s="485">
        <f t="shared" si="190"/>
        <v>-58.7</v>
      </c>
      <c r="AD128" s="498">
        <f>((F128/F$184)*AD$184)+0.01</f>
        <v>-82.23</v>
      </c>
      <c r="AE128" s="498">
        <v>0</v>
      </c>
      <c r="AF128" s="485">
        <f t="shared" si="154"/>
        <v>-82.23</v>
      </c>
      <c r="AG128" s="484">
        <f t="shared" si="155"/>
        <v>-140.93</v>
      </c>
      <c r="AH128" s="381">
        <f t="shared" si="156"/>
        <v>3378.96</v>
      </c>
      <c r="AI128" s="483">
        <f t="shared" si="157"/>
        <v>7473.08</v>
      </c>
      <c r="AJ128" s="483">
        <f t="shared" si="182"/>
        <v>8865.8700000000008</v>
      </c>
      <c r="AK128" s="83"/>
      <c r="AL128" s="114">
        <f t="shared" si="159"/>
        <v>3999.94</v>
      </c>
      <c r="AM128" s="497">
        <f t="shared" si="191"/>
        <v>5940.75</v>
      </c>
      <c r="AN128" s="192">
        <f t="shared" si="160"/>
        <v>0</v>
      </c>
      <c r="AO128" s="114">
        <f t="shared" si="161"/>
        <v>-448.5</v>
      </c>
      <c r="AP128" s="137">
        <f t="shared" si="162"/>
        <v>0</v>
      </c>
      <c r="AQ128" s="137">
        <f t="shared" si="163"/>
        <v>94.18</v>
      </c>
      <c r="AR128" s="84">
        <f t="shared" si="164"/>
        <v>94.18</v>
      </c>
      <c r="AS128" s="84">
        <f t="shared" si="165"/>
        <v>0</v>
      </c>
      <c r="AT128" s="84">
        <f t="shared" si="166"/>
        <v>0</v>
      </c>
      <c r="AU128" s="84">
        <f t="shared" si="167"/>
        <v>0</v>
      </c>
      <c r="AV128" s="84">
        <f t="shared" si="168"/>
        <v>0</v>
      </c>
      <c r="AW128" s="487">
        <v>3193.86</v>
      </c>
      <c r="AX128" s="137">
        <f t="shared" si="169"/>
        <v>210.28</v>
      </c>
      <c r="AY128" s="137">
        <f t="shared" si="170"/>
        <v>0</v>
      </c>
      <c r="AZ128" s="137">
        <f t="shared" si="171"/>
        <v>126.17</v>
      </c>
      <c r="BA128" s="137">
        <f t="shared" si="172"/>
        <v>-7.6</v>
      </c>
      <c r="BB128" s="137">
        <f t="shared" si="173"/>
        <v>-2.82</v>
      </c>
      <c r="BC128" s="84">
        <f t="shared" si="174"/>
        <v>326.02999999999997</v>
      </c>
      <c r="BD128" s="84">
        <f t="shared" si="175"/>
        <v>-58.7</v>
      </c>
      <c r="BE128" s="84">
        <f t="shared" si="176"/>
        <v>-82.23</v>
      </c>
      <c r="BF128" s="116">
        <f t="shared" si="177"/>
        <v>-140.93</v>
      </c>
      <c r="BG128" s="496">
        <f t="shared" si="178"/>
        <v>5586.43</v>
      </c>
      <c r="BH128" s="496">
        <f t="shared" si="179"/>
        <v>3378.96</v>
      </c>
      <c r="BI128" s="496">
        <f t="shared" si="180"/>
        <v>8965.39</v>
      </c>
    </row>
    <row r="129" spans="1:61" s="480" customFormat="1" ht="16.149999999999999" customHeight="1">
      <c r="A129" s="495" t="s">
        <v>195</v>
      </c>
      <c r="B129" s="494" t="s">
        <v>305</v>
      </c>
      <c r="C129" s="493" t="s">
        <v>62</v>
      </c>
      <c r="D129" s="385" t="s">
        <v>12</v>
      </c>
      <c r="E129" s="314">
        <v>19725</v>
      </c>
      <c r="F129" s="500">
        <v>8</v>
      </c>
      <c r="G129" s="491">
        <v>2999.89</v>
      </c>
      <c r="H129" s="485">
        <v>0</v>
      </c>
      <c r="I129" s="490">
        <f t="shared" si="147"/>
        <v>2999.89</v>
      </c>
      <c r="J129" s="489">
        <f t="shared" si="185"/>
        <v>5.6074699999999998E-3</v>
      </c>
      <c r="K129" s="484">
        <f t="shared" si="186"/>
        <v>-336.37</v>
      </c>
      <c r="L129" s="484">
        <f t="shared" si="184"/>
        <v>0</v>
      </c>
      <c r="M129" s="484">
        <f t="shared" si="187"/>
        <v>70.63</v>
      </c>
      <c r="N129" s="485">
        <f t="shared" si="148"/>
        <v>70.63</v>
      </c>
      <c r="O129" s="485">
        <f t="shared" si="181"/>
        <v>0</v>
      </c>
      <c r="P129" s="485">
        <f t="shared" si="181"/>
        <v>0</v>
      </c>
      <c r="Q129" s="485">
        <f t="shared" si="149"/>
        <v>0</v>
      </c>
      <c r="R129" s="484">
        <f t="shared" si="150"/>
        <v>0</v>
      </c>
      <c r="S129" s="485">
        <f t="shared" si="151"/>
        <v>3070.52</v>
      </c>
      <c r="T129" s="488">
        <f t="shared" si="188"/>
        <v>3667.61</v>
      </c>
      <c r="U129" s="487">
        <v>2730.08</v>
      </c>
      <c r="V129" s="486">
        <f t="shared" si="152"/>
        <v>5.6074699999999998E-3</v>
      </c>
      <c r="W129" s="484">
        <f t="shared" si="189"/>
        <v>157.69999999999999</v>
      </c>
      <c r="X129" s="484">
        <v>0</v>
      </c>
      <c r="Y129" s="484">
        <f t="shared" si="183"/>
        <v>94.62</v>
      </c>
      <c r="Z129" s="484">
        <f t="shared" si="183"/>
        <v>-5.7</v>
      </c>
      <c r="AA129" s="484">
        <f t="shared" si="183"/>
        <v>-2.11</v>
      </c>
      <c r="AB129" s="485">
        <f t="shared" si="153"/>
        <v>244.51</v>
      </c>
      <c r="AC129" s="485">
        <f t="shared" si="190"/>
        <v>-44.02</v>
      </c>
      <c r="AD129" s="498">
        <f>(F129/F$184)*AD$184</f>
        <v>-32.9</v>
      </c>
      <c r="AE129" s="498">
        <v>0</v>
      </c>
      <c r="AF129" s="485">
        <f t="shared" si="154"/>
        <v>-32.9</v>
      </c>
      <c r="AG129" s="484">
        <f t="shared" si="155"/>
        <v>-76.92</v>
      </c>
      <c r="AH129" s="381">
        <f t="shared" si="156"/>
        <v>2897.67</v>
      </c>
      <c r="AI129" s="483">
        <f t="shared" si="157"/>
        <v>5968.19</v>
      </c>
      <c r="AJ129" s="483">
        <f t="shared" si="182"/>
        <v>7080.51</v>
      </c>
      <c r="AK129" s="83"/>
      <c r="AL129" s="114">
        <f t="shared" si="159"/>
        <v>2999.89</v>
      </c>
      <c r="AM129" s="497">
        <f t="shared" si="191"/>
        <v>4455.47</v>
      </c>
      <c r="AN129" s="192">
        <f t="shared" si="160"/>
        <v>0</v>
      </c>
      <c r="AO129" s="114">
        <f t="shared" si="161"/>
        <v>-336.37</v>
      </c>
      <c r="AP129" s="137">
        <f t="shared" si="162"/>
        <v>0</v>
      </c>
      <c r="AQ129" s="137">
        <f t="shared" si="163"/>
        <v>70.63</v>
      </c>
      <c r="AR129" s="84">
        <f t="shared" si="164"/>
        <v>70.63</v>
      </c>
      <c r="AS129" s="84">
        <f t="shared" si="165"/>
        <v>0</v>
      </c>
      <c r="AT129" s="84">
        <f t="shared" si="166"/>
        <v>0</v>
      </c>
      <c r="AU129" s="84">
        <f t="shared" si="167"/>
        <v>0</v>
      </c>
      <c r="AV129" s="84">
        <f t="shared" si="168"/>
        <v>0</v>
      </c>
      <c r="AW129" s="487">
        <v>2730.08</v>
      </c>
      <c r="AX129" s="137">
        <f t="shared" si="169"/>
        <v>157.69999999999999</v>
      </c>
      <c r="AY129" s="137">
        <f t="shared" si="170"/>
        <v>0</v>
      </c>
      <c r="AZ129" s="137">
        <f t="shared" si="171"/>
        <v>94.62</v>
      </c>
      <c r="BA129" s="137">
        <f t="shared" si="172"/>
        <v>-5.7</v>
      </c>
      <c r="BB129" s="137">
        <f t="shared" si="173"/>
        <v>-2.11</v>
      </c>
      <c r="BC129" s="84">
        <f t="shared" si="174"/>
        <v>244.51</v>
      </c>
      <c r="BD129" s="84">
        <f t="shared" si="175"/>
        <v>-44.02</v>
      </c>
      <c r="BE129" s="84">
        <f t="shared" si="176"/>
        <v>-32.9</v>
      </c>
      <c r="BF129" s="116">
        <f t="shared" si="177"/>
        <v>-76.92</v>
      </c>
      <c r="BG129" s="496">
        <f t="shared" si="178"/>
        <v>4189.7299999999996</v>
      </c>
      <c r="BH129" s="496">
        <f t="shared" si="179"/>
        <v>2897.67</v>
      </c>
      <c r="BI129" s="496">
        <f t="shared" si="180"/>
        <v>7087.4</v>
      </c>
    </row>
    <row r="130" spans="1:61" s="480" customFormat="1" ht="16.149999999999999" customHeight="1">
      <c r="A130" s="495" t="s">
        <v>195</v>
      </c>
      <c r="B130" s="494" t="s">
        <v>306</v>
      </c>
      <c r="C130" s="493" t="s">
        <v>62</v>
      </c>
      <c r="D130" s="385" t="s">
        <v>12</v>
      </c>
      <c r="E130" s="314">
        <v>5845</v>
      </c>
      <c r="F130" s="500">
        <v>10</v>
      </c>
      <c r="G130" s="491">
        <v>1999.91</v>
      </c>
      <c r="H130" s="485">
        <v>0</v>
      </c>
      <c r="I130" s="490">
        <f t="shared" si="147"/>
        <v>1999.91</v>
      </c>
      <c r="J130" s="489">
        <f t="shared" si="185"/>
        <v>3.7382800000000001E-3</v>
      </c>
      <c r="K130" s="484">
        <f t="shared" si="186"/>
        <v>-224.24</v>
      </c>
      <c r="L130" s="484">
        <f t="shared" si="184"/>
        <v>0</v>
      </c>
      <c r="M130" s="484">
        <f t="shared" si="187"/>
        <v>47.09</v>
      </c>
      <c r="N130" s="485">
        <f t="shared" si="148"/>
        <v>47.09</v>
      </c>
      <c r="O130" s="485">
        <f t="shared" si="181"/>
        <v>0</v>
      </c>
      <c r="P130" s="485">
        <f t="shared" si="181"/>
        <v>0</v>
      </c>
      <c r="Q130" s="485">
        <f t="shared" si="149"/>
        <v>0</v>
      </c>
      <c r="R130" s="484">
        <f t="shared" si="150"/>
        <v>0</v>
      </c>
      <c r="S130" s="485">
        <f t="shared" si="151"/>
        <v>2047</v>
      </c>
      <c r="T130" s="488">
        <f t="shared" si="188"/>
        <v>2445.06</v>
      </c>
      <c r="U130" s="487">
        <v>1596.91</v>
      </c>
      <c r="V130" s="486">
        <f t="shared" si="152"/>
        <v>3.7382800000000001E-3</v>
      </c>
      <c r="W130" s="484">
        <f t="shared" si="189"/>
        <v>105.14</v>
      </c>
      <c r="X130" s="484">
        <v>0</v>
      </c>
      <c r="Y130" s="484">
        <f t="shared" si="183"/>
        <v>63.08</v>
      </c>
      <c r="Z130" s="484">
        <f t="shared" si="183"/>
        <v>-3.8</v>
      </c>
      <c r="AA130" s="484">
        <f t="shared" si="183"/>
        <v>-1.41</v>
      </c>
      <c r="AB130" s="485">
        <f t="shared" si="153"/>
        <v>163.01</v>
      </c>
      <c r="AC130" s="485">
        <f t="shared" si="190"/>
        <v>-29.35</v>
      </c>
      <c r="AD130" s="498">
        <f>(F130/F$184)*AD$184</f>
        <v>-41.12</v>
      </c>
      <c r="AE130" s="498">
        <v>0</v>
      </c>
      <c r="AF130" s="485">
        <f t="shared" si="154"/>
        <v>-41.12</v>
      </c>
      <c r="AG130" s="484">
        <f t="shared" si="155"/>
        <v>-70.47</v>
      </c>
      <c r="AH130" s="381">
        <f t="shared" si="156"/>
        <v>1689.45</v>
      </c>
      <c r="AI130" s="483">
        <f t="shared" si="157"/>
        <v>3736.45</v>
      </c>
      <c r="AJ130" s="483">
        <f t="shared" si="182"/>
        <v>4432.83</v>
      </c>
      <c r="AK130" s="83"/>
      <c r="AL130" s="114">
        <f t="shared" si="159"/>
        <v>1999.91</v>
      </c>
      <c r="AM130" s="497">
        <f t="shared" si="191"/>
        <v>2970.29</v>
      </c>
      <c r="AN130" s="192">
        <f t="shared" si="160"/>
        <v>0</v>
      </c>
      <c r="AO130" s="114">
        <f t="shared" si="161"/>
        <v>-224.24</v>
      </c>
      <c r="AP130" s="137">
        <f t="shared" si="162"/>
        <v>0</v>
      </c>
      <c r="AQ130" s="137">
        <f t="shared" si="163"/>
        <v>47.09</v>
      </c>
      <c r="AR130" s="84">
        <f t="shared" si="164"/>
        <v>47.09</v>
      </c>
      <c r="AS130" s="84">
        <f t="shared" si="165"/>
        <v>0</v>
      </c>
      <c r="AT130" s="84">
        <f t="shared" si="166"/>
        <v>0</v>
      </c>
      <c r="AU130" s="84">
        <f t="shared" si="167"/>
        <v>0</v>
      </c>
      <c r="AV130" s="84">
        <f t="shared" si="168"/>
        <v>0</v>
      </c>
      <c r="AW130" s="487">
        <v>1596.91</v>
      </c>
      <c r="AX130" s="137">
        <f t="shared" si="169"/>
        <v>105.14</v>
      </c>
      <c r="AY130" s="137">
        <f t="shared" si="170"/>
        <v>0</v>
      </c>
      <c r="AZ130" s="137">
        <f t="shared" si="171"/>
        <v>63.08</v>
      </c>
      <c r="BA130" s="137">
        <f t="shared" si="172"/>
        <v>-3.8</v>
      </c>
      <c r="BB130" s="137">
        <f t="shared" si="173"/>
        <v>-1.41</v>
      </c>
      <c r="BC130" s="84">
        <f t="shared" si="174"/>
        <v>163.01</v>
      </c>
      <c r="BD130" s="84">
        <f t="shared" si="175"/>
        <v>-29.35</v>
      </c>
      <c r="BE130" s="84">
        <f t="shared" si="176"/>
        <v>-41.12</v>
      </c>
      <c r="BF130" s="116">
        <f t="shared" si="177"/>
        <v>-70.47</v>
      </c>
      <c r="BG130" s="496">
        <f t="shared" si="178"/>
        <v>2793.14</v>
      </c>
      <c r="BH130" s="496">
        <f t="shared" si="179"/>
        <v>1689.45</v>
      </c>
      <c r="BI130" s="496">
        <f t="shared" si="180"/>
        <v>4482.59</v>
      </c>
    </row>
    <row r="131" spans="1:61" s="480" customFormat="1" ht="16.149999999999999" customHeight="1">
      <c r="A131" s="495" t="s">
        <v>195</v>
      </c>
      <c r="B131" s="494" t="s">
        <v>307</v>
      </c>
      <c r="C131" s="493" t="s">
        <v>62</v>
      </c>
      <c r="D131" s="385" t="s">
        <v>12</v>
      </c>
      <c r="E131" s="314">
        <v>9863</v>
      </c>
      <c r="F131" s="500">
        <v>10</v>
      </c>
      <c r="G131" s="491">
        <v>3999.94</v>
      </c>
      <c r="H131" s="485">
        <v>0</v>
      </c>
      <c r="I131" s="490">
        <f t="shared" si="147"/>
        <v>3999.94</v>
      </c>
      <c r="J131" s="489">
        <f t="shared" si="185"/>
        <v>7.4767899999999997E-3</v>
      </c>
      <c r="K131" s="484">
        <f t="shared" si="186"/>
        <v>-448.5</v>
      </c>
      <c r="L131" s="484">
        <f t="shared" si="184"/>
        <v>0</v>
      </c>
      <c r="M131" s="484">
        <f t="shared" si="187"/>
        <v>94.18</v>
      </c>
      <c r="N131" s="485">
        <f t="shared" si="148"/>
        <v>94.18</v>
      </c>
      <c r="O131" s="485">
        <f t="shared" si="181"/>
        <v>0</v>
      </c>
      <c r="P131" s="485">
        <f t="shared" si="181"/>
        <v>0</v>
      </c>
      <c r="Q131" s="485">
        <f t="shared" si="149"/>
        <v>0</v>
      </c>
      <c r="R131" s="484">
        <f t="shared" si="150"/>
        <v>0</v>
      </c>
      <c r="S131" s="485">
        <f t="shared" si="151"/>
        <v>4094.12</v>
      </c>
      <c r="T131" s="488">
        <f t="shared" si="188"/>
        <v>4890.26</v>
      </c>
      <c r="U131" s="487">
        <v>3672.04</v>
      </c>
      <c r="V131" s="486">
        <f t="shared" si="152"/>
        <v>7.4767899999999997E-3</v>
      </c>
      <c r="W131" s="484">
        <f t="shared" si="189"/>
        <v>210.28</v>
      </c>
      <c r="X131" s="484">
        <v>0</v>
      </c>
      <c r="Y131" s="484">
        <f t="shared" si="183"/>
        <v>126.17</v>
      </c>
      <c r="Z131" s="484">
        <f t="shared" si="183"/>
        <v>-7.6</v>
      </c>
      <c r="AA131" s="484">
        <f t="shared" si="183"/>
        <v>-2.82</v>
      </c>
      <c r="AB131" s="485">
        <f t="shared" si="153"/>
        <v>326.02999999999997</v>
      </c>
      <c r="AC131" s="485">
        <f t="shared" si="190"/>
        <v>-58.7</v>
      </c>
      <c r="AD131" s="498">
        <f>(F131/F$184)*AD$184</f>
        <v>-41.12</v>
      </c>
      <c r="AE131" s="498">
        <v>0</v>
      </c>
      <c r="AF131" s="485">
        <f t="shared" si="154"/>
        <v>-41.12</v>
      </c>
      <c r="AG131" s="484">
        <f t="shared" si="155"/>
        <v>-99.82</v>
      </c>
      <c r="AH131" s="381">
        <f t="shared" si="156"/>
        <v>3898.25</v>
      </c>
      <c r="AI131" s="483">
        <f t="shared" si="157"/>
        <v>7992.37</v>
      </c>
      <c r="AJ131" s="483">
        <f t="shared" si="182"/>
        <v>9481.9500000000007</v>
      </c>
      <c r="AK131" s="83"/>
      <c r="AL131" s="114">
        <f t="shared" si="159"/>
        <v>3999.94</v>
      </c>
      <c r="AM131" s="497">
        <f t="shared" si="191"/>
        <v>5940.75</v>
      </c>
      <c r="AN131" s="192">
        <f t="shared" si="160"/>
        <v>0</v>
      </c>
      <c r="AO131" s="114">
        <f t="shared" si="161"/>
        <v>-448.5</v>
      </c>
      <c r="AP131" s="137">
        <f t="shared" si="162"/>
        <v>0</v>
      </c>
      <c r="AQ131" s="137">
        <f t="shared" si="163"/>
        <v>94.18</v>
      </c>
      <c r="AR131" s="84">
        <f t="shared" si="164"/>
        <v>94.18</v>
      </c>
      <c r="AS131" s="84">
        <f t="shared" si="165"/>
        <v>0</v>
      </c>
      <c r="AT131" s="84">
        <f t="shared" si="166"/>
        <v>0</v>
      </c>
      <c r="AU131" s="84">
        <f t="shared" si="167"/>
        <v>0</v>
      </c>
      <c r="AV131" s="84">
        <f t="shared" si="168"/>
        <v>0</v>
      </c>
      <c r="AW131" s="487">
        <v>3672.04</v>
      </c>
      <c r="AX131" s="137">
        <f t="shared" si="169"/>
        <v>210.28</v>
      </c>
      <c r="AY131" s="137">
        <f t="shared" si="170"/>
        <v>0</v>
      </c>
      <c r="AZ131" s="137">
        <f t="shared" si="171"/>
        <v>126.17</v>
      </c>
      <c r="BA131" s="137">
        <f t="shared" si="172"/>
        <v>-7.6</v>
      </c>
      <c r="BB131" s="137">
        <f t="shared" si="173"/>
        <v>-2.82</v>
      </c>
      <c r="BC131" s="84">
        <f t="shared" si="174"/>
        <v>326.02999999999997</v>
      </c>
      <c r="BD131" s="84">
        <f t="shared" si="175"/>
        <v>-58.7</v>
      </c>
      <c r="BE131" s="84">
        <f t="shared" si="176"/>
        <v>-41.12</v>
      </c>
      <c r="BF131" s="116">
        <f t="shared" si="177"/>
        <v>-99.82</v>
      </c>
      <c r="BG131" s="496">
        <f t="shared" si="178"/>
        <v>5586.43</v>
      </c>
      <c r="BH131" s="496">
        <f t="shared" si="179"/>
        <v>3898.25</v>
      </c>
      <c r="BI131" s="496">
        <f t="shared" si="180"/>
        <v>9484.68</v>
      </c>
    </row>
    <row r="132" spans="1:61" s="480" customFormat="1" ht="16.149999999999999" customHeight="1">
      <c r="A132" s="495" t="s">
        <v>195</v>
      </c>
      <c r="B132" s="494" t="s">
        <v>360</v>
      </c>
      <c r="C132" s="615" t="s">
        <v>63</v>
      </c>
      <c r="D132" s="385" t="s">
        <v>12</v>
      </c>
      <c r="E132" s="314">
        <v>18994</v>
      </c>
      <c r="F132" s="499"/>
      <c r="G132" s="491">
        <v>2999.89</v>
      </c>
      <c r="H132" s="485">
        <v>0</v>
      </c>
      <c r="I132" s="490">
        <f t="shared" si="147"/>
        <v>2999.89</v>
      </c>
      <c r="J132" s="489">
        <f t="shared" si="185"/>
        <v>5.6074699999999998E-3</v>
      </c>
      <c r="K132" s="484">
        <f t="shared" si="186"/>
        <v>-336.37</v>
      </c>
      <c r="L132" s="484">
        <f t="shared" si="184"/>
        <v>0</v>
      </c>
      <c r="M132" s="484">
        <f t="shared" si="187"/>
        <v>70.63</v>
      </c>
      <c r="N132" s="485">
        <f t="shared" si="148"/>
        <v>70.63</v>
      </c>
      <c r="O132" s="485">
        <f t="shared" ref="O132:P151" si="192">$J132*O$184</f>
        <v>0</v>
      </c>
      <c r="P132" s="485">
        <f t="shared" si="192"/>
        <v>0</v>
      </c>
      <c r="Q132" s="485">
        <f t="shared" si="149"/>
        <v>0</v>
      </c>
      <c r="R132" s="484">
        <f t="shared" si="150"/>
        <v>0</v>
      </c>
      <c r="S132" s="485">
        <f t="shared" si="151"/>
        <v>3070.52</v>
      </c>
      <c r="T132" s="488">
        <f t="shared" si="188"/>
        <v>3667.61</v>
      </c>
      <c r="U132" s="487">
        <v>3112.63</v>
      </c>
      <c r="V132" s="486">
        <f t="shared" si="152"/>
        <v>5.6074699999999998E-3</v>
      </c>
      <c r="W132" s="484">
        <f t="shared" si="189"/>
        <v>157.69999999999999</v>
      </c>
      <c r="X132" s="484">
        <v>0</v>
      </c>
      <c r="Y132" s="484">
        <f t="shared" si="183"/>
        <v>94.62</v>
      </c>
      <c r="Z132" s="484">
        <f t="shared" si="183"/>
        <v>-5.7</v>
      </c>
      <c r="AA132" s="484">
        <f t="shared" si="183"/>
        <v>-2.11</v>
      </c>
      <c r="AB132" s="485">
        <f t="shared" si="153"/>
        <v>244.51</v>
      </c>
      <c r="AC132" s="485">
        <f t="shared" si="190"/>
        <v>-44.02</v>
      </c>
      <c r="AD132" s="498">
        <v>0</v>
      </c>
      <c r="AE132" s="498">
        <v>0</v>
      </c>
      <c r="AF132" s="485">
        <f t="shared" si="154"/>
        <v>0</v>
      </c>
      <c r="AG132" s="484">
        <f t="shared" si="155"/>
        <v>-44.02</v>
      </c>
      <c r="AH132" s="381">
        <f t="shared" si="156"/>
        <v>3313.12</v>
      </c>
      <c r="AI132" s="483">
        <f t="shared" si="157"/>
        <v>6383.64</v>
      </c>
      <c r="AJ132" s="483">
        <f t="shared" si="182"/>
        <v>7573.39</v>
      </c>
      <c r="AK132" s="83"/>
      <c r="AL132" s="114">
        <f t="shared" si="159"/>
        <v>2999.89</v>
      </c>
      <c r="AM132" s="497">
        <f t="shared" si="191"/>
        <v>4455.47</v>
      </c>
      <c r="AN132" s="192">
        <f t="shared" si="160"/>
        <v>0</v>
      </c>
      <c r="AO132" s="114">
        <f t="shared" si="161"/>
        <v>-336.37</v>
      </c>
      <c r="AP132" s="137">
        <f t="shared" si="162"/>
        <v>0</v>
      </c>
      <c r="AQ132" s="137">
        <f t="shared" si="163"/>
        <v>70.63</v>
      </c>
      <c r="AR132" s="84">
        <f t="shared" si="164"/>
        <v>70.63</v>
      </c>
      <c r="AS132" s="84">
        <f t="shared" si="165"/>
        <v>0</v>
      </c>
      <c r="AT132" s="84">
        <f t="shared" si="166"/>
        <v>0</v>
      </c>
      <c r="AU132" s="84">
        <f t="shared" si="167"/>
        <v>0</v>
      </c>
      <c r="AV132" s="84">
        <f t="shared" si="168"/>
        <v>0</v>
      </c>
      <c r="AW132" s="487">
        <v>3112.63</v>
      </c>
      <c r="AX132" s="137">
        <f t="shared" si="169"/>
        <v>157.69999999999999</v>
      </c>
      <c r="AY132" s="137">
        <f t="shared" si="170"/>
        <v>0</v>
      </c>
      <c r="AZ132" s="137">
        <f t="shared" si="171"/>
        <v>94.62</v>
      </c>
      <c r="BA132" s="137">
        <f t="shared" si="172"/>
        <v>-5.7</v>
      </c>
      <c r="BB132" s="137">
        <f t="shared" si="173"/>
        <v>-2.11</v>
      </c>
      <c r="BC132" s="84">
        <f t="shared" si="174"/>
        <v>244.51</v>
      </c>
      <c r="BD132" s="84">
        <f t="shared" si="175"/>
        <v>-44.02</v>
      </c>
      <c r="BE132" s="84">
        <f t="shared" si="176"/>
        <v>0</v>
      </c>
      <c r="BF132" s="116">
        <f t="shared" si="177"/>
        <v>-44.02</v>
      </c>
      <c r="BG132" s="496">
        <f t="shared" si="178"/>
        <v>4189.7299999999996</v>
      </c>
      <c r="BH132" s="496">
        <f t="shared" si="179"/>
        <v>3313.12</v>
      </c>
      <c r="BI132" s="496">
        <f t="shared" si="180"/>
        <v>7502.85</v>
      </c>
    </row>
    <row r="133" spans="1:61" s="480" customFormat="1" ht="16.149999999999999" customHeight="1">
      <c r="A133" s="495" t="s">
        <v>195</v>
      </c>
      <c r="B133" s="494" t="s">
        <v>308</v>
      </c>
      <c r="C133" s="493" t="s">
        <v>62</v>
      </c>
      <c r="D133" s="385" t="s">
        <v>12</v>
      </c>
      <c r="E133" s="314">
        <v>7306</v>
      </c>
      <c r="F133" s="500">
        <v>10</v>
      </c>
      <c r="G133" s="491">
        <v>1999.91</v>
      </c>
      <c r="H133" s="485">
        <v>0</v>
      </c>
      <c r="I133" s="490">
        <f t="shared" si="147"/>
        <v>1999.91</v>
      </c>
      <c r="J133" s="489">
        <f t="shared" si="185"/>
        <v>3.7382800000000001E-3</v>
      </c>
      <c r="K133" s="484">
        <f t="shared" si="186"/>
        <v>-224.24</v>
      </c>
      <c r="L133" s="484">
        <f t="shared" si="184"/>
        <v>0</v>
      </c>
      <c r="M133" s="484">
        <f t="shared" si="187"/>
        <v>47.09</v>
      </c>
      <c r="N133" s="485">
        <f t="shared" si="148"/>
        <v>47.09</v>
      </c>
      <c r="O133" s="485">
        <f t="shared" si="192"/>
        <v>0</v>
      </c>
      <c r="P133" s="485">
        <f t="shared" si="192"/>
        <v>0</v>
      </c>
      <c r="Q133" s="485">
        <f t="shared" si="149"/>
        <v>0</v>
      </c>
      <c r="R133" s="484">
        <f t="shared" si="150"/>
        <v>0</v>
      </c>
      <c r="S133" s="485">
        <f t="shared" si="151"/>
        <v>2047</v>
      </c>
      <c r="T133" s="488">
        <f t="shared" si="188"/>
        <v>2445.06</v>
      </c>
      <c r="U133" s="487">
        <v>1596.91</v>
      </c>
      <c r="V133" s="486">
        <f t="shared" si="152"/>
        <v>3.7382800000000001E-3</v>
      </c>
      <c r="W133" s="484">
        <f t="shared" si="189"/>
        <v>105.14</v>
      </c>
      <c r="X133" s="484">
        <v>0</v>
      </c>
      <c r="Y133" s="484">
        <f t="shared" si="183"/>
        <v>63.08</v>
      </c>
      <c r="Z133" s="484">
        <f t="shared" si="183"/>
        <v>-3.8</v>
      </c>
      <c r="AA133" s="484">
        <f t="shared" si="183"/>
        <v>-1.41</v>
      </c>
      <c r="AB133" s="485">
        <f t="shared" si="153"/>
        <v>163.01</v>
      </c>
      <c r="AC133" s="485">
        <f t="shared" si="190"/>
        <v>-29.35</v>
      </c>
      <c r="AD133" s="498">
        <f>(F133/F$184)*AD$184</f>
        <v>-41.12</v>
      </c>
      <c r="AE133" s="498">
        <v>0</v>
      </c>
      <c r="AF133" s="485">
        <f t="shared" si="154"/>
        <v>-41.12</v>
      </c>
      <c r="AG133" s="484">
        <f t="shared" si="155"/>
        <v>-70.47</v>
      </c>
      <c r="AH133" s="381">
        <f t="shared" si="156"/>
        <v>1689.45</v>
      </c>
      <c r="AI133" s="483">
        <f t="shared" si="157"/>
        <v>3736.45</v>
      </c>
      <c r="AJ133" s="483">
        <f t="shared" si="182"/>
        <v>4432.83</v>
      </c>
      <c r="AK133" s="83"/>
      <c r="AL133" s="114">
        <f t="shared" si="159"/>
        <v>1999.91</v>
      </c>
      <c r="AM133" s="497">
        <f t="shared" si="191"/>
        <v>2970.29</v>
      </c>
      <c r="AN133" s="192">
        <f t="shared" si="160"/>
        <v>0</v>
      </c>
      <c r="AO133" s="114">
        <f t="shared" si="161"/>
        <v>-224.24</v>
      </c>
      <c r="AP133" s="137">
        <f t="shared" si="162"/>
        <v>0</v>
      </c>
      <c r="AQ133" s="137">
        <f t="shared" si="163"/>
        <v>47.09</v>
      </c>
      <c r="AR133" s="84">
        <f t="shared" si="164"/>
        <v>47.09</v>
      </c>
      <c r="AS133" s="84">
        <f t="shared" si="165"/>
        <v>0</v>
      </c>
      <c r="AT133" s="84">
        <f t="shared" si="166"/>
        <v>0</v>
      </c>
      <c r="AU133" s="84">
        <f t="shared" si="167"/>
        <v>0</v>
      </c>
      <c r="AV133" s="84">
        <f t="shared" si="168"/>
        <v>0</v>
      </c>
      <c r="AW133" s="487">
        <v>1596.91</v>
      </c>
      <c r="AX133" s="137">
        <f t="shared" si="169"/>
        <v>105.14</v>
      </c>
      <c r="AY133" s="137">
        <f t="shared" si="170"/>
        <v>0</v>
      </c>
      <c r="AZ133" s="137">
        <f t="shared" si="171"/>
        <v>63.08</v>
      </c>
      <c r="BA133" s="137">
        <f t="shared" si="172"/>
        <v>-3.8</v>
      </c>
      <c r="BB133" s="137">
        <f t="shared" si="173"/>
        <v>-1.41</v>
      </c>
      <c r="BC133" s="84">
        <f t="shared" si="174"/>
        <v>163.01</v>
      </c>
      <c r="BD133" s="84">
        <f t="shared" si="175"/>
        <v>-29.35</v>
      </c>
      <c r="BE133" s="84">
        <f t="shared" si="176"/>
        <v>-41.12</v>
      </c>
      <c r="BF133" s="116">
        <f t="shared" si="177"/>
        <v>-70.47</v>
      </c>
      <c r="BG133" s="496">
        <f t="shared" si="178"/>
        <v>2793.14</v>
      </c>
      <c r="BH133" s="496">
        <f t="shared" si="179"/>
        <v>1689.45</v>
      </c>
      <c r="BI133" s="496">
        <f t="shared" si="180"/>
        <v>4482.59</v>
      </c>
    </row>
    <row r="134" spans="1:61" s="480" customFormat="1" ht="16.149999999999999" customHeight="1">
      <c r="A134" s="495" t="s">
        <v>195</v>
      </c>
      <c r="B134" s="494" t="s">
        <v>369</v>
      </c>
      <c r="C134" s="615" t="s">
        <v>63</v>
      </c>
      <c r="D134" s="385" t="s">
        <v>12</v>
      </c>
      <c r="E134" s="314">
        <v>28856</v>
      </c>
      <c r="F134" s="499"/>
      <c r="G134" s="491">
        <v>1084.56</v>
      </c>
      <c r="H134" s="485">
        <v>0</v>
      </c>
      <c r="I134" s="490">
        <f t="shared" si="147"/>
        <v>1084.56</v>
      </c>
      <c r="J134" s="489">
        <f t="shared" si="185"/>
        <v>2.0272900000000002E-3</v>
      </c>
      <c r="K134" s="484">
        <f t="shared" si="186"/>
        <v>-121.61</v>
      </c>
      <c r="L134" s="484">
        <f t="shared" si="184"/>
        <v>0</v>
      </c>
      <c r="M134" s="484">
        <f t="shared" si="187"/>
        <v>25.54</v>
      </c>
      <c r="N134" s="485">
        <f t="shared" si="148"/>
        <v>25.54</v>
      </c>
      <c r="O134" s="485">
        <f t="shared" si="192"/>
        <v>0</v>
      </c>
      <c r="P134" s="485">
        <f t="shared" si="192"/>
        <v>0</v>
      </c>
      <c r="Q134" s="485">
        <f t="shared" si="149"/>
        <v>0</v>
      </c>
      <c r="R134" s="484">
        <f t="shared" si="150"/>
        <v>0</v>
      </c>
      <c r="S134" s="485">
        <f t="shared" si="151"/>
        <v>1110.0999999999999</v>
      </c>
      <c r="T134" s="488">
        <f t="shared" si="188"/>
        <v>1325.97</v>
      </c>
      <c r="U134" s="487">
        <v>1125.32</v>
      </c>
      <c r="V134" s="486">
        <f t="shared" si="152"/>
        <v>2.0272900000000002E-3</v>
      </c>
      <c r="W134" s="484">
        <f t="shared" si="189"/>
        <v>57.02</v>
      </c>
      <c r="X134" s="484">
        <v>0</v>
      </c>
      <c r="Y134" s="484">
        <f t="shared" si="183"/>
        <v>34.21</v>
      </c>
      <c r="Z134" s="484">
        <f t="shared" si="183"/>
        <v>-2.06</v>
      </c>
      <c r="AA134" s="484">
        <f t="shared" si="183"/>
        <v>-0.76</v>
      </c>
      <c r="AB134" s="485">
        <f t="shared" si="153"/>
        <v>88.41</v>
      </c>
      <c r="AC134" s="485">
        <f t="shared" si="190"/>
        <v>-15.92</v>
      </c>
      <c r="AD134" s="498">
        <v>0</v>
      </c>
      <c r="AE134" s="498">
        <v>0</v>
      </c>
      <c r="AF134" s="485">
        <f t="shared" si="154"/>
        <v>0</v>
      </c>
      <c r="AG134" s="484">
        <f t="shared" si="155"/>
        <v>-15.92</v>
      </c>
      <c r="AH134" s="381">
        <f t="shared" si="156"/>
        <v>1197.81</v>
      </c>
      <c r="AI134" s="483">
        <f t="shared" si="157"/>
        <v>2307.91</v>
      </c>
      <c r="AJ134" s="483">
        <f t="shared" si="182"/>
        <v>2738.05</v>
      </c>
      <c r="AK134" s="83"/>
      <c r="AL134" s="114">
        <f t="shared" si="159"/>
        <v>1084.56</v>
      </c>
      <c r="AM134" s="497">
        <f t="shared" si="191"/>
        <v>1610.8</v>
      </c>
      <c r="AN134" s="192">
        <f t="shared" si="160"/>
        <v>0</v>
      </c>
      <c r="AO134" s="114">
        <f t="shared" si="161"/>
        <v>-121.61</v>
      </c>
      <c r="AP134" s="137">
        <f t="shared" si="162"/>
        <v>0</v>
      </c>
      <c r="AQ134" s="137">
        <f t="shared" si="163"/>
        <v>25.54</v>
      </c>
      <c r="AR134" s="84">
        <f t="shared" si="164"/>
        <v>25.54</v>
      </c>
      <c r="AS134" s="84">
        <f t="shared" si="165"/>
        <v>0</v>
      </c>
      <c r="AT134" s="84">
        <f t="shared" si="166"/>
        <v>0</v>
      </c>
      <c r="AU134" s="84">
        <f t="shared" si="167"/>
        <v>0</v>
      </c>
      <c r="AV134" s="84">
        <f t="shared" si="168"/>
        <v>0</v>
      </c>
      <c r="AW134" s="487">
        <v>1125.32</v>
      </c>
      <c r="AX134" s="137">
        <f t="shared" si="169"/>
        <v>57.02</v>
      </c>
      <c r="AY134" s="137">
        <f t="shared" si="170"/>
        <v>0</v>
      </c>
      <c r="AZ134" s="137">
        <f t="shared" si="171"/>
        <v>34.21</v>
      </c>
      <c r="BA134" s="137">
        <f t="shared" si="172"/>
        <v>-2.06</v>
      </c>
      <c r="BB134" s="137">
        <f t="shared" si="173"/>
        <v>-0.76</v>
      </c>
      <c r="BC134" s="84">
        <f t="shared" si="174"/>
        <v>88.41</v>
      </c>
      <c r="BD134" s="84">
        <f t="shared" si="175"/>
        <v>-15.92</v>
      </c>
      <c r="BE134" s="84">
        <f t="shared" si="176"/>
        <v>0</v>
      </c>
      <c r="BF134" s="116">
        <f t="shared" si="177"/>
        <v>-15.92</v>
      </c>
      <c r="BG134" s="496">
        <f t="shared" si="178"/>
        <v>1514.73</v>
      </c>
      <c r="BH134" s="496">
        <f t="shared" si="179"/>
        <v>1197.81</v>
      </c>
      <c r="BI134" s="496">
        <f t="shared" si="180"/>
        <v>2712.54</v>
      </c>
    </row>
    <row r="135" spans="1:61" s="480" customFormat="1" ht="16.149999999999999" customHeight="1">
      <c r="A135" s="495" t="s">
        <v>195</v>
      </c>
      <c r="B135" s="494" t="s">
        <v>309</v>
      </c>
      <c r="C135" s="493" t="s">
        <v>62</v>
      </c>
      <c r="D135" s="385" t="s">
        <v>12</v>
      </c>
      <c r="E135" s="314">
        <v>6576</v>
      </c>
      <c r="F135" s="500">
        <v>10</v>
      </c>
      <c r="G135" s="491">
        <v>1999.91</v>
      </c>
      <c r="H135" s="485">
        <v>0</v>
      </c>
      <c r="I135" s="490">
        <f t="shared" si="147"/>
        <v>1999.91</v>
      </c>
      <c r="J135" s="489">
        <f t="shared" si="185"/>
        <v>3.7382800000000001E-3</v>
      </c>
      <c r="K135" s="484">
        <f t="shared" si="186"/>
        <v>-224.24</v>
      </c>
      <c r="L135" s="484">
        <f t="shared" si="184"/>
        <v>0</v>
      </c>
      <c r="M135" s="484">
        <f t="shared" si="187"/>
        <v>47.09</v>
      </c>
      <c r="N135" s="485">
        <f t="shared" si="148"/>
        <v>47.09</v>
      </c>
      <c r="O135" s="485">
        <f t="shared" si="192"/>
        <v>0</v>
      </c>
      <c r="P135" s="485">
        <f t="shared" si="192"/>
        <v>0</v>
      </c>
      <c r="Q135" s="485">
        <f t="shared" si="149"/>
        <v>0</v>
      </c>
      <c r="R135" s="484">
        <f t="shared" si="150"/>
        <v>0</v>
      </c>
      <c r="S135" s="485">
        <f t="shared" si="151"/>
        <v>2047</v>
      </c>
      <c r="T135" s="488">
        <f t="shared" si="188"/>
        <v>2445.06</v>
      </c>
      <c r="U135" s="487">
        <v>1596.91</v>
      </c>
      <c r="V135" s="486">
        <f t="shared" si="152"/>
        <v>3.7382800000000001E-3</v>
      </c>
      <c r="W135" s="484">
        <f t="shared" si="189"/>
        <v>105.14</v>
      </c>
      <c r="X135" s="484">
        <v>0</v>
      </c>
      <c r="Y135" s="484">
        <f t="shared" si="183"/>
        <v>63.08</v>
      </c>
      <c r="Z135" s="484">
        <f t="shared" si="183"/>
        <v>-3.8</v>
      </c>
      <c r="AA135" s="484">
        <f t="shared" si="183"/>
        <v>-1.41</v>
      </c>
      <c r="AB135" s="485">
        <f t="shared" si="153"/>
        <v>163.01</v>
      </c>
      <c r="AC135" s="485">
        <f t="shared" si="190"/>
        <v>-29.35</v>
      </c>
      <c r="AD135" s="498">
        <f>(F135/F$184)*AD$184</f>
        <v>-41.12</v>
      </c>
      <c r="AE135" s="498">
        <v>0</v>
      </c>
      <c r="AF135" s="485">
        <f t="shared" si="154"/>
        <v>-41.12</v>
      </c>
      <c r="AG135" s="484">
        <f t="shared" si="155"/>
        <v>-70.47</v>
      </c>
      <c r="AH135" s="381">
        <f t="shared" si="156"/>
        <v>1689.45</v>
      </c>
      <c r="AI135" s="483">
        <f t="shared" si="157"/>
        <v>3736.45</v>
      </c>
      <c r="AJ135" s="483">
        <f t="shared" si="182"/>
        <v>4432.83</v>
      </c>
      <c r="AK135" s="83"/>
      <c r="AL135" s="114">
        <f t="shared" si="159"/>
        <v>1999.91</v>
      </c>
      <c r="AM135" s="497">
        <f t="shared" si="191"/>
        <v>2970.29</v>
      </c>
      <c r="AN135" s="192">
        <f t="shared" si="160"/>
        <v>0</v>
      </c>
      <c r="AO135" s="114">
        <f t="shared" si="161"/>
        <v>-224.24</v>
      </c>
      <c r="AP135" s="137">
        <f t="shared" si="162"/>
        <v>0</v>
      </c>
      <c r="AQ135" s="137">
        <f t="shared" si="163"/>
        <v>47.09</v>
      </c>
      <c r="AR135" s="84">
        <f t="shared" si="164"/>
        <v>47.09</v>
      </c>
      <c r="AS135" s="84">
        <f t="shared" si="165"/>
        <v>0</v>
      </c>
      <c r="AT135" s="84">
        <f t="shared" si="166"/>
        <v>0</v>
      </c>
      <c r="AU135" s="84">
        <f t="shared" si="167"/>
        <v>0</v>
      </c>
      <c r="AV135" s="84">
        <f t="shared" si="168"/>
        <v>0</v>
      </c>
      <c r="AW135" s="487">
        <v>1596.91</v>
      </c>
      <c r="AX135" s="137">
        <f t="shared" si="169"/>
        <v>105.14</v>
      </c>
      <c r="AY135" s="137">
        <f t="shared" si="170"/>
        <v>0</v>
      </c>
      <c r="AZ135" s="137">
        <f t="shared" si="171"/>
        <v>63.08</v>
      </c>
      <c r="BA135" s="137">
        <f t="shared" si="172"/>
        <v>-3.8</v>
      </c>
      <c r="BB135" s="137">
        <f t="shared" si="173"/>
        <v>-1.41</v>
      </c>
      <c r="BC135" s="84">
        <f t="shared" si="174"/>
        <v>163.01</v>
      </c>
      <c r="BD135" s="84">
        <f t="shared" si="175"/>
        <v>-29.35</v>
      </c>
      <c r="BE135" s="84">
        <f t="shared" si="176"/>
        <v>-41.12</v>
      </c>
      <c r="BF135" s="116">
        <f t="shared" si="177"/>
        <v>-70.47</v>
      </c>
      <c r="BG135" s="496">
        <f t="shared" si="178"/>
        <v>2793.14</v>
      </c>
      <c r="BH135" s="496">
        <f t="shared" si="179"/>
        <v>1689.45</v>
      </c>
      <c r="BI135" s="496">
        <f t="shared" si="180"/>
        <v>4482.59</v>
      </c>
    </row>
    <row r="136" spans="1:61" s="480" customFormat="1" ht="16.149999999999999" customHeight="1">
      <c r="A136" s="495" t="s">
        <v>195</v>
      </c>
      <c r="B136" s="494" t="s">
        <v>311</v>
      </c>
      <c r="C136" s="493" t="s">
        <v>62</v>
      </c>
      <c r="D136" s="385" t="s">
        <v>12</v>
      </c>
      <c r="E136" s="314">
        <v>14977</v>
      </c>
      <c r="F136" s="500">
        <v>10</v>
      </c>
      <c r="G136" s="491">
        <v>1999.91</v>
      </c>
      <c r="H136" s="485">
        <v>0</v>
      </c>
      <c r="I136" s="490">
        <f t="shared" si="147"/>
        <v>1999.91</v>
      </c>
      <c r="J136" s="489">
        <f t="shared" si="185"/>
        <v>3.7382800000000001E-3</v>
      </c>
      <c r="K136" s="484">
        <f t="shared" si="186"/>
        <v>-224.24</v>
      </c>
      <c r="L136" s="484">
        <f t="shared" si="184"/>
        <v>0</v>
      </c>
      <c r="M136" s="484">
        <f t="shared" si="187"/>
        <v>47.09</v>
      </c>
      <c r="N136" s="485">
        <f t="shared" si="148"/>
        <v>47.09</v>
      </c>
      <c r="O136" s="485">
        <f t="shared" si="192"/>
        <v>0</v>
      </c>
      <c r="P136" s="485">
        <f t="shared" si="192"/>
        <v>0</v>
      </c>
      <c r="Q136" s="485">
        <f t="shared" si="149"/>
        <v>0</v>
      </c>
      <c r="R136" s="484">
        <f t="shared" si="150"/>
        <v>0</v>
      </c>
      <c r="S136" s="485">
        <f t="shared" si="151"/>
        <v>2047</v>
      </c>
      <c r="T136" s="488">
        <f t="shared" si="188"/>
        <v>2445.06</v>
      </c>
      <c r="U136" s="487">
        <v>1596.91</v>
      </c>
      <c r="V136" s="486">
        <f t="shared" si="152"/>
        <v>3.7382800000000001E-3</v>
      </c>
      <c r="W136" s="484">
        <f t="shared" si="189"/>
        <v>105.14</v>
      </c>
      <c r="X136" s="484">
        <v>0</v>
      </c>
      <c r="Y136" s="484">
        <f t="shared" si="183"/>
        <v>63.08</v>
      </c>
      <c r="Z136" s="484">
        <f t="shared" si="183"/>
        <v>-3.8</v>
      </c>
      <c r="AA136" s="484">
        <f t="shared" si="183"/>
        <v>-1.41</v>
      </c>
      <c r="AB136" s="485">
        <f t="shared" si="153"/>
        <v>163.01</v>
      </c>
      <c r="AC136" s="485">
        <f t="shared" si="190"/>
        <v>-29.35</v>
      </c>
      <c r="AD136" s="498">
        <f>(F136/F$184)*AD$184</f>
        <v>-41.12</v>
      </c>
      <c r="AE136" s="498">
        <v>0</v>
      </c>
      <c r="AF136" s="485">
        <f t="shared" si="154"/>
        <v>-41.12</v>
      </c>
      <c r="AG136" s="484">
        <f t="shared" si="155"/>
        <v>-70.47</v>
      </c>
      <c r="AH136" s="381">
        <f t="shared" si="156"/>
        <v>1689.45</v>
      </c>
      <c r="AI136" s="483">
        <f t="shared" si="157"/>
        <v>3736.45</v>
      </c>
      <c r="AJ136" s="483">
        <f t="shared" si="182"/>
        <v>4432.83</v>
      </c>
      <c r="AK136" s="83"/>
      <c r="AL136" s="114">
        <f t="shared" si="159"/>
        <v>1999.91</v>
      </c>
      <c r="AM136" s="497">
        <f t="shared" si="191"/>
        <v>2970.29</v>
      </c>
      <c r="AN136" s="192">
        <f t="shared" si="160"/>
        <v>0</v>
      </c>
      <c r="AO136" s="114">
        <f t="shared" si="161"/>
        <v>-224.24</v>
      </c>
      <c r="AP136" s="137">
        <f t="shared" si="162"/>
        <v>0</v>
      </c>
      <c r="AQ136" s="137">
        <f t="shared" si="163"/>
        <v>47.09</v>
      </c>
      <c r="AR136" s="84">
        <f t="shared" si="164"/>
        <v>47.09</v>
      </c>
      <c r="AS136" s="84">
        <f t="shared" si="165"/>
        <v>0</v>
      </c>
      <c r="AT136" s="84">
        <f t="shared" si="166"/>
        <v>0</v>
      </c>
      <c r="AU136" s="84">
        <f t="shared" si="167"/>
        <v>0</v>
      </c>
      <c r="AV136" s="84">
        <f t="shared" si="168"/>
        <v>0</v>
      </c>
      <c r="AW136" s="487">
        <v>1596.91</v>
      </c>
      <c r="AX136" s="137">
        <f t="shared" si="169"/>
        <v>105.14</v>
      </c>
      <c r="AY136" s="137">
        <f t="shared" si="170"/>
        <v>0</v>
      </c>
      <c r="AZ136" s="137">
        <f t="shared" si="171"/>
        <v>63.08</v>
      </c>
      <c r="BA136" s="137">
        <f t="shared" si="172"/>
        <v>-3.8</v>
      </c>
      <c r="BB136" s="137">
        <f t="shared" si="173"/>
        <v>-1.41</v>
      </c>
      <c r="BC136" s="84">
        <f t="shared" si="174"/>
        <v>163.01</v>
      </c>
      <c r="BD136" s="84">
        <f t="shared" si="175"/>
        <v>-29.35</v>
      </c>
      <c r="BE136" s="84">
        <f t="shared" si="176"/>
        <v>-41.12</v>
      </c>
      <c r="BF136" s="116">
        <f t="shared" si="177"/>
        <v>-70.47</v>
      </c>
      <c r="BG136" s="496">
        <f t="shared" si="178"/>
        <v>2793.14</v>
      </c>
      <c r="BH136" s="496">
        <f t="shared" si="179"/>
        <v>1689.45</v>
      </c>
      <c r="BI136" s="496">
        <f t="shared" si="180"/>
        <v>4482.59</v>
      </c>
    </row>
    <row r="137" spans="1:61" s="480" customFormat="1" ht="16.149999999999999" customHeight="1">
      <c r="A137" s="495" t="s">
        <v>195</v>
      </c>
      <c r="B137" s="494" t="s">
        <v>366</v>
      </c>
      <c r="C137" s="615" t="s">
        <v>63</v>
      </c>
      <c r="D137" s="385" t="s">
        <v>12</v>
      </c>
      <c r="E137" s="314">
        <v>27760</v>
      </c>
      <c r="F137" s="499"/>
      <c r="G137" s="491">
        <v>618.66999999999996</v>
      </c>
      <c r="H137" s="485">
        <v>0</v>
      </c>
      <c r="I137" s="490">
        <f t="shared" si="147"/>
        <v>618.66999999999996</v>
      </c>
      <c r="J137" s="489">
        <f t="shared" si="185"/>
        <v>1.15643E-3</v>
      </c>
      <c r="K137" s="484">
        <f t="shared" si="186"/>
        <v>-69.37</v>
      </c>
      <c r="L137" s="484">
        <f t="shared" si="184"/>
        <v>0</v>
      </c>
      <c r="M137" s="484">
        <f t="shared" si="187"/>
        <v>14.57</v>
      </c>
      <c r="N137" s="485">
        <f t="shared" si="148"/>
        <v>14.57</v>
      </c>
      <c r="O137" s="485">
        <f t="shared" si="192"/>
        <v>0</v>
      </c>
      <c r="P137" s="485">
        <f t="shared" si="192"/>
        <v>0</v>
      </c>
      <c r="Q137" s="485">
        <f t="shared" si="149"/>
        <v>0</v>
      </c>
      <c r="R137" s="484">
        <f t="shared" si="150"/>
        <v>0</v>
      </c>
      <c r="S137" s="485">
        <f t="shared" si="151"/>
        <v>633.24</v>
      </c>
      <c r="T137" s="488">
        <f t="shared" si="188"/>
        <v>756.38</v>
      </c>
      <c r="U137" s="487">
        <v>641.92999999999995</v>
      </c>
      <c r="V137" s="486">
        <f t="shared" si="152"/>
        <v>1.15643E-3</v>
      </c>
      <c r="W137" s="484">
        <f t="shared" si="189"/>
        <v>32.520000000000003</v>
      </c>
      <c r="X137" s="484">
        <v>0</v>
      </c>
      <c r="Y137" s="484">
        <f t="shared" si="183"/>
        <v>19.510000000000002</v>
      </c>
      <c r="Z137" s="484">
        <f t="shared" si="183"/>
        <v>-1.18</v>
      </c>
      <c r="AA137" s="484">
        <f t="shared" si="183"/>
        <v>-0.44</v>
      </c>
      <c r="AB137" s="485">
        <f t="shared" si="153"/>
        <v>50.41</v>
      </c>
      <c r="AC137" s="485">
        <f t="shared" si="190"/>
        <v>-9.08</v>
      </c>
      <c r="AD137" s="498">
        <v>0</v>
      </c>
      <c r="AE137" s="498">
        <v>0</v>
      </c>
      <c r="AF137" s="485">
        <f t="shared" si="154"/>
        <v>0</v>
      </c>
      <c r="AG137" s="484">
        <f t="shared" si="155"/>
        <v>-9.08</v>
      </c>
      <c r="AH137" s="381">
        <f t="shared" si="156"/>
        <v>683.26</v>
      </c>
      <c r="AI137" s="483">
        <f t="shared" si="157"/>
        <v>1316.5</v>
      </c>
      <c r="AJ137" s="483">
        <f t="shared" si="182"/>
        <v>1561.86</v>
      </c>
      <c r="AK137" s="83"/>
      <c r="AL137" s="114">
        <f t="shared" si="159"/>
        <v>618.66999999999996</v>
      </c>
      <c r="AM137" s="497">
        <f t="shared" si="191"/>
        <v>918.85</v>
      </c>
      <c r="AN137" s="192">
        <f t="shared" si="160"/>
        <v>0</v>
      </c>
      <c r="AO137" s="114">
        <f t="shared" si="161"/>
        <v>-69.37</v>
      </c>
      <c r="AP137" s="137">
        <f t="shared" si="162"/>
        <v>0</v>
      </c>
      <c r="AQ137" s="137">
        <f t="shared" si="163"/>
        <v>14.57</v>
      </c>
      <c r="AR137" s="84">
        <f t="shared" si="164"/>
        <v>14.57</v>
      </c>
      <c r="AS137" s="84">
        <f t="shared" si="165"/>
        <v>0</v>
      </c>
      <c r="AT137" s="84">
        <f t="shared" si="166"/>
        <v>0</v>
      </c>
      <c r="AU137" s="84">
        <f t="shared" si="167"/>
        <v>0</v>
      </c>
      <c r="AV137" s="84">
        <f t="shared" si="168"/>
        <v>0</v>
      </c>
      <c r="AW137" s="487">
        <v>641.92999999999995</v>
      </c>
      <c r="AX137" s="137">
        <f t="shared" si="169"/>
        <v>32.520000000000003</v>
      </c>
      <c r="AY137" s="137">
        <f t="shared" si="170"/>
        <v>0</v>
      </c>
      <c r="AZ137" s="137">
        <f t="shared" si="171"/>
        <v>19.510000000000002</v>
      </c>
      <c r="BA137" s="137">
        <f t="shared" si="172"/>
        <v>-1.18</v>
      </c>
      <c r="BB137" s="137">
        <f t="shared" si="173"/>
        <v>-0.44</v>
      </c>
      <c r="BC137" s="84">
        <f t="shared" si="174"/>
        <v>50.41</v>
      </c>
      <c r="BD137" s="84">
        <f t="shared" si="175"/>
        <v>-9.08</v>
      </c>
      <c r="BE137" s="84">
        <f t="shared" si="176"/>
        <v>0</v>
      </c>
      <c r="BF137" s="116">
        <f t="shared" si="177"/>
        <v>-9.08</v>
      </c>
      <c r="BG137" s="496">
        <f t="shared" si="178"/>
        <v>864.05</v>
      </c>
      <c r="BH137" s="496">
        <f t="shared" si="179"/>
        <v>683.26</v>
      </c>
      <c r="BI137" s="496">
        <f t="shared" si="180"/>
        <v>1547.31</v>
      </c>
    </row>
    <row r="138" spans="1:61" s="480" customFormat="1" ht="16.149999999999999" customHeight="1">
      <c r="A138" s="495" t="s">
        <v>195</v>
      </c>
      <c r="B138" s="494" t="s">
        <v>314</v>
      </c>
      <c r="C138" s="493" t="s">
        <v>62</v>
      </c>
      <c r="D138" s="385" t="s">
        <v>12</v>
      </c>
      <c r="E138" s="314">
        <v>17533</v>
      </c>
      <c r="F138" s="500">
        <v>10</v>
      </c>
      <c r="G138" s="491">
        <v>3999.94</v>
      </c>
      <c r="H138" s="485">
        <v>0</v>
      </c>
      <c r="I138" s="490">
        <f t="shared" si="147"/>
        <v>3999.94</v>
      </c>
      <c r="J138" s="489">
        <f t="shared" si="185"/>
        <v>7.4767899999999997E-3</v>
      </c>
      <c r="K138" s="484">
        <f t="shared" si="186"/>
        <v>-448.5</v>
      </c>
      <c r="L138" s="484">
        <f t="shared" si="184"/>
        <v>0</v>
      </c>
      <c r="M138" s="484">
        <f t="shared" si="187"/>
        <v>94.18</v>
      </c>
      <c r="N138" s="485">
        <f t="shared" si="148"/>
        <v>94.18</v>
      </c>
      <c r="O138" s="485">
        <f t="shared" si="192"/>
        <v>0</v>
      </c>
      <c r="P138" s="485">
        <f t="shared" si="192"/>
        <v>0</v>
      </c>
      <c r="Q138" s="485">
        <f t="shared" si="149"/>
        <v>0</v>
      </c>
      <c r="R138" s="484">
        <f t="shared" si="150"/>
        <v>0</v>
      </c>
      <c r="S138" s="485">
        <f t="shared" si="151"/>
        <v>4094.12</v>
      </c>
      <c r="T138" s="488">
        <f t="shared" si="188"/>
        <v>4890.26</v>
      </c>
      <c r="U138" s="487">
        <v>3672.04</v>
      </c>
      <c r="V138" s="486">
        <f t="shared" si="152"/>
        <v>7.4767899999999997E-3</v>
      </c>
      <c r="W138" s="484">
        <f t="shared" si="189"/>
        <v>210.28</v>
      </c>
      <c r="X138" s="484">
        <v>0</v>
      </c>
      <c r="Y138" s="484">
        <f t="shared" si="183"/>
        <v>126.17</v>
      </c>
      <c r="Z138" s="484">
        <f t="shared" si="183"/>
        <v>-7.6</v>
      </c>
      <c r="AA138" s="484">
        <f t="shared" si="183"/>
        <v>-2.82</v>
      </c>
      <c r="AB138" s="485">
        <f t="shared" si="153"/>
        <v>326.02999999999997</v>
      </c>
      <c r="AC138" s="485">
        <f t="shared" si="190"/>
        <v>-58.7</v>
      </c>
      <c r="AD138" s="498">
        <f>(F138/F$184)*AD$184</f>
        <v>-41.12</v>
      </c>
      <c r="AE138" s="498">
        <v>0</v>
      </c>
      <c r="AF138" s="485">
        <f t="shared" si="154"/>
        <v>-41.12</v>
      </c>
      <c r="AG138" s="484">
        <f t="shared" si="155"/>
        <v>-99.82</v>
      </c>
      <c r="AH138" s="381">
        <f t="shared" si="156"/>
        <v>3898.25</v>
      </c>
      <c r="AI138" s="483">
        <f t="shared" si="157"/>
        <v>7992.37</v>
      </c>
      <c r="AJ138" s="483">
        <f t="shared" si="182"/>
        <v>9481.9500000000007</v>
      </c>
      <c r="AK138" s="83"/>
      <c r="AL138" s="114">
        <f t="shared" si="159"/>
        <v>3999.94</v>
      </c>
      <c r="AM138" s="497">
        <f t="shared" si="191"/>
        <v>5940.75</v>
      </c>
      <c r="AN138" s="192">
        <f t="shared" si="160"/>
        <v>0</v>
      </c>
      <c r="AO138" s="114">
        <f t="shared" si="161"/>
        <v>-448.5</v>
      </c>
      <c r="AP138" s="137">
        <f t="shared" si="162"/>
        <v>0</v>
      </c>
      <c r="AQ138" s="137">
        <f t="shared" si="163"/>
        <v>94.18</v>
      </c>
      <c r="AR138" s="84">
        <f t="shared" si="164"/>
        <v>94.18</v>
      </c>
      <c r="AS138" s="84">
        <f t="shared" si="165"/>
        <v>0</v>
      </c>
      <c r="AT138" s="84">
        <f t="shared" si="166"/>
        <v>0</v>
      </c>
      <c r="AU138" s="84">
        <f t="shared" si="167"/>
        <v>0</v>
      </c>
      <c r="AV138" s="84">
        <f t="shared" si="168"/>
        <v>0</v>
      </c>
      <c r="AW138" s="487">
        <v>3672.04</v>
      </c>
      <c r="AX138" s="137">
        <f t="shared" si="169"/>
        <v>210.28</v>
      </c>
      <c r="AY138" s="137">
        <f t="shared" si="170"/>
        <v>0</v>
      </c>
      <c r="AZ138" s="137">
        <f t="shared" si="171"/>
        <v>126.17</v>
      </c>
      <c r="BA138" s="137">
        <f t="shared" si="172"/>
        <v>-7.6</v>
      </c>
      <c r="BB138" s="137">
        <f t="shared" si="173"/>
        <v>-2.82</v>
      </c>
      <c r="BC138" s="84">
        <f t="shared" si="174"/>
        <v>326.02999999999997</v>
      </c>
      <c r="BD138" s="84">
        <f t="shared" si="175"/>
        <v>-58.7</v>
      </c>
      <c r="BE138" s="84">
        <f t="shared" si="176"/>
        <v>-41.12</v>
      </c>
      <c r="BF138" s="116">
        <f t="shared" si="177"/>
        <v>-99.82</v>
      </c>
      <c r="BG138" s="496">
        <f t="shared" si="178"/>
        <v>5586.43</v>
      </c>
      <c r="BH138" s="496">
        <f t="shared" si="179"/>
        <v>3898.25</v>
      </c>
      <c r="BI138" s="496">
        <f t="shared" si="180"/>
        <v>9484.68</v>
      </c>
    </row>
    <row r="139" spans="1:61" s="480" customFormat="1" ht="16.149999999999999" customHeight="1">
      <c r="A139" s="495" t="s">
        <v>195</v>
      </c>
      <c r="B139" s="494" t="s">
        <v>312</v>
      </c>
      <c r="C139" s="493" t="s">
        <v>62</v>
      </c>
      <c r="D139" s="385" t="s">
        <v>12</v>
      </c>
      <c r="E139" s="314">
        <v>9498</v>
      </c>
      <c r="F139" s="500">
        <v>10</v>
      </c>
      <c r="G139" s="491">
        <v>1999.91</v>
      </c>
      <c r="H139" s="485">
        <v>0</v>
      </c>
      <c r="I139" s="490">
        <f t="shared" si="147"/>
        <v>1999.91</v>
      </c>
      <c r="J139" s="489">
        <f t="shared" si="185"/>
        <v>3.7382800000000001E-3</v>
      </c>
      <c r="K139" s="484">
        <f t="shared" si="186"/>
        <v>-224.24</v>
      </c>
      <c r="L139" s="484">
        <f t="shared" si="184"/>
        <v>0</v>
      </c>
      <c r="M139" s="484">
        <f t="shared" si="187"/>
        <v>47.09</v>
      </c>
      <c r="N139" s="485">
        <f t="shared" si="148"/>
        <v>47.09</v>
      </c>
      <c r="O139" s="485">
        <f t="shared" si="192"/>
        <v>0</v>
      </c>
      <c r="P139" s="485">
        <f t="shared" si="192"/>
        <v>0</v>
      </c>
      <c r="Q139" s="485">
        <f t="shared" si="149"/>
        <v>0</v>
      </c>
      <c r="R139" s="484">
        <f t="shared" si="150"/>
        <v>0</v>
      </c>
      <c r="S139" s="485">
        <f t="shared" si="151"/>
        <v>2047</v>
      </c>
      <c r="T139" s="488">
        <f t="shared" si="188"/>
        <v>2445.06</v>
      </c>
      <c r="U139" s="487">
        <v>1596.91</v>
      </c>
      <c r="V139" s="486">
        <f t="shared" si="152"/>
        <v>3.7382800000000001E-3</v>
      </c>
      <c r="W139" s="484">
        <f t="shared" si="189"/>
        <v>105.14</v>
      </c>
      <c r="X139" s="484">
        <v>0</v>
      </c>
      <c r="Y139" s="484">
        <f t="shared" si="183"/>
        <v>63.08</v>
      </c>
      <c r="Z139" s="484">
        <f t="shared" si="183"/>
        <v>-3.8</v>
      </c>
      <c r="AA139" s="484">
        <f t="shared" si="183"/>
        <v>-1.41</v>
      </c>
      <c r="AB139" s="485">
        <f t="shared" si="153"/>
        <v>163.01</v>
      </c>
      <c r="AC139" s="485">
        <f t="shared" si="190"/>
        <v>-29.35</v>
      </c>
      <c r="AD139" s="498">
        <f>(F139/F$184)*AD$184</f>
        <v>-41.12</v>
      </c>
      <c r="AE139" s="498">
        <v>0</v>
      </c>
      <c r="AF139" s="485">
        <f t="shared" si="154"/>
        <v>-41.12</v>
      </c>
      <c r="AG139" s="484">
        <f t="shared" si="155"/>
        <v>-70.47</v>
      </c>
      <c r="AH139" s="381">
        <f t="shared" si="156"/>
        <v>1689.45</v>
      </c>
      <c r="AI139" s="483">
        <f t="shared" si="157"/>
        <v>3736.45</v>
      </c>
      <c r="AJ139" s="483">
        <f t="shared" si="182"/>
        <v>4432.83</v>
      </c>
      <c r="AK139" s="83"/>
      <c r="AL139" s="114">
        <f t="shared" si="159"/>
        <v>1999.91</v>
      </c>
      <c r="AM139" s="497">
        <f t="shared" si="191"/>
        <v>2970.29</v>
      </c>
      <c r="AN139" s="192">
        <f t="shared" si="160"/>
        <v>0</v>
      </c>
      <c r="AO139" s="114">
        <f t="shared" si="161"/>
        <v>-224.24</v>
      </c>
      <c r="AP139" s="137">
        <f t="shared" si="162"/>
        <v>0</v>
      </c>
      <c r="AQ139" s="137">
        <f t="shared" si="163"/>
        <v>47.09</v>
      </c>
      <c r="AR139" s="84">
        <f t="shared" si="164"/>
        <v>47.09</v>
      </c>
      <c r="AS139" s="84">
        <f t="shared" si="165"/>
        <v>0</v>
      </c>
      <c r="AT139" s="84">
        <f t="shared" si="166"/>
        <v>0</v>
      </c>
      <c r="AU139" s="84">
        <f t="shared" si="167"/>
        <v>0</v>
      </c>
      <c r="AV139" s="84">
        <f t="shared" si="168"/>
        <v>0</v>
      </c>
      <c r="AW139" s="487">
        <v>1596.91</v>
      </c>
      <c r="AX139" s="137">
        <f t="shared" si="169"/>
        <v>105.14</v>
      </c>
      <c r="AY139" s="137">
        <f t="shared" si="170"/>
        <v>0</v>
      </c>
      <c r="AZ139" s="137">
        <f t="shared" si="171"/>
        <v>63.08</v>
      </c>
      <c r="BA139" s="137">
        <f t="shared" si="172"/>
        <v>-3.8</v>
      </c>
      <c r="BB139" s="137">
        <f t="shared" si="173"/>
        <v>-1.41</v>
      </c>
      <c r="BC139" s="84">
        <f t="shared" si="174"/>
        <v>163.01</v>
      </c>
      <c r="BD139" s="84">
        <f t="shared" si="175"/>
        <v>-29.35</v>
      </c>
      <c r="BE139" s="84">
        <f t="shared" si="176"/>
        <v>-41.12</v>
      </c>
      <c r="BF139" s="116">
        <f t="shared" si="177"/>
        <v>-70.47</v>
      </c>
      <c r="BG139" s="496">
        <f t="shared" si="178"/>
        <v>2793.14</v>
      </c>
      <c r="BH139" s="496">
        <f t="shared" si="179"/>
        <v>1689.45</v>
      </c>
      <c r="BI139" s="496">
        <f t="shared" si="180"/>
        <v>4482.59</v>
      </c>
    </row>
    <row r="140" spans="1:61" s="480" customFormat="1" ht="16.149999999999999" customHeight="1">
      <c r="A140" s="495" t="s">
        <v>195</v>
      </c>
      <c r="B140" s="494" t="s">
        <v>313</v>
      </c>
      <c r="C140" s="493" t="s">
        <v>62</v>
      </c>
      <c r="D140" s="385" t="s">
        <v>12</v>
      </c>
      <c r="E140" s="314">
        <v>9133</v>
      </c>
      <c r="F140" s="500">
        <v>10</v>
      </c>
      <c r="G140" s="491">
        <v>1999.91</v>
      </c>
      <c r="H140" s="485">
        <v>0</v>
      </c>
      <c r="I140" s="490">
        <f t="shared" ref="I140:I171" si="193">G140+H140</f>
        <v>1999.91</v>
      </c>
      <c r="J140" s="489">
        <f t="shared" si="185"/>
        <v>3.7382800000000001E-3</v>
      </c>
      <c r="K140" s="484">
        <f t="shared" si="186"/>
        <v>-224.24</v>
      </c>
      <c r="L140" s="484">
        <f t="shared" si="184"/>
        <v>0</v>
      </c>
      <c r="M140" s="484">
        <f t="shared" si="187"/>
        <v>47.09</v>
      </c>
      <c r="N140" s="485">
        <f t="shared" ref="N140:N171" si="194">L140+M140</f>
        <v>47.09</v>
      </c>
      <c r="O140" s="485">
        <f t="shared" si="192"/>
        <v>0</v>
      </c>
      <c r="P140" s="485">
        <f t="shared" si="192"/>
        <v>0</v>
      </c>
      <c r="Q140" s="485">
        <f t="shared" ref="Q140:Q171" si="195">Q$184*J140</f>
        <v>0</v>
      </c>
      <c r="R140" s="484">
        <f t="shared" ref="R140:R171" si="196">P140+Q140</f>
        <v>0</v>
      </c>
      <c r="S140" s="485">
        <f t="shared" ref="S140:S171" si="197">G140+H140+N140+O140+R140</f>
        <v>2047</v>
      </c>
      <c r="T140" s="488">
        <f t="shared" si="188"/>
        <v>2445.06</v>
      </c>
      <c r="U140" s="487">
        <v>1596.91</v>
      </c>
      <c r="V140" s="486">
        <f t="shared" ref="V140:V171" si="198">J140</f>
        <v>3.7382800000000001E-3</v>
      </c>
      <c r="W140" s="484">
        <f t="shared" si="189"/>
        <v>105.14</v>
      </c>
      <c r="X140" s="484">
        <v>0</v>
      </c>
      <c r="Y140" s="484">
        <f t="shared" si="183"/>
        <v>63.08</v>
      </c>
      <c r="Z140" s="484">
        <f t="shared" si="183"/>
        <v>-3.8</v>
      </c>
      <c r="AA140" s="484">
        <f t="shared" si="183"/>
        <v>-1.41</v>
      </c>
      <c r="AB140" s="485">
        <f t="shared" ref="AB140:AB171" si="199">SUM(W140:AA140)</f>
        <v>163.01</v>
      </c>
      <c r="AC140" s="485">
        <f t="shared" si="190"/>
        <v>-29.35</v>
      </c>
      <c r="AD140" s="498">
        <f>(F140/F$184)*AD$184</f>
        <v>-41.12</v>
      </c>
      <c r="AE140" s="498">
        <v>0</v>
      </c>
      <c r="AF140" s="485">
        <f t="shared" ref="AF140:AF171" si="200">AD140+AE140</f>
        <v>-41.12</v>
      </c>
      <c r="AG140" s="484">
        <f t="shared" ref="AG140:AG171" si="201">AC140+AF140</f>
        <v>-70.47</v>
      </c>
      <c r="AH140" s="381">
        <f t="shared" ref="AH140:AH171" si="202">U140+AB140+AG140</f>
        <v>1689.45</v>
      </c>
      <c r="AI140" s="483">
        <f t="shared" ref="AI140:AI171" si="203">S140+AH140</f>
        <v>3736.45</v>
      </c>
      <c r="AJ140" s="483">
        <f t="shared" si="182"/>
        <v>4432.83</v>
      </c>
      <c r="AK140" s="83"/>
      <c r="AL140" s="114">
        <f t="shared" ref="AL140:AL171" si="204">G140</f>
        <v>1999.91</v>
      </c>
      <c r="AM140" s="497">
        <f t="shared" si="191"/>
        <v>2970.29</v>
      </c>
      <c r="AN140" s="192">
        <f t="shared" ref="AN140:AN171" si="205">H140</f>
        <v>0</v>
      </c>
      <c r="AO140" s="114">
        <f t="shared" ref="AO140:AO171" si="206">K140</f>
        <v>-224.24</v>
      </c>
      <c r="AP140" s="137">
        <f t="shared" ref="AP140:AP171" si="207">L140</f>
        <v>0</v>
      </c>
      <c r="AQ140" s="137">
        <f t="shared" ref="AQ140:AQ171" si="208">M140</f>
        <v>47.09</v>
      </c>
      <c r="AR140" s="84">
        <f t="shared" ref="AR140:AR171" si="209">AP140+AQ140</f>
        <v>47.09</v>
      </c>
      <c r="AS140" s="84">
        <f t="shared" ref="AS140:AS171" si="210">O140</f>
        <v>0</v>
      </c>
      <c r="AT140" s="84">
        <f t="shared" ref="AT140:AT171" si="211">P140</f>
        <v>0</v>
      </c>
      <c r="AU140" s="84">
        <f t="shared" ref="AU140:AU171" si="212">Q140</f>
        <v>0</v>
      </c>
      <c r="AV140" s="84">
        <f t="shared" ref="AV140:AV171" si="213">AT140+AU140</f>
        <v>0</v>
      </c>
      <c r="AW140" s="487">
        <v>1596.91</v>
      </c>
      <c r="AX140" s="137">
        <f t="shared" ref="AX140:AX171" si="214">W140</f>
        <v>105.14</v>
      </c>
      <c r="AY140" s="137">
        <f t="shared" ref="AY140:AY171" si="215">X140</f>
        <v>0</v>
      </c>
      <c r="AZ140" s="137">
        <f t="shared" ref="AZ140:AZ171" si="216">Y140</f>
        <v>63.08</v>
      </c>
      <c r="BA140" s="137">
        <f t="shared" ref="BA140:BA171" si="217">Z140</f>
        <v>-3.8</v>
      </c>
      <c r="BB140" s="137">
        <f t="shared" ref="BB140:BB171" si="218">AA140</f>
        <v>-1.41</v>
      </c>
      <c r="BC140" s="84">
        <f t="shared" ref="BC140:BC171" si="219">SUM(AX140:BB140)</f>
        <v>163.01</v>
      </c>
      <c r="BD140" s="84">
        <f t="shared" ref="BD140:BD171" si="220">AC140</f>
        <v>-29.35</v>
      </c>
      <c r="BE140" s="84">
        <f t="shared" ref="BE140:BE171" si="221">AF140</f>
        <v>-41.12</v>
      </c>
      <c r="BF140" s="116">
        <f t="shared" ref="BF140:BF171" si="222">BD140+BE140</f>
        <v>-70.47</v>
      </c>
      <c r="BG140" s="496">
        <f t="shared" ref="BG140:BG171" si="223">AM140+AN140+AO140+AR140+AS140+AV140</f>
        <v>2793.14</v>
      </c>
      <c r="BH140" s="496">
        <f t="shared" ref="BH140:BH171" si="224">AW140+BC140+BF140</f>
        <v>1689.45</v>
      </c>
      <c r="BI140" s="496">
        <f t="shared" ref="BI140:BI171" si="225">AM140+AN140+AO140+AR140+AS140+AV140+AW140+BC140+BF140</f>
        <v>4482.59</v>
      </c>
    </row>
    <row r="141" spans="1:61" s="480" customFormat="1" ht="16.149999999999999" customHeight="1">
      <c r="A141" s="495" t="s">
        <v>195</v>
      </c>
      <c r="B141" s="494" t="s">
        <v>316</v>
      </c>
      <c r="C141" s="493" t="s">
        <v>62</v>
      </c>
      <c r="D141" s="385" t="s">
        <v>12</v>
      </c>
      <c r="E141" s="314">
        <v>15707</v>
      </c>
      <c r="F141" s="500">
        <v>5</v>
      </c>
      <c r="G141" s="491">
        <v>1499.54</v>
      </c>
      <c r="H141" s="485">
        <v>0</v>
      </c>
      <c r="I141" s="490">
        <f t="shared" si="193"/>
        <v>1499.54</v>
      </c>
      <c r="J141" s="489">
        <f t="shared" si="185"/>
        <v>2.8029800000000001E-3</v>
      </c>
      <c r="K141" s="484">
        <f t="shared" si="186"/>
        <v>-168.14</v>
      </c>
      <c r="L141" s="484">
        <f t="shared" si="184"/>
        <v>0</v>
      </c>
      <c r="M141" s="484">
        <f t="shared" si="187"/>
        <v>35.31</v>
      </c>
      <c r="N141" s="485">
        <f t="shared" si="194"/>
        <v>35.31</v>
      </c>
      <c r="O141" s="485">
        <f t="shared" si="192"/>
        <v>0</v>
      </c>
      <c r="P141" s="485">
        <f t="shared" si="192"/>
        <v>0</v>
      </c>
      <c r="Q141" s="485">
        <f t="shared" si="195"/>
        <v>0</v>
      </c>
      <c r="R141" s="484">
        <f t="shared" si="196"/>
        <v>0</v>
      </c>
      <c r="S141" s="485">
        <f t="shared" si="197"/>
        <v>1534.85</v>
      </c>
      <c r="T141" s="488">
        <f t="shared" si="188"/>
        <v>1833.32</v>
      </c>
      <c r="U141" s="487">
        <v>1316.81</v>
      </c>
      <c r="V141" s="486">
        <f t="shared" si="198"/>
        <v>2.8029800000000001E-3</v>
      </c>
      <c r="W141" s="484">
        <f t="shared" si="189"/>
        <v>78.83</v>
      </c>
      <c r="X141" s="484">
        <v>0</v>
      </c>
      <c r="Y141" s="484">
        <f t="shared" si="183"/>
        <v>47.3</v>
      </c>
      <c r="Z141" s="484">
        <f t="shared" si="183"/>
        <v>-2.85</v>
      </c>
      <c r="AA141" s="484">
        <f t="shared" si="183"/>
        <v>-1.06</v>
      </c>
      <c r="AB141" s="485">
        <f t="shared" si="199"/>
        <v>122.22</v>
      </c>
      <c r="AC141" s="485">
        <f t="shared" si="190"/>
        <v>-22</v>
      </c>
      <c r="AD141" s="498">
        <f>(F141/F$184)*AD$184</f>
        <v>-20.56</v>
      </c>
      <c r="AE141" s="498">
        <v>0</v>
      </c>
      <c r="AF141" s="485">
        <f t="shared" si="200"/>
        <v>-20.56</v>
      </c>
      <c r="AG141" s="484">
        <f t="shared" si="201"/>
        <v>-42.56</v>
      </c>
      <c r="AH141" s="381">
        <f t="shared" si="202"/>
        <v>1396.47</v>
      </c>
      <c r="AI141" s="483">
        <f t="shared" si="203"/>
        <v>2931.32</v>
      </c>
      <c r="AJ141" s="483">
        <f t="shared" si="182"/>
        <v>3477.64</v>
      </c>
      <c r="AK141" s="83"/>
      <c r="AL141" s="114">
        <f t="shared" si="204"/>
        <v>1499.54</v>
      </c>
      <c r="AM141" s="497">
        <f t="shared" si="191"/>
        <v>2227.13</v>
      </c>
      <c r="AN141" s="192">
        <f t="shared" si="205"/>
        <v>0</v>
      </c>
      <c r="AO141" s="114">
        <f t="shared" si="206"/>
        <v>-168.14</v>
      </c>
      <c r="AP141" s="137">
        <f t="shared" si="207"/>
        <v>0</v>
      </c>
      <c r="AQ141" s="137">
        <f t="shared" si="208"/>
        <v>35.31</v>
      </c>
      <c r="AR141" s="84">
        <f t="shared" si="209"/>
        <v>35.31</v>
      </c>
      <c r="AS141" s="84">
        <f t="shared" si="210"/>
        <v>0</v>
      </c>
      <c r="AT141" s="84">
        <f t="shared" si="211"/>
        <v>0</v>
      </c>
      <c r="AU141" s="84">
        <f t="shared" si="212"/>
        <v>0</v>
      </c>
      <c r="AV141" s="84">
        <f t="shared" si="213"/>
        <v>0</v>
      </c>
      <c r="AW141" s="487">
        <v>1316.81</v>
      </c>
      <c r="AX141" s="137">
        <f t="shared" si="214"/>
        <v>78.83</v>
      </c>
      <c r="AY141" s="137">
        <f t="shared" si="215"/>
        <v>0</v>
      </c>
      <c r="AZ141" s="137">
        <f t="shared" si="216"/>
        <v>47.3</v>
      </c>
      <c r="BA141" s="137">
        <f t="shared" si="217"/>
        <v>-2.85</v>
      </c>
      <c r="BB141" s="137">
        <f t="shared" si="218"/>
        <v>-1.06</v>
      </c>
      <c r="BC141" s="84">
        <f t="shared" si="219"/>
        <v>122.22</v>
      </c>
      <c r="BD141" s="84">
        <f t="shared" si="220"/>
        <v>-22</v>
      </c>
      <c r="BE141" s="84">
        <f t="shared" si="221"/>
        <v>-20.56</v>
      </c>
      <c r="BF141" s="116">
        <f t="shared" si="222"/>
        <v>-42.56</v>
      </c>
      <c r="BG141" s="496">
        <f t="shared" si="223"/>
        <v>2094.3000000000002</v>
      </c>
      <c r="BH141" s="496">
        <f t="shared" si="224"/>
        <v>1396.47</v>
      </c>
      <c r="BI141" s="496">
        <f t="shared" si="225"/>
        <v>3490.77</v>
      </c>
    </row>
    <row r="142" spans="1:61" s="480" customFormat="1" ht="16.149999999999999" customHeight="1">
      <c r="A142" s="495" t="s">
        <v>195</v>
      </c>
      <c r="B142" s="494" t="s">
        <v>384</v>
      </c>
      <c r="C142" s="615" t="s">
        <v>67</v>
      </c>
      <c r="D142" s="385" t="s">
        <v>12</v>
      </c>
      <c r="E142" s="314">
        <v>19725</v>
      </c>
      <c r="F142" s="499"/>
      <c r="G142" s="491">
        <v>1999.91</v>
      </c>
      <c r="H142" s="485">
        <v>0</v>
      </c>
      <c r="I142" s="490">
        <f t="shared" si="193"/>
        <v>1999.91</v>
      </c>
      <c r="J142" s="489">
        <f t="shared" si="185"/>
        <v>3.7382800000000001E-3</v>
      </c>
      <c r="K142" s="484">
        <f t="shared" si="186"/>
        <v>-224.24</v>
      </c>
      <c r="L142" s="484">
        <f t="shared" si="184"/>
        <v>0</v>
      </c>
      <c r="M142" s="484">
        <f t="shared" si="187"/>
        <v>47.09</v>
      </c>
      <c r="N142" s="485">
        <f t="shared" si="194"/>
        <v>47.09</v>
      </c>
      <c r="O142" s="485">
        <f t="shared" si="192"/>
        <v>0</v>
      </c>
      <c r="P142" s="485">
        <f t="shared" si="192"/>
        <v>0</v>
      </c>
      <c r="Q142" s="485">
        <f t="shared" si="195"/>
        <v>0</v>
      </c>
      <c r="R142" s="484">
        <f t="shared" si="196"/>
        <v>0</v>
      </c>
      <c r="S142" s="485">
        <f t="shared" si="197"/>
        <v>2047</v>
      </c>
      <c r="T142" s="488">
        <f t="shared" si="188"/>
        <v>2445.06</v>
      </c>
      <c r="U142" s="487">
        <v>1859.08</v>
      </c>
      <c r="V142" s="486">
        <f t="shared" si="198"/>
        <v>3.7382800000000001E-3</v>
      </c>
      <c r="W142" s="484">
        <f t="shared" si="189"/>
        <v>105.14</v>
      </c>
      <c r="X142" s="484">
        <v>0</v>
      </c>
      <c r="Y142" s="484">
        <f t="shared" ref="Y142:AA161" si="226">$V142*Y$184</f>
        <v>63.08</v>
      </c>
      <c r="Z142" s="484">
        <f t="shared" si="226"/>
        <v>-3.8</v>
      </c>
      <c r="AA142" s="484">
        <f t="shared" si="226"/>
        <v>-1.41</v>
      </c>
      <c r="AB142" s="485">
        <f t="shared" si="199"/>
        <v>163.01</v>
      </c>
      <c r="AC142" s="485">
        <f t="shared" si="190"/>
        <v>-29.35</v>
      </c>
      <c r="AD142" s="498">
        <v>0</v>
      </c>
      <c r="AE142" s="498">
        <v>-39.5</v>
      </c>
      <c r="AF142" s="485">
        <f t="shared" si="200"/>
        <v>-39.5</v>
      </c>
      <c r="AG142" s="484">
        <f t="shared" si="201"/>
        <v>-68.849999999999994</v>
      </c>
      <c r="AH142" s="381">
        <f t="shared" si="202"/>
        <v>1953.24</v>
      </c>
      <c r="AI142" s="483">
        <f t="shared" si="203"/>
        <v>4000.24</v>
      </c>
      <c r="AJ142" s="483">
        <f t="shared" si="182"/>
        <v>4745.78</v>
      </c>
      <c r="AK142" s="83"/>
      <c r="AL142" s="114">
        <f t="shared" si="204"/>
        <v>1999.91</v>
      </c>
      <c r="AM142" s="497">
        <f t="shared" si="191"/>
        <v>2970.29</v>
      </c>
      <c r="AN142" s="192">
        <f t="shared" si="205"/>
        <v>0</v>
      </c>
      <c r="AO142" s="114">
        <f t="shared" si="206"/>
        <v>-224.24</v>
      </c>
      <c r="AP142" s="137">
        <f t="shared" si="207"/>
        <v>0</v>
      </c>
      <c r="AQ142" s="137">
        <f t="shared" si="208"/>
        <v>47.09</v>
      </c>
      <c r="AR142" s="84">
        <f t="shared" si="209"/>
        <v>47.09</v>
      </c>
      <c r="AS142" s="84">
        <f t="shared" si="210"/>
        <v>0</v>
      </c>
      <c r="AT142" s="84">
        <f t="shared" si="211"/>
        <v>0</v>
      </c>
      <c r="AU142" s="84">
        <f t="shared" si="212"/>
        <v>0</v>
      </c>
      <c r="AV142" s="84">
        <f t="shared" si="213"/>
        <v>0</v>
      </c>
      <c r="AW142" s="487">
        <v>1859.08</v>
      </c>
      <c r="AX142" s="137">
        <f t="shared" si="214"/>
        <v>105.14</v>
      </c>
      <c r="AY142" s="137">
        <f t="shared" si="215"/>
        <v>0</v>
      </c>
      <c r="AZ142" s="137">
        <f t="shared" si="216"/>
        <v>63.08</v>
      </c>
      <c r="BA142" s="137">
        <f t="shared" si="217"/>
        <v>-3.8</v>
      </c>
      <c r="BB142" s="137">
        <f t="shared" si="218"/>
        <v>-1.41</v>
      </c>
      <c r="BC142" s="84">
        <f t="shared" si="219"/>
        <v>163.01</v>
      </c>
      <c r="BD142" s="84">
        <f t="shared" si="220"/>
        <v>-29.35</v>
      </c>
      <c r="BE142" s="84">
        <f t="shared" si="221"/>
        <v>-39.5</v>
      </c>
      <c r="BF142" s="116">
        <f t="shared" si="222"/>
        <v>-68.849999999999994</v>
      </c>
      <c r="BG142" s="496">
        <f t="shared" si="223"/>
        <v>2793.14</v>
      </c>
      <c r="BH142" s="496">
        <f t="shared" si="224"/>
        <v>1953.24</v>
      </c>
      <c r="BI142" s="496">
        <f t="shared" si="225"/>
        <v>4746.38</v>
      </c>
    </row>
    <row r="143" spans="1:61" s="480" customFormat="1" ht="16.149999999999999" customHeight="1">
      <c r="A143" s="495" t="s">
        <v>195</v>
      </c>
      <c r="B143" s="494" t="s">
        <v>317</v>
      </c>
      <c r="C143" s="493" t="s">
        <v>62</v>
      </c>
      <c r="D143" s="385" t="s">
        <v>12</v>
      </c>
      <c r="E143" s="314">
        <v>19725</v>
      </c>
      <c r="F143" s="500">
        <v>10</v>
      </c>
      <c r="G143" s="491">
        <v>3999.94</v>
      </c>
      <c r="H143" s="485">
        <v>0</v>
      </c>
      <c r="I143" s="490">
        <f t="shared" si="193"/>
        <v>3999.94</v>
      </c>
      <c r="J143" s="489">
        <f t="shared" si="185"/>
        <v>7.4767899999999997E-3</v>
      </c>
      <c r="K143" s="484">
        <f t="shared" si="186"/>
        <v>-448.5</v>
      </c>
      <c r="L143" s="484">
        <f t="shared" si="184"/>
        <v>0</v>
      </c>
      <c r="M143" s="484">
        <f t="shared" si="187"/>
        <v>94.18</v>
      </c>
      <c r="N143" s="485">
        <f t="shared" si="194"/>
        <v>94.18</v>
      </c>
      <c r="O143" s="485">
        <f t="shared" si="192"/>
        <v>0</v>
      </c>
      <c r="P143" s="485">
        <f t="shared" si="192"/>
        <v>0</v>
      </c>
      <c r="Q143" s="485">
        <f t="shared" si="195"/>
        <v>0</v>
      </c>
      <c r="R143" s="484">
        <f t="shared" si="196"/>
        <v>0</v>
      </c>
      <c r="S143" s="485">
        <f t="shared" si="197"/>
        <v>4094.12</v>
      </c>
      <c r="T143" s="488">
        <f t="shared" si="188"/>
        <v>4890.26</v>
      </c>
      <c r="U143" s="487">
        <v>3672.04</v>
      </c>
      <c r="V143" s="486">
        <f t="shared" si="198"/>
        <v>7.4767899999999997E-3</v>
      </c>
      <c r="W143" s="484">
        <f t="shared" si="189"/>
        <v>210.28</v>
      </c>
      <c r="X143" s="484">
        <v>0</v>
      </c>
      <c r="Y143" s="484">
        <f t="shared" si="226"/>
        <v>126.17</v>
      </c>
      <c r="Z143" s="484">
        <f t="shared" si="226"/>
        <v>-7.6</v>
      </c>
      <c r="AA143" s="484">
        <f t="shared" si="226"/>
        <v>-2.82</v>
      </c>
      <c r="AB143" s="485">
        <f t="shared" si="199"/>
        <v>326.02999999999997</v>
      </c>
      <c r="AC143" s="485">
        <f t="shared" si="190"/>
        <v>-58.7</v>
      </c>
      <c r="AD143" s="498">
        <f t="shared" ref="AD143:AD148" si="227">(F143/F$184)*AD$184</f>
        <v>-41.12</v>
      </c>
      <c r="AE143" s="498">
        <v>0</v>
      </c>
      <c r="AF143" s="485">
        <f t="shared" si="200"/>
        <v>-41.12</v>
      </c>
      <c r="AG143" s="484">
        <f t="shared" si="201"/>
        <v>-99.82</v>
      </c>
      <c r="AH143" s="381">
        <f t="shared" si="202"/>
        <v>3898.25</v>
      </c>
      <c r="AI143" s="483">
        <f t="shared" si="203"/>
        <v>7992.37</v>
      </c>
      <c r="AJ143" s="483">
        <f t="shared" si="182"/>
        <v>9481.9500000000007</v>
      </c>
      <c r="AK143" s="83"/>
      <c r="AL143" s="114">
        <f t="shared" si="204"/>
        <v>3999.94</v>
      </c>
      <c r="AM143" s="497">
        <f t="shared" si="191"/>
        <v>5940.75</v>
      </c>
      <c r="AN143" s="192">
        <f t="shared" si="205"/>
        <v>0</v>
      </c>
      <c r="AO143" s="114">
        <f t="shared" si="206"/>
        <v>-448.5</v>
      </c>
      <c r="AP143" s="137">
        <f t="shared" si="207"/>
        <v>0</v>
      </c>
      <c r="AQ143" s="137">
        <f t="shared" si="208"/>
        <v>94.18</v>
      </c>
      <c r="AR143" s="84">
        <f t="shared" si="209"/>
        <v>94.18</v>
      </c>
      <c r="AS143" s="84">
        <f t="shared" si="210"/>
        <v>0</v>
      </c>
      <c r="AT143" s="84">
        <f t="shared" si="211"/>
        <v>0</v>
      </c>
      <c r="AU143" s="84">
        <f t="shared" si="212"/>
        <v>0</v>
      </c>
      <c r="AV143" s="84">
        <f t="shared" si="213"/>
        <v>0</v>
      </c>
      <c r="AW143" s="487">
        <v>3672.04</v>
      </c>
      <c r="AX143" s="137">
        <f t="shared" si="214"/>
        <v>210.28</v>
      </c>
      <c r="AY143" s="137">
        <f t="shared" si="215"/>
        <v>0</v>
      </c>
      <c r="AZ143" s="137">
        <f t="shared" si="216"/>
        <v>126.17</v>
      </c>
      <c r="BA143" s="137">
        <f t="shared" si="217"/>
        <v>-7.6</v>
      </c>
      <c r="BB143" s="137">
        <f t="shared" si="218"/>
        <v>-2.82</v>
      </c>
      <c r="BC143" s="84">
        <f t="shared" si="219"/>
        <v>326.02999999999997</v>
      </c>
      <c r="BD143" s="84">
        <f t="shared" si="220"/>
        <v>-58.7</v>
      </c>
      <c r="BE143" s="84">
        <f t="shared" si="221"/>
        <v>-41.12</v>
      </c>
      <c r="BF143" s="116">
        <f t="shared" si="222"/>
        <v>-99.82</v>
      </c>
      <c r="BG143" s="496">
        <f t="shared" si="223"/>
        <v>5586.43</v>
      </c>
      <c r="BH143" s="496">
        <f t="shared" si="224"/>
        <v>3898.25</v>
      </c>
      <c r="BI143" s="496">
        <f t="shared" si="225"/>
        <v>9484.68</v>
      </c>
    </row>
    <row r="144" spans="1:61" s="480" customFormat="1" ht="16.149999999999999" customHeight="1">
      <c r="A144" s="495" t="s">
        <v>195</v>
      </c>
      <c r="B144" s="494" t="s">
        <v>315</v>
      </c>
      <c r="C144" s="493" t="s">
        <v>62</v>
      </c>
      <c r="D144" s="385" t="s">
        <v>12</v>
      </c>
      <c r="E144" s="314">
        <v>8767</v>
      </c>
      <c r="F144" s="500">
        <v>10</v>
      </c>
      <c r="G144" s="491">
        <v>1999.91</v>
      </c>
      <c r="H144" s="485">
        <v>0</v>
      </c>
      <c r="I144" s="490">
        <f t="shared" si="193"/>
        <v>1999.91</v>
      </c>
      <c r="J144" s="489">
        <f t="shared" si="185"/>
        <v>3.7382800000000001E-3</v>
      </c>
      <c r="K144" s="484">
        <f t="shared" si="186"/>
        <v>-224.24</v>
      </c>
      <c r="L144" s="484">
        <f t="shared" si="184"/>
        <v>0</v>
      </c>
      <c r="M144" s="484">
        <f t="shared" si="187"/>
        <v>47.09</v>
      </c>
      <c r="N144" s="485">
        <f t="shared" si="194"/>
        <v>47.09</v>
      </c>
      <c r="O144" s="485">
        <f t="shared" si="192"/>
        <v>0</v>
      </c>
      <c r="P144" s="485">
        <f t="shared" si="192"/>
        <v>0</v>
      </c>
      <c r="Q144" s="485">
        <f t="shared" si="195"/>
        <v>0</v>
      </c>
      <c r="R144" s="484">
        <f t="shared" si="196"/>
        <v>0</v>
      </c>
      <c r="S144" s="485">
        <f t="shared" si="197"/>
        <v>2047</v>
      </c>
      <c r="T144" s="488">
        <f t="shared" si="188"/>
        <v>2445.06</v>
      </c>
      <c r="U144" s="487">
        <v>1596.91</v>
      </c>
      <c r="V144" s="486">
        <f t="shared" si="198"/>
        <v>3.7382800000000001E-3</v>
      </c>
      <c r="W144" s="484">
        <f t="shared" si="189"/>
        <v>105.14</v>
      </c>
      <c r="X144" s="484">
        <v>0</v>
      </c>
      <c r="Y144" s="484">
        <f t="shared" si="226"/>
        <v>63.08</v>
      </c>
      <c r="Z144" s="484">
        <f t="shared" si="226"/>
        <v>-3.8</v>
      </c>
      <c r="AA144" s="484">
        <f t="shared" si="226"/>
        <v>-1.41</v>
      </c>
      <c r="AB144" s="485">
        <f t="shared" si="199"/>
        <v>163.01</v>
      </c>
      <c r="AC144" s="485">
        <f t="shared" si="190"/>
        <v>-29.35</v>
      </c>
      <c r="AD144" s="498">
        <f t="shared" si="227"/>
        <v>-41.12</v>
      </c>
      <c r="AE144" s="498">
        <v>0</v>
      </c>
      <c r="AF144" s="485">
        <f t="shared" si="200"/>
        <v>-41.12</v>
      </c>
      <c r="AG144" s="484">
        <f t="shared" si="201"/>
        <v>-70.47</v>
      </c>
      <c r="AH144" s="381">
        <f t="shared" si="202"/>
        <v>1689.45</v>
      </c>
      <c r="AI144" s="483">
        <f t="shared" si="203"/>
        <v>3736.45</v>
      </c>
      <c r="AJ144" s="483">
        <f t="shared" si="182"/>
        <v>4432.83</v>
      </c>
      <c r="AK144" s="83"/>
      <c r="AL144" s="114">
        <f t="shared" si="204"/>
        <v>1999.91</v>
      </c>
      <c r="AM144" s="497">
        <f t="shared" si="191"/>
        <v>2970.29</v>
      </c>
      <c r="AN144" s="192">
        <f t="shared" si="205"/>
        <v>0</v>
      </c>
      <c r="AO144" s="114">
        <f t="shared" si="206"/>
        <v>-224.24</v>
      </c>
      <c r="AP144" s="137">
        <f t="shared" si="207"/>
        <v>0</v>
      </c>
      <c r="AQ144" s="137">
        <f t="shared" si="208"/>
        <v>47.09</v>
      </c>
      <c r="AR144" s="84">
        <f t="shared" si="209"/>
        <v>47.09</v>
      </c>
      <c r="AS144" s="84">
        <f t="shared" si="210"/>
        <v>0</v>
      </c>
      <c r="AT144" s="84">
        <f t="shared" si="211"/>
        <v>0</v>
      </c>
      <c r="AU144" s="84">
        <f t="shared" si="212"/>
        <v>0</v>
      </c>
      <c r="AV144" s="84">
        <f t="shared" si="213"/>
        <v>0</v>
      </c>
      <c r="AW144" s="487">
        <v>1596.91</v>
      </c>
      <c r="AX144" s="137">
        <f t="shared" si="214"/>
        <v>105.14</v>
      </c>
      <c r="AY144" s="137">
        <f t="shared" si="215"/>
        <v>0</v>
      </c>
      <c r="AZ144" s="137">
        <f t="shared" si="216"/>
        <v>63.08</v>
      </c>
      <c r="BA144" s="137">
        <f t="shared" si="217"/>
        <v>-3.8</v>
      </c>
      <c r="BB144" s="137">
        <f t="shared" si="218"/>
        <v>-1.41</v>
      </c>
      <c r="BC144" s="84">
        <f t="shared" si="219"/>
        <v>163.01</v>
      </c>
      <c r="BD144" s="84">
        <f t="shared" si="220"/>
        <v>-29.35</v>
      </c>
      <c r="BE144" s="84">
        <f t="shared" si="221"/>
        <v>-41.12</v>
      </c>
      <c r="BF144" s="116">
        <f t="shared" si="222"/>
        <v>-70.47</v>
      </c>
      <c r="BG144" s="496">
        <f t="shared" si="223"/>
        <v>2793.14</v>
      </c>
      <c r="BH144" s="496">
        <f t="shared" si="224"/>
        <v>1689.45</v>
      </c>
      <c r="BI144" s="496">
        <f t="shared" si="225"/>
        <v>4482.59</v>
      </c>
    </row>
    <row r="145" spans="1:61" s="480" customFormat="1" ht="16.149999999999999" customHeight="1">
      <c r="A145" s="495" t="s">
        <v>195</v>
      </c>
      <c r="B145" s="494" t="s">
        <v>324</v>
      </c>
      <c r="C145" s="493" t="s">
        <v>62</v>
      </c>
      <c r="D145" s="385" t="s">
        <v>12</v>
      </c>
      <c r="E145" s="314">
        <v>11689</v>
      </c>
      <c r="F145" s="500">
        <v>10</v>
      </c>
      <c r="G145" s="491">
        <v>1999.91</v>
      </c>
      <c r="H145" s="485">
        <v>0</v>
      </c>
      <c r="I145" s="490">
        <f t="shared" si="193"/>
        <v>1999.91</v>
      </c>
      <c r="J145" s="489">
        <f t="shared" si="185"/>
        <v>3.7382800000000001E-3</v>
      </c>
      <c r="K145" s="484">
        <f t="shared" si="186"/>
        <v>-224.24</v>
      </c>
      <c r="L145" s="484">
        <f t="shared" si="184"/>
        <v>0</v>
      </c>
      <c r="M145" s="484">
        <f t="shared" si="187"/>
        <v>47.09</v>
      </c>
      <c r="N145" s="485">
        <f t="shared" si="194"/>
        <v>47.09</v>
      </c>
      <c r="O145" s="485">
        <f t="shared" si="192"/>
        <v>0</v>
      </c>
      <c r="P145" s="485">
        <f t="shared" si="192"/>
        <v>0</v>
      </c>
      <c r="Q145" s="485">
        <f t="shared" si="195"/>
        <v>0</v>
      </c>
      <c r="R145" s="484">
        <f t="shared" si="196"/>
        <v>0</v>
      </c>
      <c r="S145" s="485">
        <f t="shared" si="197"/>
        <v>2047</v>
      </c>
      <c r="T145" s="488">
        <f t="shared" si="188"/>
        <v>2445.06</v>
      </c>
      <c r="U145" s="487">
        <v>1596.91</v>
      </c>
      <c r="V145" s="486">
        <f t="shared" si="198"/>
        <v>3.7382800000000001E-3</v>
      </c>
      <c r="W145" s="484">
        <f t="shared" si="189"/>
        <v>105.14</v>
      </c>
      <c r="X145" s="484">
        <v>0</v>
      </c>
      <c r="Y145" s="484">
        <f t="shared" si="226"/>
        <v>63.08</v>
      </c>
      <c r="Z145" s="484">
        <f t="shared" si="226"/>
        <v>-3.8</v>
      </c>
      <c r="AA145" s="484">
        <f t="shared" si="226"/>
        <v>-1.41</v>
      </c>
      <c r="AB145" s="485">
        <f t="shared" si="199"/>
        <v>163.01</v>
      </c>
      <c r="AC145" s="485">
        <f t="shared" si="190"/>
        <v>-29.35</v>
      </c>
      <c r="AD145" s="498">
        <f t="shared" si="227"/>
        <v>-41.12</v>
      </c>
      <c r="AE145" s="498">
        <v>0</v>
      </c>
      <c r="AF145" s="485">
        <f t="shared" si="200"/>
        <v>-41.12</v>
      </c>
      <c r="AG145" s="484">
        <f t="shared" si="201"/>
        <v>-70.47</v>
      </c>
      <c r="AH145" s="381">
        <f t="shared" si="202"/>
        <v>1689.45</v>
      </c>
      <c r="AI145" s="483">
        <f t="shared" si="203"/>
        <v>3736.45</v>
      </c>
      <c r="AJ145" s="483">
        <f t="shared" si="182"/>
        <v>4432.83</v>
      </c>
      <c r="AK145" s="83"/>
      <c r="AL145" s="114">
        <f t="shared" si="204"/>
        <v>1999.91</v>
      </c>
      <c r="AM145" s="497">
        <f t="shared" si="191"/>
        <v>2970.29</v>
      </c>
      <c r="AN145" s="192">
        <f t="shared" si="205"/>
        <v>0</v>
      </c>
      <c r="AO145" s="114">
        <f t="shared" si="206"/>
        <v>-224.24</v>
      </c>
      <c r="AP145" s="137">
        <f t="shared" si="207"/>
        <v>0</v>
      </c>
      <c r="AQ145" s="137">
        <f t="shared" si="208"/>
        <v>47.09</v>
      </c>
      <c r="AR145" s="84">
        <f t="shared" si="209"/>
        <v>47.09</v>
      </c>
      <c r="AS145" s="84">
        <f t="shared" si="210"/>
        <v>0</v>
      </c>
      <c r="AT145" s="84">
        <f t="shared" si="211"/>
        <v>0</v>
      </c>
      <c r="AU145" s="84">
        <f t="shared" si="212"/>
        <v>0</v>
      </c>
      <c r="AV145" s="84">
        <f t="shared" si="213"/>
        <v>0</v>
      </c>
      <c r="AW145" s="487">
        <v>1596.91</v>
      </c>
      <c r="AX145" s="137">
        <f t="shared" si="214"/>
        <v>105.14</v>
      </c>
      <c r="AY145" s="137">
        <f t="shared" si="215"/>
        <v>0</v>
      </c>
      <c r="AZ145" s="137">
        <f t="shared" si="216"/>
        <v>63.08</v>
      </c>
      <c r="BA145" s="137">
        <f t="shared" si="217"/>
        <v>-3.8</v>
      </c>
      <c r="BB145" s="137">
        <f t="shared" si="218"/>
        <v>-1.41</v>
      </c>
      <c r="BC145" s="84">
        <f t="shared" si="219"/>
        <v>163.01</v>
      </c>
      <c r="BD145" s="84">
        <f t="shared" si="220"/>
        <v>-29.35</v>
      </c>
      <c r="BE145" s="84">
        <f t="shared" si="221"/>
        <v>-41.12</v>
      </c>
      <c r="BF145" s="116">
        <f t="shared" si="222"/>
        <v>-70.47</v>
      </c>
      <c r="BG145" s="496">
        <f t="shared" si="223"/>
        <v>2793.14</v>
      </c>
      <c r="BH145" s="496">
        <f t="shared" si="224"/>
        <v>1689.45</v>
      </c>
      <c r="BI145" s="496">
        <f t="shared" si="225"/>
        <v>4482.59</v>
      </c>
    </row>
    <row r="146" spans="1:61" s="480" customFormat="1" ht="16.149999999999999" customHeight="1">
      <c r="A146" s="495" t="s">
        <v>195</v>
      </c>
      <c r="B146" s="494" t="s">
        <v>318</v>
      </c>
      <c r="C146" s="493" t="s">
        <v>62</v>
      </c>
      <c r="D146" s="385" t="s">
        <v>12</v>
      </c>
      <c r="E146" s="314">
        <v>5480</v>
      </c>
      <c r="F146" s="500">
        <v>10</v>
      </c>
      <c r="G146" s="491">
        <v>1999.91</v>
      </c>
      <c r="H146" s="485">
        <v>0</v>
      </c>
      <c r="I146" s="490">
        <f t="shared" si="193"/>
        <v>1999.91</v>
      </c>
      <c r="J146" s="489">
        <f t="shared" si="185"/>
        <v>3.7382800000000001E-3</v>
      </c>
      <c r="K146" s="484">
        <f t="shared" si="186"/>
        <v>-224.24</v>
      </c>
      <c r="L146" s="484">
        <f t="shared" si="184"/>
        <v>0</v>
      </c>
      <c r="M146" s="484">
        <f t="shared" si="187"/>
        <v>47.09</v>
      </c>
      <c r="N146" s="485">
        <f t="shared" si="194"/>
        <v>47.09</v>
      </c>
      <c r="O146" s="485">
        <f t="shared" si="192"/>
        <v>0</v>
      </c>
      <c r="P146" s="485">
        <f t="shared" si="192"/>
        <v>0</v>
      </c>
      <c r="Q146" s="485">
        <f t="shared" si="195"/>
        <v>0</v>
      </c>
      <c r="R146" s="484">
        <f t="shared" si="196"/>
        <v>0</v>
      </c>
      <c r="S146" s="485">
        <f t="shared" si="197"/>
        <v>2047</v>
      </c>
      <c r="T146" s="488">
        <f t="shared" si="188"/>
        <v>2445.06</v>
      </c>
      <c r="U146" s="487">
        <v>1596.91</v>
      </c>
      <c r="V146" s="486">
        <f t="shared" si="198"/>
        <v>3.7382800000000001E-3</v>
      </c>
      <c r="W146" s="484">
        <f t="shared" si="189"/>
        <v>105.14</v>
      </c>
      <c r="X146" s="484">
        <v>0</v>
      </c>
      <c r="Y146" s="484">
        <f t="shared" si="226"/>
        <v>63.08</v>
      </c>
      <c r="Z146" s="484">
        <f t="shared" si="226"/>
        <v>-3.8</v>
      </c>
      <c r="AA146" s="484">
        <f t="shared" si="226"/>
        <v>-1.41</v>
      </c>
      <c r="AB146" s="485">
        <f t="shared" si="199"/>
        <v>163.01</v>
      </c>
      <c r="AC146" s="485">
        <f t="shared" si="190"/>
        <v>-29.35</v>
      </c>
      <c r="AD146" s="498">
        <f t="shared" si="227"/>
        <v>-41.12</v>
      </c>
      <c r="AE146" s="498">
        <v>0</v>
      </c>
      <c r="AF146" s="485">
        <f t="shared" si="200"/>
        <v>-41.12</v>
      </c>
      <c r="AG146" s="484">
        <f t="shared" si="201"/>
        <v>-70.47</v>
      </c>
      <c r="AH146" s="381">
        <f t="shared" si="202"/>
        <v>1689.45</v>
      </c>
      <c r="AI146" s="483">
        <f t="shared" si="203"/>
        <v>3736.45</v>
      </c>
      <c r="AJ146" s="483">
        <f t="shared" si="182"/>
        <v>4432.83</v>
      </c>
      <c r="AK146" s="83"/>
      <c r="AL146" s="114">
        <f t="shared" si="204"/>
        <v>1999.91</v>
      </c>
      <c r="AM146" s="497">
        <f t="shared" si="191"/>
        <v>2970.29</v>
      </c>
      <c r="AN146" s="192">
        <f t="shared" si="205"/>
        <v>0</v>
      </c>
      <c r="AO146" s="114">
        <f t="shared" si="206"/>
        <v>-224.24</v>
      </c>
      <c r="AP146" s="137">
        <f t="shared" si="207"/>
        <v>0</v>
      </c>
      <c r="AQ146" s="137">
        <f t="shared" si="208"/>
        <v>47.09</v>
      </c>
      <c r="AR146" s="84">
        <f t="shared" si="209"/>
        <v>47.09</v>
      </c>
      <c r="AS146" s="84">
        <f t="shared" si="210"/>
        <v>0</v>
      </c>
      <c r="AT146" s="84">
        <f t="shared" si="211"/>
        <v>0</v>
      </c>
      <c r="AU146" s="84">
        <f t="shared" si="212"/>
        <v>0</v>
      </c>
      <c r="AV146" s="84">
        <f t="shared" si="213"/>
        <v>0</v>
      </c>
      <c r="AW146" s="487">
        <v>1596.91</v>
      </c>
      <c r="AX146" s="137">
        <f t="shared" si="214"/>
        <v>105.14</v>
      </c>
      <c r="AY146" s="137">
        <f t="shared" si="215"/>
        <v>0</v>
      </c>
      <c r="AZ146" s="137">
        <f t="shared" si="216"/>
        <v>63.08</v>
      </c>
      <c r="BA146" s="137">
        <f t="shared" si="217"/>
        <v>-3.8</v>
      </c>
      <c r="BB146" s="137">
        <f t="shared" si="218"/>
        <v>-1.41</v>
      </c>
      <c r="BC146" s="84">
        <f t="shared" si="219"/>
        <v>163.01</v>
      </c>
      <c r="BD146" s="84">
        <f t="shared" si="220"/>
        <v>-29.35</v>
      </c>
      <c r="BE146" s="84">
        <f t="shared" si="221"/>
        <v>-41.12</v>
      </c>
      <c r="BF146" s="116">
        <f t="shared" si="222"/>
        <v>-70.47</v>
      </c>
      <c r="BG146" s="496">
        <f t="shared" si="223"/>
        <v>2793.14</v>
      </c>
      <c r="BH146" s="496">
        <f t="shared" si="224"/>
        <v>1689.45</v>
      </c>
      <c r="BI146" s="496">
        <f t="shared" si="225"/>
        <v>4482.59</v>
      </c>
    </row>
    <row r="147" spans="1:61" s="480" customFormat="1" ht="16.149999999999999" customHeight="1">
      <c r="A147" s="495" t="s">
        <v>195</v>
      </c>
      <c r="B147" s="494" t="s">
        <v>321</v>
      </c>
      <c r="C147" s="493" t="s">
        <v>62</v>
      </c>
      <c r="D147" s="385" t="s">
        <v>12</v>
      </c>
      <c r="E147" s="314">
        <v>7672</v>
      </c>
      <c r="F147" s="500">
        <v>10</v>
      </c>
      <c r="G147" s="491">
        <v>3999.94</v>
      </c>
      <c r="H147" s="485">
        <v>0</v>
      </c>
      <c r="I147" s="490">
        <f t="shared" si="193"/>
        <v>3999.94</v>
      </c>
      <c r="J147" s="489">
        <f t="shared" si="185"/>
        <v>7.4767899999999997E-3</v>
      </c>
      <c r="K147" s="484">
        <f t="shared" si="186"/>
        <v>-448.5</v>
      </c>
      <c r="L147" s="484">
        <f t="shared" si="184"/>
        <v>0</v>
      </c>
      <c r="M147" s="484">
        <f t="shared" si="187"/>
        <v>94.18</v>
      </c>
      <c r="N147" s="485">
        <f t="shared" si="194"/>
        <v>94.18</v>
      </c>
      <c r="O147" s="485">
        <f t="shared" si="192"/>
        <v>0</v>
      </c>
      <c r="P147" s="485">
        <f t="shared" si="192"/>
        <v>0</v>
      </c>
      <c r="Q147" s="485">
        <f t="shared" si="195"/>
        <v>0</v>
      </c>
      <c r="R147" s="484">
        <f t="shared" si="196"/>
        <v>0</v>
      </c>
      <c r="S147" s="485">
        <f t="shared" si="197"/>
        <v>4094.12</v>
      </c>
      <c r="T147" s="488">
        <f t="shared" si="188"/>
        <v>4890.26</v>
      </c>
      <c r="U147" s="487">
        <v>3672.04</v>
      </c>
      <c r="V147" s="486">
        <f t="shared" si="198"/>
        <v>7.4767899999999997E-3</v>
      </c>
      <c r="W147" s="484">
        <f t="shared" si="189"/>
        <v>210.28</v>
      </c>
      <c r="X147" s="484">
        <v>0</v>
      </c>
      <c r="Y147" s="484">
        <f t="shared" si="226"/>
        <v>126.17</v>
      </c>
      <c r="Z147" s="484">
        <f t="shared" si="226"/>
        <v>-7.6</v>
      </c>
      <c r="AA147" s="484">
        <f t="shared" si="226"/>
        <v>-2.82</v>
      </c>
      <c r="AB147" s="485">
        <f t="shared" si="199"/>
        <v>326.02999999999997</v>
      </c>
      <c r="AC147" s="485">
        <f t="shared" si="190"/>
        <v>-58.7</v>
      </c>
      <c r="AD147" s="498">
        <f t="shared" si="227"/>
        <v>-41.12</v>
      </c>
      <c r="AE147" s="498">
        <v>0</v>
      </c>
      <c r="AF147" s="485">
        <f t="shared" si="200"/>
        <v>-41.12</v>
      </c>
      <c r="AG147" s="484">
        <f t="shared" si="201"/>
        <v>-99.82</v>
      </c>
      <c r="AH147" s="381">
        <f t="shared" si="202"/>
        <v>3898.25</v>
      </c>
      <c r="AI147" s="483">
        <f t="shared" si="203"/>
        <v>7992.37</v>
      </c>
      <c r="AJ147" s="483">
        <f t="shared" ref="AJ147:AJ178" si="228">(AI147/AI$184)*AJ$184</f>
        <v>9481.9500000000007</v>
      </c>
      <c r="AK147" s="83"/>
      <c r="AL147" s="114">
        <f t="shared" si="204"/>
        <v>3999.94</v>
      </c>
      <c r="AM147" s="497">
        <f t="shared" si="191"/>
        <v>5940.75</v>
      </c>
      <c r="AN147" s="192">
        <f t="shared" si="205"/>
        <v>0</v>
      </c>
      <c r="AO147" s="114">
        <f t="shared" si="206"/>
        <v>-448.5</v>
      </c>
      <c r="AP147" s="137">
        <f t="shared" si="207"/>
        <v>0</v>
      </c>
      <c r="AQ147" s="137">
        <f t="shared" si="208"/>
        <v>94.18</v>
      </c>
      <c r="AR147" s="84">
        <f t="shared" si="209"/>
        <v>94.18</v>
      </c>
      <c r="AS147" s="84">
        <f t="shared" si="210"/>
        <v>0</v>
      </c>
      <c r="AT147" s="84">
        <f t="shared" si="211"/>
        <v>0</v>
      </c>
      <c r="AU147" s="84">
        <f t="shared" si="212"/>
        <v>0</v>
      </c>
      <c r="AV147" s="84">
        <f t="shared" si="213"/>
        <v>0</v>
      </c>
      <c r="AW147" s="487">
        <v>3672.04</v>
      </c>
      <c r="AX147" s="137">
        <f t="shared" si="214"/>
        <v>210.28</v>
      </c>
      <c r="AY147" s="137">
        <f t="shared" si="215"/>
        <v>0</v>
      </c>
      <c r="AZ147" s="137">
        <f t="shared" si="216"/>
        <v>126.17</v>
      </c>
      <c r="BA147" s="137">
        <f t="shared" si="217"/>
        <v>-7.6</v>
      </c>
      <c r="BB147" s="137">
        <f t="shared" si="218"/>
        <v>-2.82</v>
      </c>
      <c r="BC147" s="84">
        <f t="shared" si="219"/>
        <v>326.02999999999997</v>
      </c>
      <c r="BD147" s="84">
        <f t="shared" si="220"/>
        <v>-58.7</v>
      </c>
      <c r="BE147" s="84">
        <f t="shared" si="221"/>
        <v>-41.12</v>
      </c>
      <c r="BF147" s="116">
        <f t="shared" si="222"/>
        <v>-99.82</v>
      </c>
      <c r="BG147" s="496">
        <f t="shared" si="223"/>
        <v>5586.43</v>
      </c>
      <c r="BH147" s="496">
        <f t="shared" si="224"/>
        <v>3898.25</v>
      </c>
      <c r="BI147" s="496">
        <f t="shared" si="225"/>
        <v>9484.68</v>
      </c>
    </row>
    <row r="148" spans="1:61" s="480" customFormat="1" ht="16.149999999999999" customHeight="1">
      <c r="A148" s="495" t="s">
        <v>195</v>
      </c>
      <c r="B148" s="494" t="s">
        <v>319</v>
      </c>
      <c r="C148" s="493" t="s">
        <v>62</v>
      </c>
      <c r="D148" s="385" t="s">
        <v>12</v>
      </c>
      <c r="E148" s="314">
        <v>8767</v>
      </c>
      <c r="F148" s="500">
        <v>10</v>
      </c>
      <c r="G148" s="491">
        <v>7999.65</v>
      </c>
      <c r="H148" s="485">
        <v>0</v>
      </c>
      <c r="I148" s="490">
        <f t="shared" si="193"/>
        <v>7999.65</v>
      </c>
      <c r="J148" s="489">
        <f t="shared" si="185"/>
        <v>1.495314E-2</v>
      </c>
      <c r="K148" s="484">
        <f t="shared" si="186"/>
        <v>-896.97</v>
      </c>
      <c r="L148" s="484">
        <f t="shared" si="184"/>
        <v>0</v>
      </c>
      <c r="M148" s="484">
        <f t="shared" si="187"/>
        <v>188.36</v>
      </c>
      <c r="N148" s="485">
        <f t="shared" si="194"/>
        <v>188.36</v>
      </c>
      <c r="O148" s="485">
        <f t="shared" si="192"/>
        <v>0</v>
      </c>
      <c r="P148" s="485">
        <f t="shared" si="192"/>
        <v>0</v>
      </c>
      <c r="Q148" s="485">
        <f t="shared" si="195"/>
        <v>0</v>
      </c>
      <c r="R148" s="484">
        <f t="shared" si="196"/>
        <v>0</v>
      </c>
      <c r="S148" s="485">
        <f t="shared" si="197"/>
        <v>8188.01</v>
      </c>
      <c r="T148" s="488">
        <f t="shared" si="188"/>
        <v>9780.24</v>
      </c>
      <c r="U148" s="487">
        <v>7822.1</v>
      </c>
      <c r="V148" s="486">
        <f t="shared" si="198"/>
        <v>1.495314E-2</v>
      </c>
      <c r="W148" s="484">
        <f t="shared" si="189"/>
        <v>420.54</v>
      </c>
      <c r="X148" s="484">
        <v>0</v>
      </c>
      <c r="Y148" s="484">
        <f t="shared" si="226"/>
        <v>252.32</v>
      </c>
      <c r="Z148" s="484">
        <f t="shared" si="226"/>
        <v>-15.2</v>
      </c>
      <c r="AA148" s="484">
        <f t="shared" si="226"/>
        <v>-5.63</v>
      </c>
      <c r="AB148" s="485">
        <f t="shared" si="199"/>
        <v>652.03</v>
      </c>
      <c r="AC148" s="485">
        <f t="shared" si="190"/>
        <v>-117.39</v>
      </c>
      <c r="AD148" s="498">
        <f t="shared" si="227"/>
        <v>-41.12</v>
      </c>
      <c r="AE148" s="498">
        <v>0</v>
      </c>
      <c r="AF148" s="485">
        <f t="shared" si="200"/>
        <v>-41.12</v>
      </c>
      <c r="AG148" s="484">
        <f t="shared" si="201"/>
        <v>-158.51</v>
      </c>
      <c r="AH148" s="381">
        <f t="shared" si="202"/>
        <v>8315.6200000000008</v>
      </c>
      <c r="AI148" s="483">
        <f t="shared" si="203"/>
        <v>16503.63</v>
      </c>
      <c r="AJ148" s="483">
        <f t="shared" si="228"/>
        <v>19579.490000000002</v>
      </c>
      <c r="AK148" s="83"/>
      <c r="AL148" s="114">
        <f t="shared" si="204"/>
        <v>7999.65</v>
      </c>
      <c r="AM148" s="497">
        <f t="shared" si="191"/>
        <v>11881.16</v>
      </c>
      <c r="AN148" s="192">
        <f t="shared" si="205"/>
        <v>0</v>
      </c>
      <c r="AO148" s="114">
        <f t="shared" si="206"/>
        <v>-896.97</v>
      </c>
      <c r="AP148" s="137">
        <f t="shared" si="207"/>
        <v>0</v>
      </c>
      <c r="AQ148" s="137">
        <f t="shared" si="208"/>
        <v>188.36</v>
      </c>
      <c r="AR148" s="84">
        <f t="shared" si="209"/>
        <v>188.36</v>
      </c>
      <c r="AS148" s="84">
        <f t="shared" si="210"/>
        <v>0</v>
      </c>
      <c r="AT148" s="84">
        <f t="shared" si="211"/>
        <v>0</v>
      </c>
      <c r="AU148" s="84">
        <f t="shared" si="212"/>
        <v>0</v>
      </c>
      <c r="AV148" s="84">
        <f t="shared" si="213"/>
        <v>0</v>
      </c>
      <c r="AW148" s="487">
        <v>7822.1</v>
      </c>
      <c r="AX148" s="137">
        <f t="shared" si="214"/>
        <v>420.54</v>
      </c>
      <c r="AY148" s="137">
        <f t="shared" si="215"/>
        <v>0</v>
      </c>
      <c r="AZ148" s="137">
        <f t="shared" si="216"/>
        <v>252.32</v>
      </c>
      <c r="BA148" s="137">
        <f t="shared" si="217"/>
        <v>-15.2</v>
      </c>
      <c r="BB148" s="137">
        <f t="shared" si="218"/>
        <v>-5.63</v>
      </c>
      <c r="BC148" s="84">
        <f t="shared" si="219"/>
        <v>652.03</v>
      </c>
      <c r="BD148" s="84">
        <f t="shared" si="220"/>
        <v>-117.39</v>
      </c>
      <c r="BE148" s="84">
        <f t="shared" si="221"/>
        <v>-41.12</v>
      </c>
      <c r="BF148" s="116">
        <f t="shared" si="222"/>
        <v>-158.51</v>
      </c>
      <c r="BG148" s="496">
        <f t="shared" si="223"/>
        <v>11172.55</v>
      </c>
      <c r="BH148" s="496">
        <f t="shared" si="224"/>
        <v>8315.6200000000008</v>
      </c>
      <c r="BI148" s="496">
        <f t="shared" si="225"/>
        <v>19488.169999999998</v>
      </c>
    </row>
    <row r="149" spans="1:61" s="480" customFormat="1" ht="16.149999999999999" customHeight="1">
      <c r="A149" s="495" t="s">
        <v>195</v>
      </c>
      <c r="B149" s="494" t="s">
        <v>385</v>
      </c>
      <c r="C149" s="615" t="s">
        <v>67</v>
      </c>
      <c r="D149" s="385" t="s">
        <v>12</v>
      </c>
      <c r="E149" s="314">
        <v>8767</v>
      </c>
      <c r="F149" s="499"/>
      <c r="G149" s="491">
        <v>1999.91</v>
      </c>
      <c r="H149" s="485">
        <v>0</v>
      </c>
      <c r="I149" s="490">
        <f t="shared" si="193"/>
        <v>1999.91</v>
      </c>
      <c r="J149" s="489">
        <f t="shared" si="185"/>
        <v>3.7382800000000001E-3</v>
      </c>
      <c r="K149" s="484">
        <f t="shared" si="186"/>
        <v>-224.24</v>
      </c>
      <c r="L149" s="484">
        <f t="shared" si="184"/>
        <v>0</v>
      </c>
      <c r="M149" s="484">
        <f t="shared" si="187"/>
        <v>47.09</v>
      </c>
      <c r="N149" s="485">
        <f t="shared" si="194"/>
        <v>47.09</v>
      </c>
      <c r="O149" s="485">
        <f t="shared" si="192"/>
        <v>0</v>
      </c>
      <c r="P149" s="485">
        <f t="shared" si="192"/>
        <v>0</v>
      </c>
      <c r="Q149" s="485">
        <f t="shared" si="195"/>
        <v>0</v>
      </c>
      <c r="R149" s="484">
        <f t="shared" si="196"/>
        <v>0</v>
      </c>
      <c r="S149" s="485">
        <f t="shared" si="197"/>
        <v>2047</v>
      </c>
      <c r="T149" s="488">
        <f t="shared" si="188"/>
        <v>2445.06</v>
      </c>
      <c r="U149" s="487">
        <v>1859.09</v>
      </c>
      <c r="V149" s="486">
        <f t="shared" si="198"/>
        <v>3.7382800000000001E-3</v>
      </c>
      <c r="W149" s="484">
        <f t="shared" si="189"/>
        <v>105.14</v>
      </c>
      <c r="X149" s="484">
        <v>0</v>
      </c>
      <c r="Y149" s="484">
        <f t="shared" si="226"/>
        <v>63.08</v>
      </c>
      <c r="Z149" s="484">
        <f t="shared" si="226"/>
        <v>-3.8</v>
      </c>
      <c r="AA149" s="484">
        <f t="shared" si="226"/>
        <v>-1.41</v>
      </c>
      <c r="AB149" s="485">
        <f t="shared" si="199"/>
        <v>163.01</v>
      </c>
      <c r="AC149" s="485">
        <f t="shared" si="190"/>
        <v>-29.35</v>
      </c>
      <c r="AD149" s="498">
        <v>0</v>
      </c>
      <c r="AE149" s="498">
        <v>-39.5</v>
      </c>
      <c r="AF149" s="485">
        <f t="shared" si="200"/>
        <v>-39.5</v>
      </c>
      <c r="AG149" s="484">
        <f t="shared" si="201"/>
        <v>-68.849999999999994</v>
      </c>
      <c r="AH149" s="381">
        <f t="shared" si="202"/>
        <v>1953.25</v>
      </c>
      <c r="AI149" s="483">
        <f t="shared" si="203"/>
        <v>4000.25</v>
      </c>
      <c r="AJ149" s="483">
        <f t="shared" si="228"/>
        <v>4745.8</v>
      </c>
      <c r="AK149" s="83"/>
      <c r="AL149" s="114">
        <f t="shared" si="204"/>
        <v>1999.91</v>
      </c>
      <c r="AM149" s="497">
        <f t="shared" si="191"/>
        <v>2970.29</v>
      </c>
      <c r="AN149" s="192">
        <f t="shared" si="205"/>
        <v>0</v>
      </c>
      <c r="AO149" s="114">
        <f t="shared" si="206"/>
        <v>-224.24</v>
      </c>
      <c r="AP149" s="137">
        <f t="shared" si="207"/>
        <v>0</v>
      </c>
      <c r="AQ149" s="137">
        <f t="shared" si="208"/>
        <v>47.09</v>
      </c>
      <c r="AR149" s="84">
        <f t="shared" si="209"/>
        <v>47.09</v>
      </c>
      <c r="AS149" s="84">
        <f t="shared" si="210"/>
        <v>0</v>
      </c>
      <c r="AT149" s="84">
        <f t="shared" si="211"/>
        <v>0</v>
      </c>
      <c r="AU149" s="84">
        <f t="shared" si="212"/>
        <v>0</v>
      </c>
      <c r="AV149" s="84">
        <f t="shared" si="213"/>
        <v>0</v>
      </c>
      <c r="AW149" s="487">
        <v>1859.09</v>
      </c>
      <c r="AX149" s="137">
        <f t="shared" si="214"/>
        <v>105.14</v>
      </c>
      <c r="AY149" s="137">
        <f t="shared" si="215"/>
        <v>0</v>
      </c>
      <c r="AZ149" s="137">
        <f t="shared" si="216"/>
        <v>63.08</v>
      </c>
      <c r="BA149" s="137">
        <f t="shared" si="217"/>
        <v>-3.8</v>
      </c>
      <c r="BB149" s="137">
        <f t="shared" si="218"/>
        <v>-1.41</v>
      </c>
      <c r="BC149" s="84">
        <f t="shared" si="219"/>
        <v>163.01</v>
      </c>
      <c r="BD149" s="84">
        <f t="shared" si="220"/>
        <v>-29.35</v>
      </c>
      <c r="BE149" s="84">
        <f t="shared" si="221"/>
        <v>-39.5</v>
      </c>
      <c r="BF149" s="116">
        <f t="shared" si="222"/>
        <v>-68.849999999999994</v>
      </c>
      <c r="BG149" s="496">
        <f t="shared" si="223"/>
        <v>2793.14</v>
      </c>
      <c r="BH149" s="496">
        <f t="shared" si="224"/>
        <v>1953.25</v>
      </c>
      <c r="BI149" s="496">
        <f t="shared" si="225"/>
        <v>4746.3900000000003</v>
      </c>
    </row>
    <row r="150" spans="1:61" s="480" customFormat="1" ht="16.149999999999999" customHeight="1">
      <c r="A150" s="495" t="s">
        <v>195</v>
      </c>
      <c r="B150" s="494" t="s">
        <v>320</v>
      </c>
      <c r="C150" s="493" t="s">
        <v>62</v>
      </c>
      <c r="D150" s="385" t="s">
        <v>12</v>
      </c>
      <c r="E150" s="314">
        <v>6211</v>
      </c>
      <c r="F150" s="500">
        <v>10</v>
      </c>
      <c r="G150" s="491">
        <v>1999.91</v>
      </c>
      <c r="H150" s="485">
        <v>0</v>
      </c>
      <c r="I150" s="490">
        <f t="shared" si="193"/>
        <v>1999.91</v>
      </c>
      <c r="J150" s="489">
        <f t="shared" si="185"/>
        <v>3.7382800000000001E-3</v>
      </c>
      <c r="K150" s="484">
        <f t="shared" si="186"/>
        <v>-224.24</v>
      </c>
      <c r="L150" s="484">
        <f t="shared" si="184"/>
        <v>0</v>
      </c>
      <c r="M150" s="484">
        <f t="shared" si="187"/>
        <v>47.09</v>
      </c>
      <c r="N150" s="485">
        <f t="shared" si="194"/>
        <v>47.09</v>
      </c>
      <c r="O150" s="485">
        <f t="shared" si="192"/>
        <v>0</v>
      </c>
      <c r="P150" s="485">
        <f t="shared" si="192"/>
        <v>0</v>
      </c>
      <c r="Q150" s="485">
        <f t="shared" si="195"/>
        <v>0</v>
      </c>
      <c r="R150" s="484">
        <f t="shared" si="196"/>
        <v>0</v>
      </c>
      <c r="S150" s="485">
        <f t="shared" si="197"/>
        <v>2047</v>
      </c>
      <c r="T150" s="488">
        <f t="shared" si="188"/>
        <v>2445.06</v>
      </c>
      <c r="U150" s="487">
        <v>1596.91</v>
      </c>
      <c r="V150" s="486">
        <f t="shared" si="198"/>
        <v>3.7382800000000001E-3</v>
      </c>
      <c r="W150" s="484">
        <f t="shared" si="189"/>
        <v>105.14</v>
      </c>
      <c r="X150" s="484">
        <v>0</v>
      </c>
      <c r="Y150" s="484">
        <f t="shared" si="226"/>
        <v>63.08</v>
      </c>
      <c r="Z150" s="484">
        <f t="shared" si="226"/>
        <v>-3.8</v>
      </c>
      <c r="AA150" s="484">
        <f t="shared" si="226"/>
        <v>-1.41</v>
      </c>
      <c r="AB150" s="485">
        <f t="shared" si="199"/>
        <v>163.01</v>
      </c>
      <c r="AC150" s="485">
        <f t="shared" si="190"/>
        <v>-29.35</v>
      </c>
      <c r="AD150" s="498">
        <f>(F150/F$184)*AD$184</f>
        <v>-41.12</v>
      </c>
      <c r="AE150" s="498">
        <v>0</v>
      </c>
      <c r="AF150" s="485">
        <f t="shared" si="200"/>
        <v>-41.12</v>
      </c>
      <c r="AG150" s="484">
        <f t="shared" si="201"/>
        <v>-70.47</v>
      </c>
      <c r="AH150" s="381">
        <f t="shared" si="202"/>
        <v>1689.45</v>
      </c>
      <c r="AI150" s="483">
        <f t="shared" si="203"/>
        <v>3736.45</v>
      </c>
      <c r="AJ150" s="483">
        <f t="shared" si="228"/>
        <v>4432.83</v>
      </c>
      <c r="AK150" s="83"/>
      <c r="AL150" s="114">
        <f t="shared" si="204"/>
        <v>1999.91</v>
      </c>
      <c r="AM150" s="497">
        <f t="shared" si="191"/>
        <v>2970.29</v>
      </c>
      <c r="AN150" s="192">
        <f t="shared" si="205"/>
        <v>0</v>
      </c>
      <c r="AO150" s="114">
        <f t="shared" si="206"/>
        <v>-224.24</v>
      </c>
      <c r="AP150" s="137">
        <f t="shared" si="207"/>
        <v>0</v>
      </c>
      <c r="AQ150" s="137">
        <f t="shared" si="208"/>
        <v>47.09</v>
      </c>
      <c r="AR150" s="84">
        <f t="shared" si="209"/>
        <v>47.09</v>
      </c>
      <c r="AS150" s="84">
        <f t="shared" si="210"/>
        <v>0</v>
      </c>
      <c r="AT150" s="84">
        <f t="shared" si="211"/>
        <v>0</v>
      </c>
      <c r="AU150" s="84">
        <f t="shared" si="212"/>
        <v>0</v>
      </c>
      <c r="AV150" s="84">
        <f t="shared" si="213"/>
        <v>0</v>
      </c>
      <c r="AW150" s="487">
        <v>1596.91</v>
      </c>
      <c r="AX150" s="137">
        <f t="shared" si="214"/>
        <v>105.14</v>
      </c>
      <c r="AY150" s="137">
        <f t="shared" si="215"/>
        <v>0</v>
      </c>
      <c r="AZ150" s="137">
        <f t="shared" si="216"/>
        <v>63.08</v>
      </c>
      <c r="BA150" s="137">
        <f t="shared" si="217"/>
        <v>-3.8</v>
      </c>
      <c r="BB150" s="137">
        <f t="shared" si="218"/>
        <v>-1.41</v>
      </c>
      <c r="BC150" s="84">
        <f t="shared" si="219"/>
        <v>163.01</v>
      </c>
      <c r="BD150" s="84">
        <f t="shared" si="220"/>
        <v>-29.35</v>
      </c>
      <c r="BE150" s="84">
        <f t="shared" si="221"/>
        <v>-41.12</v>
      </c>
      <c r="BF150" s="116">
        <f t="shared" si="222"/>
        <v>-70.47</v>
      </c>
      <c r="BG150" s="496">
        <f t="shared" si="223"/>
        <v>2793.14</v>
      </c>
      <c r="BH150" s="496">
        <f t="shared" si="224"/>
        <v>1689.45</v>
      </c>
      <c r="BI150" s="496">
        <f t="shared" si="225"/>
        <v>4482.59</v>
      </c>
    </row>
    <row r="151" spans="1:61" s="480" customFormat="1" ht="16.149999999999999" customHeight="1">
      <c r="A151" s="495" t="s">
        <v>195</v>
      </c>
      <c r="B151" s="494" t="s">
        <v>322</v>
      </c>
      <c r="C151" s="493" t="s">
        <v>62</v>
      </c>
      <c r="D151" s="385" t="s">
        <v>12</v>
      </c>
      <c r="E151" s="314">
        <v>8037</v>
      </c>
      <c r="F151" s="500">
        <v>20</v>
      </c>
      <c r="G151" s="491">
        <v>3999.94</v>
      </c>
      <c r="H151" s="485">
        <v>0</v>
      </c>
      <c r="I151" s="490">
        <f t="shared" si="193"/>
        <v>3999.94</v>
      </c>
      <c r="J151" s="489">
        <f t="shared" si="185"/>
        <v>7.4767899999999997E-3</v>
      </c>
      <c r="K151" s="484">
        <f t="shared" si="186"/>
        <v>-448.5</v>
      </c>
      <c r="L151" s="484">
        <f t="shared" si="184"/>
        <v>0</v>
      </c>
      <c r="M151" s="484">
        <f t="shared" si="187"/>
        <v>94.18</v>
      </c>
      <c r="N151" s="485">
        <f t="shared" si="194"/>
        <v>94.18</v>
      </c>
      <c r="O151" s="485">
        <f t="shared" si="192"/>
        <v>0</v>
      </c>
      <c r="P151" s="485">
        <f t="shared" si="192"/>
        <v>0</v>
      </c>
      <c r="Q151" s="485">
        <f t="shared" si="195"/>
        <v>0</v>
      </c>
      <c r="R151" s="484">
        <f t="shared" si="196"/>
        <v>0</v>
      </c>
      <c r="S151" s="485">
        <f t="shared" si="197"/>
        <v>4094.12</v>
      </c>
      <c r="T151" s="488">
        <f t="shared" si="188"/>
        <v>4890.26</v>
      </c>
      <c r="U151" s="487">
        <v>3193.86</v>
      </c>
      <c r="V151" s="486">
        <f t="shared" si="198"/>
        <v>7.4767899999999997E-3</v>
      </c>
      <c r="W151" s="484">
        <f t="shared" si="189"/>
        <v>210.28</v>
      </c>
      <c r="X151" s="484">
        <v>0</v>
      </c>
      <c r="Y151" s="484">
        <f t="shared" si="226"/>
        <v>126.17</v>
      </c>
      <c r="Z151" s="484">
        <f t="shared" si="226"/>
        <v>-7.6</v>
      </c>
      <c r="AA151" s="484">
        <f t="shared" si="226"/>
        <v>-2.82</v>
      </c>
      <c r="AB151" s="485">
        <f t="shared" si="199"/>
        <v>326.02999999999997</v>
      </c>
      <c r="AC151" s="485">
        <f t="shared" si="190"/>
        <v>-58.7</v>
      </c>
      <c r="AD151" s="498">
        <f>((F151/F$184)*AD$184)+0.02</f>
        <v>-82.22</v>
      </c>
      <c r="AE151" s="498">
        <v>0</v>
      </c>
      <c r="AF151" s="485">
        <f t="shared" si="200"/>
        <v>-82.22</v>
      </c>
      <c r="AG151" s="484">
        <f t="shared" si="201"/>
        <v>-140.91999999999999</v>
      </c>
      <c r="AH151" s="381">
        <f t="shared" si="202"/>
        <v>3378.97</v>
      </c>
      <c r="AI151" s="483">
        <f t="shared" si="203"/>
        <v>7473.09</v>
      </c>
      <c r="AJ151" s="483">
        <f t="shared" si="228"/>
        <v>8865.8799999999992</v>
      </c>
      <c r="AK151" s="83"/>
      <c r="AL151" s="114">
        <f t="shared" si="204"/>
        <v>3999.94</v>
      </c>
      <c r="AM151" s="497">
        <f t="shared" si="191"/>
        <v>5940.75</v>
      </c>
      <c r="AN151" s="192">
        <f t="shared" si="205"/>
        <v>0</v>
      </c>
      <c r="AO151" s="114">
        <f t="shared" si="206"/>
        <v>-448.5</v>
      </c>
      <c r="AP151" s="137">
        <f t="shared" si="207"/>
        <v>0</v>
      </c>
      <c r="AQ151" s="137">
        <f t="shared" si="208"/>
        <v>94.18</v>
      </c>
      <c r="AR151" s="84">
        <f t="shared" si="209"/>
        <v>94.18</v>
      </c>
      <c r="AS151" s="84">
        <f t="shared" si="210"/>
        <v>0</v>
      </c>
      <c r="AT151" s="84">
        <f t="shared" si="211"/>
        <v>0</v>
      </c>
      <c r="AU151" s="84">
        <f t="shared" si="212"/>
        <v>0</v>
      </c>
      <c r="AV151" s="84">
        <f t="shared" si="213"/>
        <v>0</v>
      </c>
      <c r="AW151" s="487">
        <v>3193.86</v>
      </c>
      <c r="AX151" s="137">
        <f t="shared" si="214"/>
        <v>210.28</v>
      </c>
      <c r="AY151" s="137">
        <f t="shared" si="215"/>
        <v>0</v>
      </c>
      <c r="AZ151" s="137">
        <f t="shared" si="216"/>
        <v>126.17</v>
      </c>
      <c r="BA151" s="137">
        <f t="shared" si="217"/>
        <v>-7.6</v>
      </c>
      <c r="BB151" s="137">
        <f t="shared" si="218"/>
        <v>-2.82</v>
      </c>
      <c r="BC151" s="84">
        <f t="shared" si="219"/>
        <v>326.02999999999997</v>
      </c>
      <c r="BD151" s="84">
        <f t="shared" si="220"/>
        <v>-58.7</v>
      </c>
      <c r="BE151" s="84">
        <f t="shared" si="221"/>
        <v>-82.22</v>
      </c>
      <c r="BF151" s="116">
        <f t="shared" si="222"/>
        <v>-140.91999999999999</v>
      </c>
      <c r="BG151" s="496">
        <f t="shared" si="223"/>
        <v>5586.43</v>
      </c>
      <c r="BH151" s="496">
        <f t="shared" si="224"/>
        <v>3378.97</v>
      </c>
      <c r="BI151" s="496">
        <f t="shared" si="225"/>
        <v>8965.4</v>
      </c>
    </row>
    <row r="152" spans="1:61" s="480" customFormat="1" ht="16.149999999999999" customHeight="1">
      <c r="A152" s="495" t="s">
        <v>195</v>
      </c>
      <c r="B152" s="494" t="s">
        <v>361</v>
      </c>
      <c r="C152" s="615" t="s">
        <v>63</v>
      </c>
      <c r="D152" s="385" t="s">
        <v>12</v>
      </c>
      <c r="E152" s="314">
        <v>10959</v>
      </c>
      <c r="F152" s="499"/>
      <c r="G152" s="491">
        <v>5999.83</v>
      </c>
      <c r="H152" s="485">
        <v>0</v>
      </c>
      <c r="I152" s="490">
        <f t="shared" si="193"/>
        <v>5999.83</v>
      </c>
      <c r="J152" s="489">
        <f t="shared" si="185"/>
        <v>1.1215030000000001E-2</v>
      </c>
      <c r="K152" s="484">
        <f t="shared" si="186"/>
        <v>-672.74</v>
      </c>
      <c r="L152" s="484">
        <f t="shared" si="184"/>
        <v>0</v>
      </c>
      <c r="M152" s="484">
        <f t="shared" si="187"/>
        <v>141.27000000000001</v>
      </c>
      <c r="N152" s="485">
        <f t="shared" si="194"/>
        <v>141.27000000000001</v>
      </c>
      <c r="O152" s="485">
        <f t="shared" ref="O152:P171" si="229">$J152*O$184</f>
        <v>0</v>
      </c>
      <c r="P152" s="485">
        <f t="shared" si="229"/>
        <v>0</v>
      </c>
      <c r="Q152" s="485">
        <f t="shared" si="195"/>
        <v>0</v>
      </c>
      <c r="R152" s="484">
        <f t="shared" si="196"/>
        <v>0</v>
      </c>
      <c r="S152" s="485">
        <f t="shared" si="197"/>
        <v>6141.1</v>
      </c>
      <c r="T152" s="488">
        <f t="shared" si="188"/>
        <v>7335.29</v>
      </c>
      <c r="U152" s="487">
        <v>6225.29</v>
      </c>
      <c r="V152" s="486">
        <f t="shared" si="198"/>
        <v>1.1215030000000001E-2</v>
      </c>
      <c r="W152" s="484">
        <f t="shared" si="189"/>
        <v>315.41000000000003</v>
      </c>
      <c r="X152" s="484">
        <v>0</v>
      </c>
      <c r="Y152" s="484">
        <f t="shared" si="226"/>
        <v>189.25</v>
      </c>
      <c r="Z152" s="484">
        <f t="shared" si="226"/>
        <v>-11.4</v>
      </c>
      <c r="AA152" s="484">
        <f t="shared" si="226"/>
        <v>-4.22</v>
      </c>
      <c r="AB152" s="485">
        <f t="shared" si="199"/>
        <v>489.04</v>
      </c>
      <c r="AC152" s="485">
        <f t="shared" si="190"/>
        <v>-88.04</v>
      </c>
      <c r="AD152" s="498">
        <v>0</v>
      </c>
      <c r="AE152" s="498">
        <v>0</v>
      </c>
      <c r="AF152" s="485">
        <f t="shared" si="200"/>
        <v>0</v>
      </c>
      <c r="AG152" s="484">
        <f t="shared" si="201"/>
        <v>-88.04</v>
      </c>
      <c r="AH152" s="381">
        <f t="shared" si="202"/>
        <v>6626.29</v>
      </c>
      <c r="AI152" s="483">
        <f t="shared" si="203"/>
        <v>12767.39</v>
      </c>
      <c r="AJ152" s="483">
        <f t="shared" si="228"/>
        <v>15146.91</v>
      </c>
      <c r="AK152" s="83"/>
      <c r="AL152" s="114">
        <f t="shared" si="204"/>
        <v>5999.83</v>
      </c>
      <c r="AM152" s="497">
        <f t="shared" si="191"/>
        <v>8911.01</v>
      </c>
      <c r="AN152" s="192">
        <f t="shared" si="205"/>
        <v>0</v>
      </c>
      <c r="AO152" s="114">
        <f t="shared" si="206"/>
        <v>-672.74</v>
      </c>
      <c r="AP152" s="137">
        <f t="shared" si="207"/>
        <v>0</v>
      </c>
      <c r="AQ152" s="137">
        <f t="shared" si="208"/>
        <v>141.27000000000001</v>
      </c>
      <c r="AR152" s="84">
        <f t="shared" si="209"/>
        <v>141.27000000000001</v>
      </c>
      <c r="AS152" s="84">
        <f t="shared" si="210"/>
        <v>0</v>
      </c>
      <c r="AT152" s="84">
        <f t="shared" si="211"/>
        <v>0</v>
      </c>
      <c r="AU152" s="84">
        <f t="shared" si="212"/>
        <v>0</v>
      </c>
      <c r="AV152" s="84">
        <f t="shared" si="213"/>
        <v>0</v>
      </c>
      <c r="AW152" s="487">
        <v>6225.29</v>
      </c>
      <c r="AX152" s="137">
        <f t="shared" si="214"/>
        <v>315.41000000000003</v>
      </c>
      <c r="AY152" s="137">
        <f t="shared" si="215"/>
        <v>0</v>
      </c>
      <c r="AZ152" s="137">
        <f t="shared" si="216"/>
        <v>189.25</v>
      </c>
      <c r="BA152" s="137">
        <f t="shared" si="217"/>
        <v>-11.4</v>
      </c>
      <c r="BB152" s="137">
        <f t="shared" si="218"/>
        <v>-4.22</v>
      </c>
      <c r="BC152" s="84">
        <f t="shared" si="219"/>
        <v>489.04</v>
      </c>
      <c r="BD152" s="84">
        <f t="shared" si="220"/>
        <v>-88.04</v>
      </c>
      <c r="BE152" s="84">
        <f t="shared" si="221"/>
        <v>0</v>
      </c>
      <c r="BF152" s="116">
        <f t="shared" si="222"/>
        <v>-88.04</v>
      </c>
      <c r="BG152" s="496">
        <f t="shared" si="223"/>
        <v>8379.5400000000009</v>
      </c>
      <c r="BH152" s="496">
        <f t="shared" si="224"/>
        <v>6626.29</v>
      </c>
      <c r="BI152" s="496">
        <f t="shared" si="225"/>
        <v>15005.83</v>
      </c>
    </row>
    <row r="153" spans="1:61" s="480" customFormat="1" ht="16.149999999999999" customHeight="1">
      <c r="A153" s="495" t="s">
        <v>195</v>
      </c>
      <c r="B153" s="494" t="s">
        <v>323</v>
      </c>
      <c r="C153" s="493" t="s">
        <v>62</v>
      </c>
      <c r="D153" s="385" t="s">
        <v>12</v>
      </c>
      <c r="E153" s="314">
        <v>10228</v>
      </c>
      <c r="F153" s="500">
        <v>10</v>
      </c>
      <c r="G153" s="491">
        <v>3999.94</v>
      </c>
      <c r="H153" s="485">
        <v>0</v>
      </c>
      <c r="I153" s="490">
        <f t="shared" si="193"/>
        <v>3999.94</v>
      </c>
      <c r="J153" s="489">
        <f t="shared" si="185"/>
        <v>7.4767899999999997E-3</v>
      </c>
      <c r="K153" s="484">
        <f t="shared" si="186"/>
        <v>-448.5</v>
      </c>
      <c r="L153" s="484">
        <f t="shared" si="184"/>
        <v>0</v>
      </c>
      <c r="M153" s="484">
        <f t="shared" si="187"/>
        <v>94.18</v>
      </c>
      <c r="N153" s="485">
        <f t="shared" si="194"/>
        <v>94.18</v>
      </c>
      <c r="O153" s="485">
        <f t="shared" si="229"/>
        <v>0</v>
      </c>
      <c r="P153" s="485">
        <f t="shared" si="229"/>
        <v>0</v>
      </c>
      <c r="Q153" s="485">
        <f t="shared" si="195"/>
        <v>0</v>
      </c>
      <c r="R153" s="484">
        <f t="shared" si="196"/>
        <v>0</v>
      </c>
      <c r="S153" s="485">
        <f t="shared" si="197"/>
        <v>4094.12</v>
      </c>
      <c r="T153" s="488">
        <f t="shared" si="188"/>
        <v>4890.26</v>
      </c>
      <c r="U153" s="487">
        <v>3672.04</v>
      </c>
      <c r="V153" s="486">
        <f t="shared" si="198"/>
        <v>7.4767899999999997E-3</v>
      </c>
      <c r="W153" s="484">
        <f t="shared" si="189"/>
        <v>210.28</v>
      </c>
      <c r="X153" s="484">
        <v>0</v>
      </c>
      <c r="Y153" s="484">
        <f t="shared" si="226"/>
        <v>126.17</v>
      </c>
      <c r="Z153" s="484">
        <f t="shared" si="226"/>
        <v>-7.6</v>
      </c>
      <c r="AA153" s="484">
        <f t="shared" si="226"/>
        <v>-2.82</v>
      </c>
      <c r="AB153" s="485">
        <f t="shared" si="199"/>
        <v>326.02999999999997</v>
      </c>
      <c r="AC153" s="485">
        <f t="shared" si="190"/>
        <v>-58.7</v>
      </c>
      <c r="AD153" s="498">
        <f>(F153/F$184)*AD$184</f>
        <v>-41.12</v>
      </c>
      <c r="AE153" s="498">
        <v>0</v>
      </c>
      <c r="AF153" s="485">
        <f t="shared" si="200"/>
        <v>-41.12</v>
      </c>
      <c r="AG153" s="484">
        <f t="shared" si="201"/>
        <v>-99.82</v>
      </c>
      <c r="AH153" s="381">
        <f t="shared" si="202"/>
        <v>3898.25</v>
      </c>
      <c r="AI153" s="483">
        <f t="shared" si="203"/>
        <v>7992.37</v>
      </c>
      <c r="AJ153" s="483">
        <f t="shared" si="228"/>
        <v>9481.9500000000007</v>
      </c>
      <c r="AK153" s="83"/>
      <c r="AL153" s="114">
        <f t="shared" si="204"/>
        <v>3999.94</v>
      </c>
      <c r="AM153" s="497">
        <f t="shared" si="191"/>
        <v>5940.75</v>
      </c>
      <c r="AN153" s="192">
        <f t="shared" si="205"/>
        <v>0</v>
      </c>
      <c r="AO153" s="114">
        <f t="shared" si="206"/>
        <v>-448.5</v>
      </c>
      <c r="AP153" s="137">
        <f t="shared" si="207"/>
        <v>0</v>
      </c>
      <c r="AQ153" s="137">
        <f t="shared" si="208"/>
        <v>94.18</v>
      </c>
      <c r="AR153" s="84">
        <f t="shared" si="209"/>
        <v>94.18</v>
      </c>
      <c r="AS153" s="84">
        <f t="shared" si="210"/>
        <v>0</v>
      </c>
      <c r="AT153" s="84">
        <f t="shared" si="211"/>
        <v>0</v>
      </c>
      <c r="AU153" s="84">
        <f t="shared" si="212"/>
        <v>0</v>
      </c>
      <c r="AV153" s="84">
        <f t="shared" si="213"/>
        <v>0</v>
      </c>
      <c r="AW153" s="487">
        <v>3672.04</v>
      </c>
      <c r="AX153" s="137">
        <f t="shared" si="214"/>
        <v>210.28</v>
      </c>
      <c r="AY153" s="137">
        <f t="shared" si="215"/>
        <v>0</v>
      </c>
      <c r="AZ153" s="137">
        <f t="shared" si="216"/>
        <v>126.17</v>
      </c>
      <c r="BA153" s="137">
        <f t="shared" si="217"/>
        <v>-7.6</v>
      </c>
      <c r="BB153" s="137">
        <f t="shared" si="218"/>
        <v>-2.82</v>
      </c>
      <c r="BC153" s="84">
        <f t="shared" si="219"/>
        <v>326.02999999999997</v>
      </c>
      <c r="BD153" s="84">
        <f t="shared" si="220"/>
        <v>-58.7</v>
      </c>
      <c r="BE153" s="84">
        <f t="shared" si="221"/>
        <v>-41.12</v>
      </c>
      <c r="BF153" s="116">
        <f t="shared" si="222"/>
        <v>-99.82</v>
      </c>
      <c r="BG153" s="496">
        <f t="shared" si="223"/>
        <v>5586.43</v>
      </c>
      <c r="BH153" s="496">
        <f t="shared" si="224"/>
        <v>3898.25</v>
      </c>
      <c r="BI153" s="496">
        <f t="shared" si="225"/>
        <v>9484.68</v>
      </c>
    </row>
    <row r="154" spans="1:61" s="480" customFormat="1" ht="16.149999999999999" customHeight="1">
      <c r="A154" s="495" t="s">
        <v>195</v>
      </c>
      <c r="B154" s="494" t="s">
        <v>373</v>
      </c>
      <c r="C154" s="615" t="s">
        <v>63</v>
      </c>
      <c r="D154" s="385" t="s">
        <v>12</v>
      </c>
      <c r="E154" s="314">
        <v>33970</v>
      </c>
      <c r="F154" s="499"/>
      <c r="G154" s="491">
        <v>1110.33</v>
      </c>
      <c r="H154" s="485">
        <v>0</v>
      </c>
      <c r="I154" s="490">
        <f t="shared" si="193"/>
        <v>1110.33</v>
      </c>
      <c r="J154" s="489">
        <f t="shared" si="185"/>
        <v>2.0754599999999999E-3</v>
      </c>
      <c r="K154" s="484">
        <f t="shared" si="186"/>
        <v>-124.5</v>
      </c>
      <c r="L154" s="484">
        <f t="shared" si="184"/>
        <v>0</v>
      </c>
      <c r="M154" s="484">
        <f t="shared" si="187"/>
        <v>26.14</v>
      </c>
      <c r="N154" s="485">
        <f t="shared" si="194"/>
        <v>26.14</v>
      </c>
      <c r="O154" s="485">
        <f t="shared" si="229"/>
        <v>0</v>
      </c>
      <c r="P154" s="485">
        <f t="shared" si="229"/>
        <v>0</v>
      </c>
      <c r="Q154" s="485">
        <f t="shared" si="195"/>
        <v>0</v>
      </c>
      <c r="R154" s="484">
        <f t="shared" si="196"/>
        <v>0</v>
      </c>
      <c r="S154" s="485">
        <f t="shared" si="197"/>
        <v>1136.47</v>
      </c>
      <c r="T154" s="488">
        <f t="shared" si="188"/>
        <v>1357.47</v>
      </c>
      <c r="U154" s="487">
        <v>1152.07</v>
      </c>
      <c r="V154" s="486">
        <f t="shared" si="198"/>
        <v>2.0754599999999999E-3</v>
      </c>
      <c r="W154" s="484">
        <f t="shared" si="189"/>
        <v>58.37</v>
      </c>
      <c r="X154" s="484">
        <v>0</v>
      </c>
      <c r="Y154" s="484">
        <f t="shared" si="226"/>
        <v>35.020000000000003</v>
      </c>
      <c r="Z154" s="484">
        <f t="shared" si="226"/>
        <v>-2.11</v>
      </c>
      <c r="AA154" s="484">
        <f t="shared" si="226"/>
        <v>-0.78</v>
      </c>
      <c r="AB154" s="485">
        <f t="shared" si="199"/>
        <v>90.5</v>
      </c>
      <c r="AC154" s="485">
        <f t="shared" si="190"/>
        <v>-16.29</v>
      </c>
      <c r="AD154" s="498">
        <v>0</v>
      </c>
      <c r="AE154" s="498">
        <v>0</v>
      </c>
      <c r="AF154" s="485">
        <f t="shared" si="200"/>
        <v>0</v>
      </c>
      <c r="AG154" s="484">
        <f t="shared" si="201"/>
        <v>-16.29</v>
      </c>
      <c r="AH154" s="381">
        <f t="shared" si="202"/>
        <v>1226.28</v>
      </c>
      <c r="AI154" s="483">
        <f t="shared" si="203"/>
        <v>2362.75</v>
      </c>
      <c r="AJ154" s="483">
        <f t="shared" si="228"/>
        <v>2803.11</v>
      </c>
      <c r="AK154" s="83"/>
      <c r="AL154" s="114">
        <f t="shared" si="204"/>
        <v>1110.33</v>
      </c>
      <c r="AM154" s="497">
        <f t="shared" si="191"/>
        <v>1649.07</v>
      </c>
      <c r="AN154" s="192">
        <f t="shared" si="205"/>
        <v>0</v>
      </c>
      <c r="AO154" s="114">
        <f t="shared" si="206"/>
        <v>-124.5</v>
      </c>
      <c r="AP154" s="137">
        <f t="shared" si="207"/>
        <v>0</v>
      </c>
      <c r="AQ154" s="137">
        <f t="shared" si="208"/>
        <v>26.14</v>
      </c>
      <c r="AR154" s="84">
        <f t="shared" si="209"/>
        <v>26.14</v>
      </c>
      <c r="AS154" s="84">
        <f t="shared" si="210"/>
        <v>0</v>
      </c>
      <c r="AT154" s="84">
        <f t="shared" si="211"/>
        <v>0</v>
      </c>
      <c r="AU154" s="84">
        <f t="shared" si="212"/>
        <v>0</v>
      </c>
      <c r="AV154" s="84">
        <f t="shared" si="213"/>
        <v>0</v>
      </c>
      <c r="AW154" s="487">
        <v>1152.07</v>
      </c>
      <c r="AX154" s="137">
        <f t="shared" si="214"/>
        <v>58.37</v>
      </c>
      <c r="AY154" s="137">
        <f t="shared" si="215"/>
        <v>0</v>
      </c>
      <c r="AZ154" s="137">
        <f t="shared" si="216"/>
        <v>35.020000000000003</v>
      </c>
      <c r="BA154" s="137">
        <f t="shared" si="217"/>
        <v>-2.11</v>
      </c>
      <c r="BB154" s="137">
        <f t="shared" si="218"/>
        <v>-0.78</v>
      </c>
      <c r="BC154" s="84">
        <f t="shared" si="219"/>
        <v>90.5</v>
      </c>
      <c r="BD154" s="84">
        <f t="shared" si="220"/>
        <v>-16.29</v>
      </c>
      <c r="BE154" s="84">
        <f t="shared" si="221"/>
        <v>0</v>
      </c>
      <c r="BF154" s="116">
        <f t="shared" si="222"/>
        <v>-16.29</v>
      </c>
      <c r="BG154" s="496">
        <f t="shared" si="223"/>
        <v>1550.71</v>
      </c>
      <c r="BH154" s="496">
        <f t="shared" si="224"/>
        <v>1226.28</v>
      </c>
      <c r="BI154" s="496">
        <f t="shared" si="225"/>
        <v>2776.99</v>
      </c>
    </row>
    <row r="155" spans="1:61" s="480" customFormat="1" ht="16.149999999999999" customHeight="1">
      <c r="A155" s="495" t="s">
        <v>195</v>
      </c>
      <c r="B155" s="494" t="s">
        <v>342</v>
      </c>
      <c r="C155" s="493" t="s">
        <v>62</v>
      </c>
      <c r="D155" s="385" t="s">
        <v>12</v>
      </c>
      <c r="E155" s="314">
        <v>6576</v>
      </c>
      <c r="F155" s="500">
        <v>10</v>
      </c>
      <c r="G155" s="491">
        <v>4999.84</v>
      </c>
      <c r="H155" s="485">
        <v>0</v>
      </c>
      <c r="I155" s="490">
        <f t="shared" si="193"/>
        <v>4999.84</v>
      </c>
      <c r="J155" s="489">
        <f t="shared" si="185"/>
        <v>9.3458199999999995E-3</v>
      </c>
      <c r="K155" s="484">
        <f t="shared" si="186"/>
        <v>-560.61</v>
      </c>
      <c r="L155" s="484">
        <f t="shared" si="184"/>
        <v>0</v>
      </c>
      <c r="M155" s="484">
        <f t="shared" si="187"/>
        <v>117.72</v>
      </c>
      <c r="N155" s="485">
        <f t="shared" si="194"/>
        <v>117.72</v>
      </c>
      <c r="O155" s="485">
        <f t="shared" si="229"/>
        <v>0</v>
      </c>
      <c r="P155" s="485">
        <f t="shared" si="229"/>
        <v>0</v>
      </c>
      <c r="Q155" s="485">
        <f t="shared" si="195"/>
        <v>0</v>
      </c>
      <c r="R155" s="484">
        <f t="shared" si="196"/>
        <v>0</v>
      </c>
      <c r="S155" s="485">
        <f t="shared" si="197"/>
        <v>5117.5600000000004</v>
      </c>
      <c r="T155" s="488">
        <f t="shared" si="188"/>
        <v>6112.71</v>
      </c>
      <c r="U155" s="487">
        <v>4709.59</v>
      </c>
      <c r="V155" s="486">
        <f t="shared" si="198"/>
        <v>9.3458199999999995E-3</v>
      </c>
      <c r="W155" s="484">
        <f t="shared" si="189"/>
        <v>262.83999999999997</v>
      </c>
      <c r="X155" s="484">
        <v>0</v>
      </c>
      <c r="Y155" s="484">
        <f t="shared" si="226"/>
        <v>157.69999999999999</v>
      </c>
      <c r="Z155" s="484">
        <f t="shared" si="226"/>
        <v>-9.5</v>
      </c>
      <c r="AA155" s="484">
        <f t="shared" si="226"/>
        <v>-3.52</v>
      </c>
      <c r="AB155" s="485">
        <f t="shared" si="199"/>
        <v>407.52</v>
      </c>
      <c r="AC155" s="485">
        <f t="shared" si="190"/>
        <v>-73.37</v>
      </c>
      <c r="AD155" s="498">
        <f>(F155/F$184)*AD$184</f>
        <v>-41.12</v>
      </c>
      <c r="AE155" s="498">
        <v>0</v>
      </c>
      <c r="AF155" s="485">
        <f t="shared" si="200"/>
        <v>-41.12</v>
      </c>
      <c r="AG155" s="484">
        <f t="shared" si="201"/>
        <v>-114.49</v>
      </c>
      <c r="AH155" s="381">
        <f t="shared" si="202"/>
        <v>5002.62</v>
      </c>
      <c r="AI155" s="483">
        <f t="shared" si="203"/>
        <v>10120.18</v>
      </c>
      <c r="AJ155" s="483">
        <f t="shared" si="228"/>
        <v>12006.32</v>
      </c>
      <c r="AK155" s="83"/>
      <c r="AL155" s="114">
        <f t="shared" si="204"/>
        <v>4999.84</v>
      </c>
      <c r="AM155" s="497">
        <f t="shared" si="191"/>
        <v>7425.81</v>
      </c>
      <c r="AN155" s="192">
        <f t="shared" si="205"/>
        <v>0</v>
      </c>
      <c r="AO155" s="114">
        <f t="shared" si="206"/>
        <v>-560.61</v>
      </c>
      <c r="AP155" s="137">
        <f t="shared" si="207"/>
        <v>0</v>
      </c>
      <c r="AQ155" s="137">
        <f t="shared" si="208"/>
        <v>117.72</v>
      </c>
      <c r="AR155" s="84">
        <f t="shared" si="209"/>
        <v>117.72</v>
      </c>
      <c r="AS155" s="84">
        <f t="shared" si="210"/>
        <v>0</v>
      </c>
      <c r="AT155" s="84">
        <f t="shared" si="211"/>
        <v>0</v>
      </c>
      <c r="AU155" s="84">
        <f t="shared" si="212"/>
        <v>0</v>
      </c>
      <c r="AV155" s="84">
        <f t="shared" si="213"/>
        <v>0</v>
      </c>
      <c r="AW155" s="487">
        <v>4709.59</v>
      </c>
      <c r="AX155" s="137">
        <f t="shared" si="214"/>
        <v>262.83999999999997</v>
      </c>
      <c r="AY155" s="137">
        <f t="shared" si="215"/>
        <v>0</v>
      </c>
      <c r="AZ155" s="137">
        <f t="shared" si="216"/>
        <v>157.69999999999999</v>
      </c>
      <c r="BA155" s="137">
        <f t="shared" si="217"/>
        <v>-9.5</v>
      </c>
      <c r="BB155" s="137">
        <f t="shared" si="218"/>
        <v>-3.52</v>
      </c>
      <c r="BC155" s="84">
        <f t="shared" si="219"/>
        <v>407.52</v>
      </c>
      <c r="BD155" s="84">
        <f t="shared" si="220"/>
        <v>-73.37</v>
      </c>
      <c r="BE155" s="84">
        <f t="shared" si="221"/>
        <v>-41.12</v>
      </c>
      <c r="BF155" s="116">
        <f t="shared" si="222"/>
        <v>-114.49</v>
      </c>
      <c r="BG155" s="496">
        <f t="shared" si="223"/>
        <v>6982.92</v>
      </c>
      <c r="BH155" s="496">
        <f t="shared" si="224"/>
        <v>5002.62</v>
      </c>
      <c r="BI155" s="496">
        <f t="shared" si="225"/>
        <v>11985.54</v>
      </c>
    </row>
    <row r="156" spans="1:61" s="480" customFormat="1" ht="16.149999999999999" customHeight="1">
      <c r="A156" s="495" t="s">
        <v>195</v>
      </c>
      <c r="B156" s="494" t="s">
        <v>362</v>
      </c>
      <c r="C156" s="615" t="s">
        <v>63</v>
      </c>
      <c r="D156" s="385" t="s">
        <v>12</v>
      </c>
      <c r="E156" s="314">
        <v>13881</v>
      </c>
      <c r="F156" s="499"/>
      <c r="G156" s="491">
        <v>1999.91</v>
      </c>
      <c r="H156" s="485">
        <v>0</v>
      </c>
      <c r="I156" s="490">
        <f t="shared" si="193"/>
        <v>1999.91</v>
      </c>
      <c r="J156" s="489">
        <f t="shared" si="185"/>
        <v>3.7382800000000001E-3</v>
      </c>
      <c r="K156" s="484">
        <f t="shared" si="186"/>
        <v>-224.24</v>
      </c>
      <c r="L156" s="484">
        <f t="shared" si="184"/>
        <v>0</v>
      </c>
      <c r="M156" s="484">
        <f t="shared" si="187"/>
        <v>47.09</v>
      </c>
      <c r="N156" s="485">
        <f t="shared" si="194"/>
        <v>47.09</v>
      </c>
      <c r="O156" s="485">
        <f t="shared" si="229"/>
        <v>0</v>
      </c>
      <c r="P156" s="485">
        <f t="shared" si="229"/>
        <v>0</v>
      </c>
      <c r="Q156" s="485">
        <f t="shared" si="195"/>
        <v>0</v>
      </c>
      <c r="R156" s="484">
        <f t="shared" si="196"/>
        <v>0</v>
      </c>
      <c r="S156" s="485">
        <f t="shared" si="197"/>
        <v>2047</v>
      </c>
      <c r="T156" s="488">
        <f t="shared" si="188"/>
        <v>2445.06</v>
      </c>
      <c r="U156" s="487">
        <v>2075.08</v>
      </c>
      <c r="V156" s="486">
        <f t="shared" si="198"/>
        <v>3.7382800000000001E-3</v>
      </c>
      <c r="W156" s="484">
        <f t="shared" si="189"/>
        <v>105.14</v>
      </c>
      <c r="X156" s="484">
        <v>0</v>
      </c>
      <c r="Y156" s="484">
        <f t="shared" si="226"/>
        <v>63.08</v>
      </c>
      <c r="Z156" s="484">
        <f t="shared" si="226"/>
        <v>-3.8</v>
      </c>
      <c r="AA156" s="484">
        <f t="shared" si="226"/>
        <v>-1.41</v>
      </c>
      <c r="AB156" s="485">
        <f t="shared" si="199"/>
        <v>163.01</v>
      </c>
      <c r="AC156" s="485">
        <f t="shared" si="190"/>
        <v>-29.35</v>
      </c>
      <c r="AD156" s="498">
        <v>0</v>
      </c>
      <c r="AE156" s="498">
        <v>0</v>
      </c>
      <c r="AF156" s="485">
        <f t="shared" si="200"/>
        <v>0</v>
      </c>
      <c r="AG156" s="484">
        <f t="shared" si="201"/>
        <v>-29.35</v>
      </c>
      <c r="AH156" s="381">
        <f t="shared" si="202"/>
        <v>2208.7399999999998</v>
      </c>
      <c r="AI156" s="483">
        <f t="shared" si="203"/>
        <v>4255.74</v>
      </c>
      <c r="AJ156" s="483">
        <f t="shared" si="228"/>
        <v>5048.8999999999996</v>
      </c>
      <c r="AK156" s="83"/>
      <c r="AL156" s="114">
        <f t="shared" si="204"/>
        <v>1999.91</v>
      </c>
      <c r="AM156" s="497">
        <f t="shared" si="191"/>
        <v>2970.29</v>
      </c>
      <c r="AN156" s="192">
        <f t="shared" si="205"/>
        <v>0</v>
      </c>
      <c r="AO156" s="114">
        <f t="shared" si="206"/>
        <v>-224.24</v>
      </c>
      <c r="AP156" s="137">
        <f t="shared" si="207"/>
        <v>0</v>
      </c>
      <c r="AQ156" s="137">
        <f t="shared" si="208"/>
        <v>47.09</v>
      </c>
      <c r="AR156" s="84">
        <f t="shared" si="209"/>
        <v>47.09</v>
      </c>
      <c r="AS156" s="84">
        <f t="shared" si="210"/>
        <v>0</v>
      </c>
      <c r="AT156" s="84">
        <f t="shared" si="211"/>
        <v>0</v>
      </c>
      <c r="AU156" s="84">
        <f t="shared" si="212"/>
        <v>0</v>
      </c>
      <c r="AV156" s="84">
        <f t="shared" si="213"/>
        <v>0</v>
      </c>
      <c r="AW156" s="487">
        <v>2075.08</v>
      </c>
      <c r="AX156" s="137">
        <f t="shared" si="214"/>
        <v>105.14</v>
      </c>
      <c r="AY156" s="137">
        <f t="shared" si="215"/>
        <v>0</v>
      </c>
      <c r="AZ156" s="137">
        <f t="shared" si="216"/>
        <v>63.08</v>
      </c>
      <c r="BA156" s="137">
        <f t="shared" si="217"/>
        <v>-3.8</v>
      </c>
      <c r="BB156" s="137">
        <f t="shared" si="218"/>
        <v>-1.41</v>
      </c>
      <c r="BC156" s="84">
        <f t="shared" si="219"/>
        <v>163.01</v>
      </c>
      <c r="BD156" s="84">
        <f t="shared" si="220"/>
        <v>-29.35</v>
      </c>
      <c r="BE156" s="84">
        <f t="shared" si="221"/>
        <v>0</v>
      </c>
      <c r="BF156" s="116">
        <f t="shared" si="222"/>
        <v>-29.35</v>
      </c>
      <c r="BG156" s="496">
        <f t="shared" si="223"/>
        <v>2793.14</v>
      </c>
      <c r="BH156" s="496">
        <f t="shared" si="224"/>
        <v>2208.7399999999998</v>
      </c>
      <c r="BI156" s="496">
        <f t="shared" si="225"/>
        <v>5001.88</v>
      </c>
    </row>
    <row r="157" spans="1:61" s="480" customFormat="1" ht="16.149999999999999" customHeight="1">
      <c r="A157" s="495" t="s">
        <v>195</v>
      </c>
      <c r="B157" s="494" t="s">
        <v>371</v>
      </c>
      <c r="C157" s="615" t="s">
        <v>63</v>
      </c>
      <c r="D157" s="385" t="s">
        <v>12</v>
      </c>
      <c r="E157" s="314">
        <v>29221</v>
      </c>
      <c r="F157" s="499"/>
      <c r="G157" s="491">
        <v>517.66</v>
      </c>
      <c r="H157" s="485">
        <v>0</v>
      </c>
      <c r="I157" s="490">
        <f t="shared" si="193"/>
        <v>517.66</v>
      </c>
      <c r="J157" s="489">
        <f t="shared" si="185"/>
        <v>9.6761999999999998E-4</v>
      </c>
      <c r="K157" s="484">
        <f t="shared" si="186"/>
        <v>-58.04</v>
      </c>
      <c r="L157" s="484">
        <f t="shared" ref="L157:L181" si="230">$J157*L$184</f>
        <v>0</v>
      </c>
      <c r="M157" s="484">
        <f t="shared" si="187"/>
        <v>12.19</v>
      </c>
      <c r="N157" s="485">
        <f t="shared" si="194"/>
        <v>12.19</v>
      </c>
      <c r="O157" s="485">
        <f t="shared" si="229"/>
        <v>0</v>
      </c>
      <c r="P157" s="485">
        <f t="shared" si="229"/>
        <v>0</v>
      </c>
      <c r="Q157" s="485">
        <f t="shared" si="195"/>
        <v>0</v>
      </c>
      <c r="R157" s="484">
        <f t="shared" si="196"/>
        <v>0</v>
      </c>
      <c r="S157" s="485">
        <f t="shared" si="197"/>
        <v>529.85</v>
      </c>
      <c r="T157" s="488">
        <f t="shared" si="188"/>
        <v>632.88</v>
      </c>
      <c r="U157" s="487">
        <v>537.11</v>
      </c>
      <c r="V157" s="486">
        <f t="shared" si="198"/>
        <v>9.6761999999999998E-4</v>
      </c>
      <c r="W157" s="484">
        <f t="shared" si="189"/>
        <v>27.21</v>
      </c>
      <c r="X157" s="484">
        <v>0</v>
      </c>
      <c r="Y157" s="484">
        <f t="shared" si="226"/>
        <v>16.329999999999998</v>
      </c>
      <c r="Z157" s="484">
        <f t="shared" si="226"/>
        <v>-0.98</v>
      </c>
      <c r="AA157" s="484">
        <f t="shared" si="226"/>
        <v>-0.36</v>
      </c>
      <c r="AB157" s="485">
        <f t="shared" si="199"/>
        <v>42.2</v>
      </c>
      <c r="AC157" s="485">
        <f t="shared" si="190"/>
        <v>-7.6</v>
      </c>
      <c r="AD157" s="498">
        <v>0</v>
      </c>
      <c r="AE157" s="498">
        <v>0</v>
      </c>
      <c r="AF157" s="485">
        <f t="shared" si="200"/>
        <v>0</v>
      </c>
      <c r="AG157" s="484">
        <f t="shared" si="201"/>
        <v>-7.6</v>
      </c>
      <c r="AH157" s="381">
        <f t="shared" si="202"/>
        <v>571.71</v>
      </c>
      <c r="AI157" s="483">
        <f t="shared" si="203"/>
        <v>1101.56</v>
      </c>
      <c r="AJ157" s="483">
        <f t="shared" si="228"/>
        <v>1306.8599999999999</v>
      </c>
      <c r="AK157" s="83"/>
      <c r="AL157" s="114">
        <f t="shared" si="204"/>
        <v>517.66</v>
      </c>
      <c r="AM157" s="497">
        <f t="shared" si="191"/>
        <v>768.83</v>
      </c>
      <c r="AN157" s="192">
        <f t="shared" si="205"/>
        <v>0</v>
      </c>
      <c r="AO157" s="114">
        <f t="shared" si="206"/>
        <v>-58.04</v>
      </c>
      <c r="AP157" s="137">
        <f t="shared" si="207"/>
        <v>0</v>
      </c>
      <c r="AQ157" s="137">
        <f t="shared" si="208"/>
        <v>12.19</v>
      </c>
      <c r="AR157" s="84">
        <f t="shared" si="209"/>
        <v>12.19</v>
      </c>
      <c r="AS157" s="84">
        <f t="shared" si="210"/>
        <v>0</v>
      </c>
      <c r="AT157" s="84">
        <f t="shared" si="211"/>
        <v>0</v>
      </c>
      <c r="AU157" s="84">
        <f t="shared" si="212"/>
        <v>0</v>
      </c>
      <c r="AV157" s="84">
        <f t="shared" si="213"/>
        <v>0</v>
      </c>
      <c r="AW157" s="487">
        <v>537.11</v>
      </c>
      <c r="AX157" s="137">
        <f t="shared" si="214"/>
        <v>27.21</v>
      </c>
      <c r="AY157" s="137">
        <f t="shared" si="215"/>
        <v>0</v>
      </c>
      <c r="AZ157" s="137">
        <f t="shared" si="216"/>
        <v>16.329999999999998</v>
      </c>
      <c r="BA157" s="137">
        <f t="shared" si="217"/>
        <v>-0.98</v>
      </c>
      <c r="BB157" s="137">
        <f t="shared" si="218"/>
        <v>-0.36</v>
      </c>
      <c r="BC157" s="84">
        <f t="shared" si="219"/>
        <v>42.2</v>
      </c>
      <c r="BD157" s="84">
        <f t="shared" si="220"/>
        <v>-7.6</v>
      </c>
      <c r="BE157" s="84">
        <f t="shared" si="221"/>
        <v>0</v>
      </c>
      <c r="BF157" s="116">
        <f t="shared" si="222"/>
        <v>-7.6</v>
      </c>
      <c r="BG157" s="496">
        <f t="shared" si="223"/>
        <v>722.98</v>
      </c>
      <c r="BH157" s="496">
        <f t="shared" si="224"/>
        <v>571.71</v>
      </c>
      <c r="BI157" s="496">
        <f t="shared" si="225"/>
        <v>1294.69</v>
      </c>
    </row>
    <row r="158" spans="1:61" s="480" customFormat="1" ht="16.149999999999999" customHeight="1">
      <c r="A158" s="495" t="s">
        <v>195</v>
      </c>
      <c r="B158" s="494" t="s">
        <v>368</v>
      </c>
      <c r="C158" s="615" t="s">
        <v>63</v>
      </c>
      <c r="D158" s="385" t="s">
        <v>12</v>
      </c>
      <c r="E158" s="314">
        <v>28491</v>
      </c>
      <c r="F158" s="499"/>
      <c r="G158" s="491">
        <v>1084.56</v>
      </c>
      <c r="H158" s="485">
        <v>0</v>
      </c>
      <c r="I158" s="490">
        <f t="shared" si="193"/>
        <v>1084.56</v>
      </c>
      <c r="J158" s="489">
        <f t="shared" ref="J158:J181" si="231">(I158/(I$184))</f>
        <v>2.0272900000000002E-3</v>
      </c>
      <c r="K158" s="484">
        <f t="shared" ref="K158:K181" si="232">J158*K$184</f>
        <v>-121.61</v>
      </c>
      <c r="L158" s="484">
        <f t="shared" si="230"/>
        <v>0</v>
      </c>
      <c r="M158" s="484">
        <f t="shared" ref="M158:M181" si="233">$J158*M$184</f>
        <v>25.54</v>
      </c>
      <c r="N158" s="485">
        <f t="shared" si="194"/>
        <v>25.54</v>
      </c>
      <c r="O158" s="485">
        <f t="shared" si="229"/>
        <v>0</v>
      </c>
      <c r="P158" s="485">
        <f t="shared" si="229"/>
        <v>0</v>
      </c>
      <c r="Q158" s="485">
        <f t="shared" si="195"/>
        <v>0</v>
      </c>
      <c r="R158" s="484">
        <f t="shared" si="196"/>
        <v>0</v>
      </c>
      <c r="S158" s="485">
        <f t="shared" si="197"/>
        <v>1110.0999999999999</v>
      </c>
      <c r="T158" s="488">
        <f t="shared" ref="T158:T181" si="234">((S158/S$184)*T$184)</f>
        <v>1325.97</v>
      </c>
      <c r="U158" s="487">
        <v>1125.32</v>
      </c>
      <c r="V158" s="486">
        <f t="shared" si="198"/>
        <v>2.0272900000000002E-3</v>
      </c>
      <c r="W158" s="484">
        <f t="shared" ref="W158:W181" si="235">($V158*W$184)</f>
        <v>57.02</v>
      </c>
      <c r="X158" s="484">
        <v>0</v>
      </c>
      <c r="Y158" s="484">
        <f t="shared" si="226"/>
        <v>34.21</v>
      </c>
      <c r="Z158" s="484">
        <f t="shared" si="226"/>
        <v>-2.06</v>
      </c>
      <c r="AA158" s="484">
        <f t="shared" si="226"/>
        <v>-0.76</v>
      </c>
      <c r="AB158" s="485">
        <f t="shared" si="199"/>
        <v>88.41</v>
      </c>
      <c r="AC158" s="485">
        <f t="shared" ref="AC158:AC181" si="236">(V158*AC$184)</f>
        <v>-15.92</v>
      </c>
      <c r="AD158" s="498">
        <v>0</v>
      </c>
      <c r="AE158" s="498">
        <v>0</v>
      </c>
      <c r="AF158" s="485">
        <f t="shared" si="200"/>
        <v>0</v>
      </c>
      <c r="AG158" s="484">
        <f t="shared" si="201"/>
        <v>-15.92</v>
      </c>
      <c r="AH158" s="381">
        <f t="shared" si="202"/>
        <v>1197.81</v>
      </c>
      <c r="AI158" s="483">
        <f t="shared" si="203"/>
        <v>2307.91</v>
      </c>
      <c r="AJ158" s="483">
        <f t="shared" si="228"/>
        <v>2738.05</v>
      </c>
      <c r="AK158" s="83"/>
      <c r="AL158" s="114">
        <f t="shared" si="204"/>
        <v>1084.56</v>
      </c>
      <c r="AM158" s="497">
        <f t="shared" ref="AM158:AM181" si="237">(AL158/AL$184)*AM$184</f>
        <v>1610.8</v>
      </c>
      <c r="AN158" s="192">
        <f t="shared" si="205"/>
        <v>0</v>
      </c>
      <c r="AO158" s="114">
        <f t="shared" si="206"/>
        <v>-121.61</v>
      </c>
      <c r="AP158" s="137">
        <f t="shared" si="207"/>
        <v>0</v>
      </c>
      <c r="AQ158" s="137">
        <f t="shared" si="208"/>
        <v>25.54</v>
      </c>
      <c r="AR158" s="84">
        <f t="shared" si="209"/>
        <v>25.54</v>
      </c>
      <c r="AS158" s="84">
        <f t="shared" si="210"/>
        <v>0</v>
      </c>
      <c r="AT158" s="84">
        <f t="shared" si="211"/>
        <v>0</v>
      </c>
      <c r="AU158" s="84">
        <f t="shared" si="212"/>
        <v>0</v>
      </c>
      <c r="AV158" s="84">
        <f t="shared" si="213"/>
        <v>0</v>
      </c>
      <c r="AW158" s="487">
        <v>1125.32</v>
      </c>
      <c r="AX158" s="137">
        <f t="shared" si="214"/>
        <v>57.02</v>
      </c>
      <c r="AY158" s="137">
        <f t="shared" si="215"/>
        <v>0</v>
      </c>
      <c r="AZ158" s="137">
        <f t="shared" si="216"/>
        <v>34.21</v>
      </c>
      <c r="BA158" s="137">
        <f t="shared" si="217"/>
        <v>-2.06</v>
      </c>
      <c r="BB158" s="137">
        <f t="shared" si="218"/>
        <v>-0.76</v>
      </c>
      <c r="BC158" s="84">
        <f t="shared" si="219"/>
        <v>88.41</v>
      </c>
      <c r="BD158" s="84">
        <f t="shared" si="220"/>
        <v>-15.92</v>
      </c>
      <c r="BE158" s="84">
        <f t="shared" si="221"/>
        <v>0</v>
      </c>
      <c r="BF158" s="116">
        <f t="shared" si="222"/>
        <v>-15.92</v>
      </c>
      <c r="BG158" s="496">
        <f t="shared" si="223"/>
        <v>1514.73</v>
      </c>
      <c r="BH158" s="496">
        <f t="shared" si="224"/>
        <v>1197.81</v>
      </c>
      <c r="BI158" s="496">
        <f t="shared" si="225"/>
        <v>2712.54</v>
      </c>
    </row>
    <row r="159" spans="1:61" s="480" customFormat="1" ht="16.149999999999999" customHeight="1">
      <c r="A159" s="495" t="s">
        <v>195</v>
      </c>
      <c r="B159" s="494" t="s">
        <v>325</v>
      </c>
      <c r="C159" s="493" t="s">
        <v>62</v>
      </c>
      <c r="D159" s="385" t="s">
        <v>12</v>
      </c>
      <c r="E159" s="314">
        <v>18629</v>
      </c>
      <c r="F159" s="500">
        <v>10</v>
      </c>
      <c r="G159" s="491">
        <v>3999.9</v>
      </c>
      <c r="H159" s="485">
        <v>0</v>
      </c>
      <c r="I159" s="490">
        <f t="shared" si="193"/>
        <v>3999.9</v>
      </c>
      <c r="J159" s="489">
        <f t="shared" si="231"/>
        <v>7.4767100000000001E-3</v>
      </c>
      <c r="K159" s="484">
        <f t="shared" si="232"/>
        <v>-448.49</v>
      </c>
      <c r="L159" s="484">
        <f t="shared" si="230"/>
        <v>0</v>
      </c>
      <c r="M159" s="484">
        <f t="shared" si="233"/>
        <v>94.18</v>
      </c>
      <c r="N159" s="485">
        <f t="shared" si="194"/>
        <v>94.18</v>
      </c>
      <c r="O159" s="485">
        <f t="shared" si="229"/>
        <v>0</v>
      </c>
      <c r="P159" s="485">
        <f t="shared" si="229"/>
        <v>0</v>
      </c>
      <c r="Q159" s="485">
        <f t="shared" si="195"/>
        <v>0</v>
      </c>
      <c r="R159" s="484">
        <f t="shared" si="196"/>
        <v>0</v>
      </c>
      <c r="S159" s="485">
        <f t="shared" si="197"/>
        <v>4094.08</v>
      </c>
      <c r="T159" s="488">
        <f t="shared" si="234"/>
        <v>4890.21</v>
      </c>
      <c r="U159" s="487">
        <v>3672.03</v>
      </c>
      <c r="V159" s="486">
        <f t="shared" si="198"/>
        <v>7.4767100000000001E-3</v>
      </c>
      <c r="W159" s="484">
        <f t="shared" si="235"/>
        <v>210.27</v>
      </c>
      <c r="X159" s="484">
        <v>0</v>
      </c>
      <c r="Y159" s="484">
        <f t="shared" si="226"/>
        <v>126.16</v>
      </c>
      <c r="Z159" s="484">
        <f t="shared" si="226"/>
        <v>-7.6</v>
      </c>
      <c r="AA159" s="484">
        <f t="shared" si="226"/>
        <v>-2.82</v>
      </c>
      <c r="AB159" s="485">
        <f t="shared" si="199"/>
        <v>326.01</v>
      </c>
      <c r="AC159" s="485">
        <f t="shared" si="236"/>
        <v>-58.7</v>
      </c>
      <c r="AD159" s="498">
        <f>(F159/F$184)*AD$184</f>
        <v>-41.12</v>
      </c>
      <c r="AE159" s="498">
        <v>0</v>
      </c>
      <c r="AF159" s="485">
        <f t="shared" si="200"/>
        <v>-41.12</v>
      </c>
      <c r="AG159" s="484">
        <f t="shared" si="201"/>
        <v>-99.82</v>
      </c>
      <c r="AH159" s="381">
        <f t="shared" si="202"/>
        <v>3898.22</v>
      </c>
      <c r="AI159" s="483">
        <f t="shared" si="203"/>
        <v>7992.3</v>
      </c>
      <c r="AJ159" s="483">
        <f t="shared" si="228"/>
        <v>9481.86</v>
      </c>
      <c r="AK159" s="83"/>
      <c r="AL159" s="114">
        <f t="shared" si="204"/>
        <v>3999.9</v>
      </c>
      <c r="AM159" s="497">
        <f t="shared" si="237"/>
        <v>5940.69</v>
      </c>
      <c r="AN159" s="192">
        <f t="shared" si="205"/>
        <v>0</v>
      </c>
      <c r="AO159" s="114">
        <f t="shared" si="206"/>
        <v>-448.49</v>
      </c>
      <c r="AP159" s="137">
        <f t="shared" si="207"/>
        <v>0</v>
      </c>
      <c r="AQ159" s="137">
        <f t="shared" si="208"/>
        <v>94.18</v>
      </c>
      <c r="AR159" s="84">
        <f t="shared" si="209"/>
        <v>94.18</v>
      </c>
      <c r="AS159" s="84">
        <f t="shared" si="210"/>
        <v>0</v>
      </c>
      <c r="AT159" s="84">
        <f t="shared" si="211"/>
        <v>0</v>
      </c>
      <c r="AU159" s="84">
        <f t="shared" si="212"/>
        <v>0</v>
      </c>
      <c r="AV159" s="84">
        <f t="shared" si="213"/>
        <v>0</v>
      </c>
      <c r="AW159" s="487">
        <v>3672.03</v>
      </c>
      <c r="AX159" s="137">
        <f t="shared" si="214"/>
        <v>210.27</v>
      </c>
      <c r="AY159" s="137">
        <f t="shared" si="215"/>
        <v>0</v>
      </c>
      <c r="AZ159" s="137">
        <f t="shared" si="216"/>
        <v>126.16</v>
      </c>
      <c r="BA159" s="137">
        <f t="shared" si="217"/>
        <v>-7.6</v>
      </c>
      <c r="BB159" s="137">
        <f t="shared" si="218"/>
        <v>-2.82</v>
      </c>
      <c r="BC159" s="84">
        <f t="shared" si="219"/>
        <v>326.01</v>
      </c>
      <c r="BD159" s="84">
        <f t="shared" si="220"/>
        <v>-58.7</v>
      </c>
      <c r="BE159" s="84">
        <f t="shared" si="221"/>
        <v>-41.12</v>
      </c>
      <c r="BF159" s="116">
        <f t="shared" si="222"/>
        <v>-99.82</v>
      </c>
      <c r="BG159" s="496">
        <f t="shared" si="223"/>
        <v>5586.38</v>
      </c>
      <c r="BH159" s="496">
        <f t="shared" si="224"/>
        <v>3898.22</v>
      </c>
      <c r="BI159" s="496">
        <f t="shared" si="225"/>
        <v>9484.6</v>
      </c>
    </row>
    <row r="160" spans="1:61" s="480" customFormat="1" ht="16.149999999999999" customHeight="1">
      <c r="A160" s="495" t="s">
        <v>195</v>
      </c>
      <c r="B160" s="494" t="s">
        <v>327</v>
      </c>
      <c r="C160" s="493" t="s">
        <v>62</v>
      </c>
      <c r="D160" s="385" t="s">
        <v>12</v>
      </c>
      <c r="E160" s="314">
        <v>7306</v>
      </c>
      <c r="F160" s="500">
        <v>10</v>
      </c>
      <c r="G160" s="491">
        <v>1999.91</v>
      </c>
      <c r="H160" s="485">
        <v>0</v>
      </c>
      <c r="I160" s="490">
        <f t="shared" si="193"/>
        <v>1999.91</v>
      </c>
      <c r="J160" s="489">
        <f t="shared" si="231"/>
        <v>3.7382800000000001E-3</v>
      </c>
      <c r="K160" s="484">
        <f t="shared" si="232"/>
        <v>-224.24</v>
      </c>
      <c r="L160" s="484">
        <f t="shared" si="230"/>
        <v>0</v>
      </c>
      <c r="M160" s="484">
        <f t="shared" si="233"/>
        <v>47.09</v>
      </c>
      <c r="N160" s="485">
        <f t="shared" si="194"/>
        <v>47.09</v>
      </c>
      <c r="O160" s="485">
        <f t="shared" si="229"/>
        <v>0</v>
      </c>
      <c r="P160" s="485">
        <f t="shared" si="229"/>
        <v>0</v>
      </c>
      <c r="Q160" s="485">
        <f t="shared" si="195"/>
        <v>0</v>
      </c>
      <c r="R160" s="484">
        <f t="shared" si="196"/>
        <v>0</v>
      </c>
      <c r="S160" s="485">
        <f t="shared" si="197"/>
        <v>2047</v>
      </c>
      <c r="T160" s="488">
        <f t="shared" si="234"/>
        <v>2445.06</v>
      </c>
      <c r="U160" s="487">
        <v>1596.91</v>
      </c>
      <c r="V160" s="486">
        <f t="shared" si="198"/>
        <v>3.7382800000000001E-3</v>
      </c>
      <c r="W160" s="484">
        <f t="shared" si="235"/>
        <v>105.14</v>
      </c>
      <c r="X160" s="484">
        <v>0</v>
      </c>
      <c r="Y160" s="484">
        <f t="shared" si="226"/>
        <v>63.08</v>
      </c>
      <c r="Z160" s="484">
        <f t="shared" si="226"/>
        <v>-3.8</v>
      </c>
      <c r="AA160" s="484">
        <f t="shared" si="226"/>
        <v>-1.41</v>
      </c>
      <c r="AB160" s="485">
        <f t="shared" si="199"/>
        <v>163.01</v>
      </c>
      <c r="AC160" s="485">
        <f t="shared" si="236"/>
        <v>-29.35</v>
      </c>
      <c r="AD160" s="498">
        <f>(F160/F$184)*AD$184</f>
        <v>-41.12</v>
      </c>
      <c r="AE160" s="498">
        <v>0</v>
      </c>
      <c r="AF160" s="485">
        <f t="shared" si="200"/>
        <v>-41.12</v>
      </c>
      <c r="AG160" s="484">
        <f t="shared" si="201"/>
        <v>-70.47</v>
      </c>
      <c r="AH160" s="381">
        <f t="shared" si="202"/>
        <v>1689.45</v>
      </c>
      <c r="AI160" s="483">
        <f t="shared" si="203"/>
        <v>3736.45</v>
      </c>
      <c r="AJ160" s="483">
        <f t="shared" si="228"/>
        <v>4432.83</v>
      </c>
      <c r="AK160" s="83"/>
      <c r="AL160" s="114">
        <f t="shared" si="204"/>
        <v>1999.91</v>
      </c>
      <c r="AM160" s="497">
        <f t="shared" si="237"/>
        <v>2970.29</v>
      </c>
      <c r="AN160" s="192">
        <f t="shared" si="205"/>
        <v>0</v>
      </c>
      <c r="AO160" s="114">
        <f t="shared" si="206"/>
        <v>-224.24</v>
      </c>
      <c r="AP160" s="137">
        <f t="shared" si="207"/>
        <v>0</v>
      </c>
      <c r="AQ160" s="137">
        <f t="shared" si="208"/>
        <v>47.09</v>
      </c>
      <c r="AR160" s="84">
        <f t="shared" si="209"/>
        <v>47.09</v>
      </c>
      <c r="AS160" s="84">
        <f t="shared" si="210"/>
        <v>0</v>
      </c>
      <c r="AT160" s="84">
        <f t="shared" si="211"/>
        <v>0</v>
      </c>
      <c r="AU160" s="84">
        <f t="shared" si="212"/>
        <v>0</v>
      </c>
      <c r="AV160" s="84">
        <f t="shared" si="213"/>
        <v>0</v>
      </c>
      <c r="AW160" s="487">
        <v>1596.91</v>
      </c>
      <c r="AX160" s="137">
        <f t="shared" si="214"/>
        <v>105.14</v>
      </c>
      <c r="AY160" s="137">
        <f t="shared" si="215"/>
        <v>0</v>
      </c>
      <c r="AZ160" s="137">
        <f t="shared" si="216"/>
        <v>63.08</v>
      </c>
      <c r="BA160" s="137">
        <f t="shared" si="217"/>
        <v>-3.8</v>
      </c>
      <c r="BB160" s="137">
        <f t="shared" si="218"/>
        <v>-1.41</v>
      </c>
      <c r="BC160" s="84">
        <f t="shared" si="219"/>
        <v>163.01</v>
      </c>
      <c r="BD160" s="84">
        <f t="shared" si="220"/>
        <v>-29.35</v>
      </c>
      <c r="BE160" s="84">
        <f t="shared" si="221"/>
        <v>-41.12</v>
      </c>
      <c r="BF160" s="116">
        <f t="shared" si="222"/>
        <v>-70.47</v>
      </c>
      <c r="BG160" s="496">
        <f t="shared" si="223"/>
        <v>2793.14</v>
      </c>
      <c r="BH160" s="496">
        <f t="shared" si="224"/>
        <v>1689.45</v>
      </c>
      <c r="BI160" s="496">
        <f t="shared" si="225"/>
        <v>4482.59</v>
      </c>
    </row>
    <row r="161" spans="1:61" s="480" customFormat="1" ht="16.149999999999999" customHeight="1">
      <c r="A161" s="495" t="s">
        <v>195</v>
      </c>
      <c r="B161" s="494" t="s">
        <v>328</v>
      </c>
      <c r="C161" s="493" t="s">
        <v>62</v>
      </c>
      <c r="D161" s="385" t="s">
        <v>12</v>
      </c>
      <c r="E161" s="314">
        <v>9133</v>
      </c>
      <c r="F161" s="500">
        <v>10</v>
      </c>
      <c r="G161" s="491">
        <v>1999.91</v>
      </c>
      <c r="H161" s="485">
        <v>0</v>
      </c>
      <c r="I161" s="490">
        <f t="shared" si="193"/>
        <v>1999.91</v>
      </c>
      <c r="J161" s="489">
        <f t="shared" si="231"/>
        <v>3.7382800000000001E-3</v>
      </c>
      <c r="K161" s="484">
        <f t="shared" si="232"/>
        <v>-224.24</v>
      </c>
      <c r="L161" s="484">
        <f t="shared" si="230"/>
        <v>0</v>
      </c>
      <c r="M161" s="484">
        <f t="shared" si="233"/>
        <v>47.09</v>
      </c>
      <c r="N161" s="485">
        <f t="shared" si="194"/>
        <v>47.09</v>
      </c>
      <c r="O161" s="485">
        <f t="shared" si="229"/>
        <v>0</v>
      </c>
      <c r="P161" s="485">
        <f t="shared" si="229"/>
        <v>0</v>
      </c>
      <c r="Q161" s="485">
        <f t="shared" si="195"/>
        <v>0</v>
      </c>
      <c r="R161" s="484">
        <f t="shared" si="196"/>
        <v>0</v>
      </c>
      <c r="S161" s="485">
        <f t="shared" si="197"/>
        <v>2047</v>
      </c>
      <c r="T161" s="488">
        <f t="shared" si="234"/>
        <v>2445.06</v>
      </c>
      <c r="U161" s="487">
        <v>1596.91</v>
      </c>
      <c r="V161" s="486">
        <f t="shared" si="198"/>
        <v>3.7382800000000001E-3</v>
      </c>
      <c r="W161" s="484">
        <f t="shared" si="235"/>
        <v>105.14</v>
      </c>
      <c r="X161" s="484">
        <v>0</v>
      </c>
      <c r="Y161" s="484">
        <f t="shared" si="226"/>
        <v>63.08</v>
      </c>
      <c r="Z161" s="484">
        <f t="shared" si="226"/>
        <v>-3.8</v>
      </c>
      <c r="AA161" s="484">
        <f t="shared" si="226"/>
        <v>-1.41</v>
      </c>
      <c r="AB161" s="485">
        <f t="shared" si="199"/>
        <v>163.01</v>
      </c>
      <c r="AC161" s="485">
        <f t="shared" si="236"/>
        <v>-29.35</v>
      </c>
      <c r="AD161" s="498">
        <f>(F161/F$184)*AD$184</f>
        <v>-41.12</v>
      </c>
      <c r="AE161" s="498">
        <v>0</v>
      </c>
      <c r="AF161" s="485">
        <f t="shared" si="200"/>
        <v>-41.12</v>
      </c>
      <c r="AG161" s="484">
        <f t="shared" si="201"/>
        <v>-70.47</v>
      </c>
      <c r="AH161" s="381">
        <f t="shared" si="202"/>
        <v>1689.45</v>
      </c>
      <c r="AI161" s="483">
        <f t="shared" si="203"/>
        <v>3736.45</v>
      </c>
      <c r="AJ161" s="483">
        <f t="shared" si="228"/>
        <v>4432.83</v>
      </c>
      <c r="AK161" s="83"/>
      <c r="AL161" s="114">
        <f t="shared" si="204"/>
        <v>1999.91</v>
      </c>
      <c r="AM161" s="497">
        <f t="shared" si="237"/>
        <v>2970.29</v>
      </c>
      <c r="AN161" s="192">
        <f t="shared" si="205"/>
        <v>0</v>
      </c>
      <c r="AO161" s="114">
        <f t="shared" si="206"/>
        <v>-224.24</v>
      </c>
      <c r="AP161" s="137">
        <f t="shared" si="207"/>
        <v>0</v>
      </c>
      <c r="AQ161" s="137">
        <f t="shared" si="208"/>
        <v>47.09</v>
      </c>
      <c r="AR161" s="84">
        <f t="shared" si="209"/>
        <v>47.09</v>
      </c>
      <c r="AS161" s="84">
        <f t="shared" si="210"/>
        <v>0</v>
      </c>
      <c r="AT161" s="84">
        <f t="shared" si="211"/>
        <v>0</v>
      </c>
      <c r="AU161" s="84">
        <f t="shared" si="212"/>
        <v>0</v>
      </c>
      <c r="AV161" s="84">
        <f t="shared" si="213"/>
        <v>0</v>
      </c>
      <c r="AW161" s="487">
        <v>1596.91</v>
      </c>
      <c r="AX161" s="137">
        <f t="shared" si="214"/>
        <v>105.14</v>
      </c>
      <c r="AY161" s="137">
        <f t="shared" si="215"/>
        <v>0</v>
      </c>
      <c r="AZ161" s="137">
        <f t="shared" si="216"/>
        <v>63.08</v>
      </c>
      <c r="BA161" s="137">
        <f t="shared" si="217"/>
        <v>-3.8</v>
      </c>
      <c r="BB161" s="137">
        <f t="shared" si="218"/>
        <v>-1.41</v>
      </c>
      <c r="BC161" s="84">
        <f t="shared" si="219"/>
        <v>163.01</v>
      </c>
      <c r="BD161" s="84">
        <f t="shared" si="220"/>
        <v>-29.35</v>
      </c>
      <c r="BE161" s="84">
        <f t="shared" si="221"/>
        <v>-41.12</v>
      </c>
      <c r="BF161" s="116">
        <f t="shared" si="222"/>
        <v>-70.47</v>
      </c>
      <c r="BG161" s="496">
        <f t="shared" si="223"/>
        <v>2793.14</v>
      </c>
      <c r="BH161" s="496">
        <f t="shared" si="224"/>
        <v>1689.45</v>
      </c>
      <c r="BI161" s="496">
        <f t="shared" si="225"/>
        <v>4482.59</v>
      </c>
    </row>
    <row r="162" spans="1:61" s="480" customFormat="1" ht="16.149999999999999" customHeight="1">
      <c r="A162" s="495" t="s">
        <v>195</v>
      </c>
      <c r="B162" s="494" t="s">
        <v>326</v>
      </c>
      <c r="C162" s="493" t="s">
        <v>62</v>
      </c>
      <c r="D162" s="385" t="s">
        <v>12</v>
      </c>
      <c r="E162" s="314">
        <v>7672</v>
      </c>
      <c r="F162" s="500">
        <v>10</v>
      </c>
      <c r="G162" s="491">
        <v>1999.91</v>
      </c>
      <c r="H162" s="485">
        <v>0</v>
      </c>
      <c r="I162" s="490">
        <f t="shared" si="193"/>
        <v>1999.91</v>
      </c>
      <c r="J162" s="489">
        <f t="shared" si="231"/>
        <v>3.7382800000000001E-3</v>
      </c>
      <c r="K162" s="484">
        <f t="shared" si="232"/>
        <v>-224.24</v>
      </c>
      <c r="L162" s="484">
        <f t="shared" si="230"/>
        <v>0</v>
      </c>
      <c r="M162" s="484">
        <f t="shared" si="233"/>
        <v>47.09</v>
      </c>
      <c r="N162" s="485">
        <f t="shared" si="194"/>
        <v>47.09</v>
      </c>
      <c r="O162" s="485">
        <f t="shared" si="229"/>
        <v>0</v>
      </c>
      <c r="P162" s="485">
        <f t="shared" si="229"/>
        <v>0</v>
      </c>
      <c r="Q162" s="485">
        <f t="shared" si="195"/>
        <v>0</v>
      </c>
      <c r="R162" s="484">
        <f t="shared" si="196"/>
        <v>0</v>
      </c>
      <c r="S162" s="485">
        <f t="shared" si="197"/>
        <v>2047</v>
      </c>
      <c r="T162" s="488">
        <f t="shared" si="234"/>
        <v>2445.06</v>
      </c>
      <c r="U162" s="487">
        <v>1596.91</v>
      </c>
      <c r="V162" s="486">
        <f t="shared" si="198"/>
        <v>3.7382800000000001E-3</v>
      </c>
      <c r="W162" s="484">
        <f t="shared" si="235"/>
        <v>105.14</v>
      </c>
      <c r="X162" s="484">
        <v>0</v>
      </c>
      <c r="Y162" s="484">
        <f t="shared" ref="Y162:AA181" si="238">$V162*Y$184</f>
        <v>63.08</v>
      </c>
      <c r="Z162" s="484">
        <f t="shared" si="238"/>
        <v>-3.8</v>
      </c>
      <c r="AA162" s="484">
        <f t="shared" si="238"/>
        <v>-1.41</v>
      </c>
      <c r="AB162" s="485">
        <f t="shared" si="199"/>
        <v>163.01</v>
      </c>
      <c r="AC162" s="485">
        <f t="shared" si="236"/>
        <v>-29.35</v>
      </c>
      <c r="AD162" s="498">
        <f>(F162/F$184)*AD$184</f>
        <v>-41.12</v>
      </c>
      <c r="AE162" s="498">
        <v>0</v>
      </c>
      <c r="AF162" s="485">
        <f t="shared" si="200"/>
        <v>-41.12</v>
      </c>
      <c r="AG162" s="484">
        <f t="shared" si="201"/>
        <v>-70.47</v>
      </c>
      <c r="AH162" s="381">
        <f t="shared" si="202"/>
        <v>1689.45</v>
      </c>
      <c r="AI162" s="483">
        <f t="shared" si="203"/>
        <v>3736.45</v>
      </c>
      <c r="AJ162" s="483">
        <f t="shared" si="228"/>
        <v>4432.83</v>
      </c>
      <c r="AK162" s="83"/>
      <c r="AL162" s="114">
        <f t="shared" si="204"/>
        <v>1999.91</v>
      </c>
      <c r="AM162" s="497">
        <f t="shared" si="237"/>
        <v>2970.29</v>
      </c>
      <c r="AN162" s="192">
        <f t="shared" si="205"/>
        <v>0</v>
      </c>
      <c r="AO162" s="114">
        <f t="shared" si="206"/>
        <v>-224.24</v>
      </c>
      <c r="AP162" s="137">
        <f t="shared" si="207"/>
        <v>0</v>
      </c>
      <c r="AQ162" s="137">
        <f t="shared" si="208"/>
        <v>47.09</v>
      </c>
      <c r="AR162" s="84">
        <f t="shared" si="209"/>
        <v>47.09</v>
      </c>
      <c r="AS162" s="84">
        <f t="shared" si="210"/>
        <v>0</v>
      </c>
      <c r="AT162" s="84">
        <f t="shared" si="211"/>
        <v>0</v>
      </c>
      <c r="AU162" s="84">
        <f t="shared" si="212"/>
        <v>0</v>
      </c>
      <c r="AV162" s="84">
        <f t="shared" si="213"/>
        <v>0</v>
      </c>
      <c r="AW162" s="487">
        <v>1596.91</v>
      </c>
      <c r="AX162" s="137">
        <f t="shared" si="214"/>
        <v>105.14</v>
      </c>
      <c r="AY162" s="137">
        <f t="shared" si="215"/>
        <v>0</v>
      </c>
      <c r="AZ162" s="137">
        <f t="shared" si="216"/>
        <v>63.08</v>
      </c>
      <c r="BA162" s="137">
        <f t="shared" si="217"/>
        <v>-3.8</v>
      </c>
      <c r="BB162" s="137">
        <f t="shared" si="218"/>
        <v>-1.41</v>
      </c>
      <c r="BC162" s="84">
        <f t="shared" si="219"/>
        <v>163.01</v>
      </c>
      <c r="BD162" s="84">
        <f t="shared" si="220"/>
        <v>-29.35</v>
      </c>
      <c r="BE162" s="84">
        <f t="shared" si="221"/>
        <v>-41.12</v>
      </c>
      <c r="BF162" s="116">
        <f t="shared" si="222"/>
        <v>-70.47</v>
      </c>
      <c r="BG162" s="496">
        <f t="shared" si="223"/>
        <v>2793.14</v>
      </c>
      <c r="BH162" s="496">
        <f t="shared" si="224"/>
        <v>1689.45</v>
      </c>
      <c r="BI162" s="496">
        <f t="shared" si="225"/>
        <v>4482.59</v>
      </c>
    </row>
    <row r="163" spans="1:61" s="480" customFormat="1" ht="16.149999999999999" customHeight="1">
      <c r="A163" s="495" t="s">
        <v>195</v>
      </c>
      <c r="B163" s="494" t="s">
        <v>370</v>
      </c>
      <c r="C163" s="615" t="s">
        <v>63</v>
      </c>
      <c r="D163" s="385" t="s">
        <v>12</v>
      </c>
      <c r="E163" s="314">
        <v>29952</v>
      </c>
      <c r="F163" s="499"/>
      <c r="G163" s="491">
        <v>1035.24</v>
      </c>
      <c r="H163" s="485">
        <v>0</v>
      </c>
      <c r="I163" s="490">
        <f t="shared" si="193"/>
        <v>1035.24</v>
      </c>
      <c r="J163" s="489">
        <f t="shared" si="231"/>
        <v>1.9350999999999999E-3</v>
      </c>
      <c r="K163" s="484">
        <f t="shared" si="232"/>
        <v>-116.08</v>
      </c>
      <c r="L163" s="484">
        <f t="shared" si="230"/>
        <v>0</v>
      </c>
      <c r="M163" s="484">
        <f t="shared" si="233"/>
        <v>24.38</v>
      </c>
      <c r="N163" s="485">
        <f t="shared" si="194"/>
        <v>24.38</v>
      </c>
      <c r="O163" s="485">
        <f t="shared" si="229"/>
        <v>0</v>
      </c>
      <c r="P163" s="485">
        <f t="shared" si="229"/>
        <v>0</v>
      </c>
      <c r="Q163" s="485">
        <f t="shared" si="195"/>
        <v>0</v>
      </c>
      <c r="R163" s="484">
        <f t="shared" si="196"/>
        <v>0</v>
      </c>
      <c r="S163" s="485">
        <f t="shared" si="197"/>
        <v>1059.6199999999999</v>
      </c>
      <c r="T163" s="488">
        <f t="shared" si="234"/>
        <v>1265.67</v>
      </c>
      <c r="U163" s="487">
        <v>1074.1500000000001</v>
      </c>
      <c r="V163" s="486">
        <f t="shared" si="198"/>
        <v>1.9350999999999999E-3</v>
      </c>
      <c r="W163" s="484">
        <f t="shared" si="235"/>
        <v>54.42</v>
      </c>
      <c r="X163" s="484">
        <v>0</v>
      </c>
      <c r="Y163" s="484">
        <f t="shared" si="238"/>
        <v>32.65</v>
      </c>
      <c r="Z163" s="484">
        <f t="shared" si="238"/>
        <v>-1.97</v>
      </c>
      <c r="AA163" s="484">
        <f t="shared" si="238"/>
        <v>-0.73</v>
      </c>
      <c r="AB163" s="485">
        <f t="shared" si="199"/>
        <v>84.37</v>
      </c>
      <c r="AC163" s="485">
        <f t="shared" si="236"/>
        <v>-15.19</v>
      </c>
      <c r="AD163" s="498">
        <v>0</v>
      </c>
      <c r="AE163" s="498">
        <v>0</v>
      </c>
      <c r="AF163" s="485">
        <f t="shared" si="200"/>
        <v>0</v>
      </c>
      <c r="AG163" s="484">
        <f t="shared" si="201"/>
        <v>-15.19</v>
      </c>
      <c r="AH163" s="381">
        <f t="shared" si="202"/>
        <v>1143.33</v>
      </c>
      <c r="AI163" s="483">
        <f t="shared" si="203"/>
        <v>2202.9499999999998</v>
      </c>
      <c r="AJ163" s="483">
        <f t="shared" si="228"/>
        <v>2613.52</v>
      </c>
      <c r="AK163" s="83"/>
      <c r="AL163" s="114">
        <f t="shared" si="204"/>
        <v>1035.24</v>
      </c>
      <c r="AM163" s="497">
        <f t="shared" si="237"/>
        <v>1537.55</v>
      </c>
      <c r="AN163" s="192">
        <f t="shared" si="205"/>
        <v>0</v>
      </c>
      <c r="AO163" s="114">
        <f t="shared" si="206"/>
        <v>-116.08</v>
      </c>
      <c r="AP163" s="137">
        <f t="shared" si="207"/>
        <v>0</v>
      </c>
      <c r="AQ163" s="137">
        <f t="shared" si="208"/>
        <v>24.38</v>
      </c>
      <c r="AR163" s="84">
        <f t="shared" si="209"/>
        <v>24.38</v>
      </c>
      <c r="AS163" s="84">
        <f t="shared" si="210"/>
        <v>0</v>
      </c>
      <c r="AT163" s="84">
        <f t="shared" si="211"/>
        <v>0</v>
      </c>
      <c r="AU163" s="84">
        <f t="shared" si="212"/>
        <v>0</v>
      </c>
      <c r="AV163" s="84">
        <f t="shared" si="213"/>
        <v>0</v>
      </c>
      <c r="AW163" s="487">
        <v>1074.1500000000001</v>
      </c>
      <c r="AX163" s="137">
        <f t="shared" si="214"/>
        <v>54.42</v>
      </c>
      <c r="AY163" s="137">
        <f t="shared" si="215"/>
        <v>0</v>
      </c>
      <c r="AZ163" s="137">
        <f t="shared" si="216"/>
        <v>32.65</v>
      </c>
      <c r="BA163" s="137">
        <f t="shared" si="217"/>
        <v>-1.97</v>
      </c>
      <c r="BB163" s="137">
        <f t="shared" si="218"/>
        <v>-0.73</v>
      </c>
      <c r="BC163" s="84">
        <f t="shared" si="219"/>
        <v>84.37</v>
      </c>
      <c r="BD163" s="84">
        <f t="shared" si="220"/>
        <v>-15.19</v>
      </c>
      <c r="BE163" s="84">
        <f t="shared" si="221"/>
        <v>0</v>
      </c>
      <c r="BF163" s="116">
        <f t="shared" si="222"/>
        <v>-15.19</v>
      </c>
      <c r="BG163" s="496">
        <f t="shared" si="223"/>
        <v>1445.85</v>
      </c>
      <c r="BH163" s="496">
        <f t="shared" si="224"/>
        <v>1143.33</v>
      </c>
      <c r="BI163" s="496">
        <f t="shared" si="225"/>
        <v>2589.1799999999998</v>
      </c>
    </row>
    <row r="164" spans="1:61" s="480" customFormat="1" ht="16.149999999999999" customHeight="1">
      <c r="A164" s="495" t="s">
        <v>195</v>
      </c>
      <c r="B164" s="494" t="s">
        <v>339</v>
      </c>
      <c r="C164" s="493" t="s">
        <v>62</v>
      </c>
      <c r="D164" s="385" t="s">
        <v>12</v>
      </c>
      <c r="E164" s="314">
        <v>17899</v>
      </c>
      <c r="F164" s="500">
        <v>10</v>
      </c>
      <c r="G164" s="491">
        <v>3999.9</v>
      </c>
      <c r="H164" s="485">
        <v>0</v>
      </c>
      <c r="I164" s="490">
        <f t="shared" si="193"/>
        <v>3999.9</v>
      </c>
      <c r="J164" s="489">
        <f t="shared" si="231"/>
        <v>7.4767100000000001E-3</v>
      </c>
      <c r="K164" s="484">
        <f t="shared" si="232"/>
        <v>-448.49</v>
      </c>
      <c r="L164" s="484">
        <f t="shared" si="230"/>
        <v>0</v>
      </c>
      <c r="M164" s="484">
        <f t="shared" si="233"/>
        <v>94.18</v>
      </c>
      <c r="N164" s="485">
        <f t="shared" si="194"/>
        <v>94.18</v>
      </c>
      <c r="O164" s="485">
        <f t="shared" si="229"/>
        <v>0</v>
      </c>
      <c r="P164" s="485">
        <f t="shared" si="229"/>
        <v>0</v>
      </c>
      <c r="Q164" s="485">
        <f t="shared" si="195"/>
        <v>0</v>
      </c>
      <c r="R164" s="484">
        <f t="shared" si="196"/>
        <v>0</v>
      </c>
      <c r="S164" s="485">
        <f t="shared" si="197"/>
        <v>4094.08</v>
      </c>
      <c r="T164" s="488">
        <f t="shared" si="234"/>
        <v>4890.21</v>
      </c>
      <c r="U164" s="487">
        <v>3672.03</v>
      </c>
      <c r="V164" s="486">
        <f t="shared" si="198"/>
        <v>7.4767100000000001E-3</v>
      </c>
      <c r="W164" s="484">
        <f t="shared" si="235"/>
        <v>210.27</v>
      </c>
      <c r="X164" s="484">
        <v>0</v>
      </c>
      <c r="Y164" s="484">
        <f t="shared" si="238"/>
        <v>126.16</v>
      </c>
      <c r="Z164" s="484">
        <f t="shared" si="238"/>
        <v>-7.6</v>
      </c>
      <c r="AA164" s="484">
        <f t="shared" si="238"/>
        <v>-2.82</v>
      </c>
      <c r="AB164" s="485">
        <f t="shared" si="199"/>
        <v>326.01</v>
      </c>
      <c r="AC164" s="485">
        <f t="shared" si="236"/>
        <v>-58.7</v>
      </c>
      <c r="AD164" s="498">
        <f t="shared" ref="AD164:AD170" si="239">(F164/F$184)*AD$184</f>
        <v>-41.12</v>
      </c>
      <c r="AE164" s="498">
        <v>0</v>
      </c>
      <c r="AF164" s="485">
        <f t="shared" si="200"/>
        <v>-41.12</v>
      </c>
      <c r="AG164" s="484">
        <f t="shared" si="201"/>
        <v>-99.82</v>
      </c>
      <c r="AH164" s="381">
        <f t="shared" si="202"/>
        <v>3898.22</v>
      </c>
      <c r="AI164" s="483">
        <f t="shared" si="203"/>
        <v>7992.3</v>
      </c>
      <c r="AJ164" s="483">
        <f t="shared" si="228"/>
        <v>9481.86</v>
      </c>
      <c r="AK164" s="83"/>
      <c r="AL164" s="114">
        <f t="shared" si="204"/>
        <v>3999.9</v>
      </c>
      <c r="AM164" s="497">
        <f t="shared" si="237"/>
        <v>5940.69</v>
      </c>
      <c r="AN164" s="192">
        <f t="shared" si="205"/>
        <v>0</v>
      </c>
      <c r="AO164" s="114">
        <f t="shared" si="206"/>
        <v>-448.49</v>
      </c>
      <c r="AP164" s="137">
        <f t="shared" si="207"/>
        <v>0</v>
      </c>
      <c r="AQ164" s="137">
        <f t="shared" si="208"/>
        <v>94.18</v>
      </c>
      <c r="AR164" s="84">
        <f t="shared" si="209"/>
        <v>94.18</v>
      </c>
      <c r="AS164" s="84">
        <f t="shared" si="210"/>
        <v>0</v>
      </c>
      <c r="AT164" s="84">
        <f t="shared" si="211"/>
        <v>0</v>
      </c>
      <c r="AU164" s="84">
        <f t="shared" si="212"/>
        <v>0</v>
      </c>
      <c r="AV164" s="84">
        <f t="shared" si="213"/>
        <v>0</v>
      </c>
      <c r="AW164" s="487">
        <v>3672.03</v>
      </c>
      <c r="AX164" s="137">
        <f t="shared" si="214"/>
        <v>210.27</v>
      </c>
      <c r="AY164" s="137">
        <f t="shared" si="215"/>
        <v>0</v>
      </c>
      <c r="AZ164" s="137">
        <f t="shared" si="216"/>
        <v>126.16</v>
      </c>
      <c r="BA164" s="137">
        <f t="shared" si="217"/>
        <v>-7.6</v>
      </c>
      <c r="BB164" s="137">
        <f t="shared" si="218"/>
        <v>-2.82</v>
      </c>
      <c r="BC164" s="84">
        <f t="shared" si="219"/>
        <v>326.01</v>
      </c>
      <c r="BD164" s="84">
        <f t="shared" si="220"/>
        <v>-58.7</v>
      </c>
      <c r="BE164" s="84">
        <f t="shared" si="221"/>
        <v>-41.12</v>
      </c>
      <c r="BF164" s="116">
        <f t="shared" si="222"/>
        <v>-99.82</v>
      </c>
      <c r="BG164" s="496">
        <f t="shared" si="223"/>
        <v>5586.38</v>
      </c>
      <c r="BH164" s="496">
        <f t="shared" si="224"/>
        <v>3898.22</v>
      </c>
      <c r="BI164" s="496">
        <f t="shared" si="225"/>
        <v>9484.6</v>
      </c>
    </row>
    <row r="165" spans="1:61" s="480" customFormat="1" ht="16.149999999999999" customHeight="1">
      <c r="A165" s="495" t="s">
        <v>195</v>
      </c>
      <c r="B165" s="494" t="s">
        <v>336</v>
      </c>
      <c r="C165" s="493" t="s">
        <v>62</v>
      </c>
      <c r="D165" s="385" t="s">
        <v>12</v>
      </c>
      <c r="E165" s="314">
        <v>15342</v>
      </c>
      <c r="F165" s="500">
        <v>10</v>
      </c>
      <c r="G165" s="491">
        <v>1999.91</v>
      </c>
      <c r="H165" s="485">
        <v>0</v>
      </c>
      <c r="I165" s="490">
        <f t="shared" si="193"/>
        <v>1999.91</v>
      </c>
      <c r="J165" s="489">
        <f t="shared" si="231"/>
        <v>3.7382800000000001E-3</v>
      </c>
      <c r="K165" s="484">
        <f t="shared" si="232"/>
        <v>-224.24</v>
      </c>
      <c r="L165" s="484">
        <f t="shared" si="230"/>
        <v>0</v>
      </c>
      <c r="M165" s="484">
        <f t="shared" si="233"/>
        <v>47.09</v>
      </c>
      <c r="N165" s="485">
        <f t="shared" si="194"/>
        <v>47.09</v>
      </c>
      <c r="O165" s="485">
        <f t="shared" si="229"/>
        <v>0</v>
      </c>
      <c r="P165" s="485">
        <f t="shared" si="229"/>
        <v>0</v>
      </c>
      <c r="Q165" s="485">
        <f t="shared" si="195"/>
        <v>0</v>
      </c>
      <c r="R165" s="484">
        <f t="shared" si="196"/>
        <v>0</v>
      </c>
      <c r="S165" s="485">
        <f t="shared" si="197"/>
        <v>2047</v>
      </c>
      <c r="T165" s="488">
        <f t="shared" si="234"/>
        <v>2445.06</v>
      </c>
      <c r="U165" s="487">
        <v>1596.91</v>
      </c>
      <c r="V165" s="486">
        <f t="shared" si="198"/>
        <v>3.7382800000000001E-3</v>
      </c>
      <c r="W165" s="484">
        <f t="shared" si="235"/>
        <v>105.14</v>
      </c>
      <c r="X165" s="484">
        <v>0</v>
      </c>
      <c r="Y165" s="484">
        <f t="shared" si="238"/>
        <v>63.08</v>
      </c>
      <c r="Z165" s="484">
        <f t="shared" si="238"/>
        <v>-3.8</v>
      </c>
      <c r="AA165" s="484">
        <f t="shared" si="238"/>
        <v>-1.41</v>
      </c>
      <c r="AB165" s="485">
        <f t="shared" si="199"/>
        <v>163.01</v>
      </c>
      <c r="AC165" s="485">
        <f t="shared" si="236"/>
        <v>-29.35</v>
      </c>
      <c r="AD165" s="498">
        <f t="shared" si="239"/>
        <v>-41.12</v>
      </c>
      <c r="AE165" s="498">
        <v>0</v>
      </c>
      <c r="AF165" s="485">
        <f t="shared" si="200"/>
        <v>-41.12</v>
      </c>
      <c r="AG165" s="484">
        <f t="shared" si="201"/>
        <v>-70.47</v>
      </c>
      <c r="AH165" s="381">
        <f t="shared" si="202"/>
        <v>1689.45</v>
      </c>
      <c r="AI165" s="483">
        <f t="shared" si="203"/>
        <v>3736.45</v>
      </c>
      <c r="AJ165" s="483">
        <f t="shared" si="228"/>
        <v>4432.83</v>
      </c>
      <c r="AK165" s="83"/>
      <c r="AL165" s="114">
        <f t="shared" si="204"/>
        <v>1999.91</v>
      </c>
      <c r="AM165" s="497">
        <f t="shared" si="237"/>
        <v>2970.29</v>
      </c>
      <c r="AN165" s="192">
        <f t="shared" si="205"/>
        <v>0</v>
      </c>
      <c r="AO165" s="114">
        <f t="shared" si="206"/>
        <v>-224.24</v>
      </c>
      <c r="AP165" s="137">
        <f t="shared" si="207"/>
        <v>0</v>
      </c>
      <c r="AQ165" s="137">
        <f t="shared" si="208"/>
        <v>47.09</v>
      </c>
      <c r="AR165" s="84">
        <f t="shared" si="209"/>
        <v>47.09</v>
      </c>
      <c r="AS165" s="84">
        <f t="shared" si="210"/>
        <v>0</v>
      </c>
      <c r="AT165" s="84">
        <f t="shared" si="211"/>
        <v>0</v>
      </c>
      <c r="AU165" s="84">
        <f t="shared" si="212"/>
        <v>0</v>
      </c>
      <c r="AV165" s="84">
        <f t="shared" si="213"/>
        <v>0</v>
      </c>
      <c r="AW165" s="487">
        <v>1596.91</v>
      </c>
      <c r="AX165" s="137">
        <f t="shared" si="214"/>
        <v>105.14</v>
      </c>
      <c r="AY165" s="137">
        <f t="shared" si="215"/>
        <v>0</v>
      </c>
      <c r="AZ165" s="137">
        <f t="shared" si="216"/>
        <v>63.08</v>
      </c>
      <c r="BA165" s="137">
        <f t="shared" si="217"/>
        <v>-3.8</v>
      </c>
      <c r="BB165" s="137">
        <f t="shared" si="218"/>
        <v>-1.41</v>
      </c>
      <c r="BC165" s="84">
        <f t="shared" si="219"/>
        <v>163.01</v>
      </c>
      <c r="BD165" s="84">
        <f t="shared" si="220"/>
        <v>-29.35</v>
      </c>
      <c r="BE165" s="84">
        <f t="shared" si="221"/>
        <v>-41.12</v>
      </c>
      <c r="BF165" s="116">
        <f t="shared" si="222"/>
        <v>-70.47</v>
      </c>
      <c r="BG165" s="496">
        <f t="shared" si="223"/>
        <v>2793.14</v>
      </c>
      <c r="BH165" s="496">
        <f t="shared" si="224"/>
        <v>1689.45</v>
      </c>
      <c r="BI165" s="496">
        <f t="shared" si="225"/>
        <v>4482.59</v>
      </c>
    </row>
    <row r="166" spans="1:61" s="480" customFormat="1" ht="16.149999999999999" customHeight="1">
      <c r="A166" s="495" t="s">
        <v>195</v>
      </c>
      <c r="B166" s="494" t="s">
        <v>337</v>
      </c>
      <c r="C166" s="493" t="s">
        <v>62</v>
      </c>
      <c r="D166" s="385" t="s">
        <v>12</v>
      </c>
      <c r="E166" s="314">
        <v>19360</v>
      </c>
      <c r="F166" s="500">
        <v>10</v>
      </c>
      <c r="G166" s="491">
        <v>3999.9</v>
      </c>
      <c r="H166" s="485">
        <v>0</v>
      </c>
      <c r="I166" s="490">
        <f t="shared" si="193"/>
        <v>3999.9</v>
      </c>
      <c r="J166" s="489">
        <f t="shared" si="231"/>
        <v>7.4767100000000001E-3</v>
      </c>
      <c r="K166" s="484">
        <f t="shared" si="232"/>
        <v>-448.49</v>
      </c>
      <c r="L166" s="484">
        <f t="shared" si="230"/>
        <v>0</v>
      </c>
      <c r="M166" s="484">
        <f t="shared" si="233"/>
        <v>94.18</v>
      </c>
      <c r="N166" s="485">
        <f t="shared" si="194"/>
        <v>94.18</v>
      </c>
      <c r="O166" s="485">
        <f t="shared" si="229"/>
        <v>0</v>
      </c>
      <c r="P166" s="485">
        <f t="shared" si="229"/>
        <v>0</v>
      </c>
      <c r="Q166" s="485">
        <f t="shared" si="195"/>
        <v>0</v>
      </c>
      <c r="R166" s="484">
        <f t="shared" si="196"/>
        <v>0</v>
      </c>
      <c r="S166" s="485">
        <f t="shared" si="197"/>
        <v>4094.08</v>
      </c>
      <c r="T166" s="488">
        <f t="shared" si="234"/>
        <v>4890.21</v>
      </c>
      <c r="U166" s="487">
        <v>3672.03</v>
      </c>
      <c r="V166" s="486">
        <f t="shared" si="198"/>
        <v>7.4767100000000001E-3</v>
      </c>
      <c r="W166" s="484">
        <f t="shared" si="235"/>
        <v>210.27</v>
      </c>
      <c r="X166" s="484">
        <v>0</v>
      </c>
      <c r="Y166" s="484">
        <f t="shared" si="238"/>
        <v>126.16</v>
      </c>
      <c r="Z166" s="484">
        <f t="shared" si="238"/>
        <v>-7.6</v>
      </c>
      <c r="AA166" s="484">
        <f t="shared" si="238"/>
        <v>-2.82</v>
      </c>
      <c r="AB166" s="485">
        <f t="shared" si="199"/>
        <v>326.01</v>
      </c>
      <c r="AC166" s="485">
        <f t="shared" si="236"/>
        <v>-58.7</v>
      </c>
      <c r="AD166" s="498">
        <f t="shared" si="239"/>
        <v>-41.12</v>
      </c>
      <c r="AE166" s="498">
        <v>0</v>
      </c>
      <c r="AF166" s="485">
        <f t="shared" si="200"/>
        <v>-41.12</v>
      </c>
      <c r="AG166" s="484">
        <f t="shared" si="201"/>
        <v>-99.82</v>
      </c>
      <c r="AH166" s="381">
        <f t="shared" si="202"/>
        <v>3898.22</v>
      </c>
      <c r="AI166" s="483">
        <f t="shared" si="203"/>
        <v>7992.3</v>
      </c>
      <c r="AJ166" s="483">
        <f t="shared" si="228"/>
        <v>9481.86</v>
      </c>
      <c r="AK166" s="83"/>
      <c r="AL166" s="114">
        <f t="shared" si="204"/>
        <v>3999.9</v>
      </c>
      <c r="AM166" s="497">
        <f t="shared" si="237"/>
        <v>5940.69</v>
      </c>
      <c r="AN166" s="192">
        <f t="shared" si="205"/>
        <v>0</v>
      </c>
      <c r="AO166" s="114">
        <f t="shared" si="206"/>
        <v>-448.49</v>
      </c>
      <c r="AP166" s="137">
        <f t="shared" si="207"/>
        <v>0</v>
      </c>
      <c r="AQ166" s="137">
        <f t="shared" si="208"/>
        <v>94.18</v>
      </c>
      <c r="AR166" s="84">
        <f t="shared" si="209"/>
        <v>94.18</v>
      </c>
      <c r="AS166" s="84">
        <f t="shared" si="210"/>
        <v>0</v>
      </c>
      <c r="AT166" s="84">
        <f t="shared" si="211"/>
        <v>0</v>
      </c>
      <c r="AU166" s="84">
        <f t="shared" si="212"/>
        <v>0</v>
      </c>
      <c r="AV166" s="84">
        <f t="shared" si="213"/>
        <v>0</v>
      </c>
      <c r="AW166" s="487">
        <v>3672.03</v>
      </c>
      <c r="AX166" s="137">
        <f t="shared" si="214"/>
        <v>210.27</v>
      </c>
      <c r="AY166" s="137">
        <f t="shared" si="215"/>
        <v>0</v>
      </c>
      <c r="AZ166" s="137">
        <f t="shared" si="216"/>
        <v>126.16</v>
      </c>
      <c r="BA166" s="137">
        <f t="shared" si="217"/>
        <v>-7.6</v>
      </c>
      <c r="BB166" s="137">
        <f t="shared" si="218"/>
        <v>-2.82</v>
      </c>
      <c r="BC166" s="84">
        <f t="shared" si="219"/>
        <v>326.01</v>
      </c>
      <c r="BD166" s="84">
        <f t="shared" si="220"/>
        <v>-58.7</v>
      </c>
      <c r="BE166" s="84">
        <f t="shared" si="221"/>
        <v>-41.12</v>
      </c>
      <c r="BF166" s="116">
        <f t="shared" si="222"/>
        <v>-99.82</v>
      </c>
      <c r="BG166" s="496">
        <f t="shared" si="223"/>
        <v>5586.38</v>
      </c>
      <c r="BH166" s="496">
        <f t="shared" si="224"/>
        <v>3898.22</v>
      </c>
      <c r="BI166" s="496">
        <f t="shared" si="225"/>
        <v>9484.6</v>
      </c>
    </row>
    <row r="167" spans="1:61" s="480" customFormat="1" ht="16.149999999999999" customHeight="1">
      <c r="A167" s="495" t="s">
        <v>195</v>
      </c>
      <c r="B167" s="494" t="s">
        <v>344</v>
      </c>
      <c r="C167" s="493" t="s">
        <v>62</v>
      </c>
      <c r="D167" s="385" t="s">
        <v>12</v>
      </c>
      <c r="E167" s="314">
        <v>5845</v>
      </c>
      <c r="F167" s="500">
        <v>10</v>
      </c>
      <c r="G167" s="491">
        <v>1034.9100000000001</v>
      </c>
      <c r="H167" s="485">
        <v>0</v>
      </c>
      <c r="I167" s="490">
        <f t="shared" si="193"/>
        <v>1034.9100000000001</v>
      </c>
      <c r="J167" s="489">
        <f t="shared" si="231"/>
        <v>1.9344799999999999E-3</v>
      </c>
      <c r="K167" s="484">
        <f t="shared" si="232"/>
        <v>-116.04</v>
      </c>
      <c r="L167" s="484">
        <f t="shared" si="230"/>
        <v>0</v>
      </c>
      <c r="M167" s="484">
        <f t="shared" si="233"/>
        <v>24.37</v>
      </c>
      <c r="N167" s="485">
        <f t="shared" si="194"/>
        <v>24.37</v>
      </c>
      <c r="O167" s="485">
        <f t="shared" si="229"/>
        <v>0</v>
      </c>
      <c r="P167" s="485">
        <f t="shared" si="229"/>
        <v>0</v>
      </c>
      <c r="Q167" s="485">
        <f t="shared" si="195"/>
        <v>0</v>
      </c>
      <c r="R167" s="484">
        <f t="shared" si="196"/>
        <v>0</v>
      </c>
      <c r="S167" s="485">
        <f t="shared" si="197"/>
        <v>1059.28</v>
      </c>
      <c r="T167" s="488">
        <f t="shared" si="234"/>
        <v>1265.27</v>
      </c>
      <c r="U167" s="487">
        <v>595.63</v>
      </c>
      <c r="V167" s="486">
        <f t="shared" si="198"/>
        <v>1.9344799999999999E-3</v>
      </c>
      <c r="W167" s="484">
        <f t="shared" si="235"/>
        <v>54.41</v>
      </c>
      <c r="X167" s="484">
        <v>0</v>
      </c>
      <c r="Y167" s="484">
        <f t="shared" si="238"/>
        <v>32.64</v>
      </c>
      <c r="Z167" s="484">
        <f t="shared" si="238"/>
        <v>-1.97</v>
      </c>
      <c r="AA167" s="484">
        <f t="shared" si="238"/>
        <v>-0.73</v>
      </c>
      <c r="AB167" s="485">
        <f t="shared" si="199"/>
        <v>84.35</v>
      </c>
      <c r="AC167" s="485">
        <f t="shared" si="236"/>
        <v>-15.19</v>
      </c>
      <c r="AD167" s="498">
        <f t="shared" si="239"/>
        <v>-41.12</v>
      </c>
      <c r="AE167" s="498">
        <v>0</v>
      </c>
      <c r="AF167" s="485">
        <f t="shared" si="200"/>
        <v>-41.12</v>
      </c>
      <c r="AG167" s="484">
        <f t="shared" si="201"/>
        <v>-56.31</v>
      </c>
      <c r="AH167" s="381">
        <f t="shared" si="202"/>
        <v>623.66999999999996</v>
      </c>
      <c r="AI167" s="483">
        <f t="shared" si="203"/>
        <v>1682.95</v>
      </c>
      <c r="AJ167" s="483">
        <f t="shared" si="228"/>
        <v>1996.61</v>
      </c>
      <c r="AK167" s="83"/>
      <c r="AL167" s="114">
        <f t="shared" si="204"/>
        <v>1034.9100000000001</v>
      </c>
      <c r="AM167" s="497">
        <f t="shared" si="237"/>
        <v>1537.06</v>
      </c>
      <c r="AN167" s="192">
        <f t="shared" si="205"/>
        <v>0</v>
      </c>
      <c r="AO167" s="114">
        <f t="shared" si="206"/>
        <v>-116.04</v>
      </c>
      <c r="AP167" s="137">
        <f t="shared" si="207"/>
        <v>0</v>
      </c>
      <c r="AQ167" s="137">
        <f t="shared" si="208"/>
        <v>24.37</v>
      </c>
      <c r="AR167" s="84">
        <f t="shared" si="209"/>
        <v>24.37</v>
      </c>
      <c r="AS167" s="84">
        <f t="shared" si="210"/>
        <v>0</v>
      </c>
      <c r="AT167" s="84">
        <f t="shared" si="211"/>
        <v>0</v>
      </c>
      <c r="AU167" s="84">
        <f t="shared" si="212"/>
        <v>0</v>
      </c>
      <c r="AV167" s="84">
        <f t="shared" si="213"/>
        <v>0</v>
      </c>
      <c r="AW167" s="487">
        <v>595.63</v>
      </c>
      <c r="AX167" s="137">
        <f t="shared" si="214"/>
        <v>54.41</v>
      </c>
      <c r="AY167" s="137">
        <f t="shared" si="215"/>
        <v>0</v>
      </c>
      <c r="AZ167" s="137">
        <f t="shared" si="216"/>
        <v>32.64</v>
      </c>
      <c r="BA167" s="137">
        <f t="shared" si="217"/>
        <v>-1.97</v>
      </c>
      <c r="BB167" s="137">
        <f t="shared" si="218"/>
        <v>-0.73</v>
      </c>
      <c r="BC167" s="84">
        <f t="shared" si="219"/>
        <v>84.35</v>
      </c>
      <c r="BD167" s="84">
        <f t="shared" si="220"/>
        <v>-15.19</v>
      </c>
      <c r="BE167" s="84">
        <f t="shared" si="221"/>
        <v>-41.12</v>
      </c>
      <c r="BF167" s="116">
        <f t="shared" si="222"/>
        <v>-56.31</v>
      </c>
      <c r="BG167" s="496">
        <f t="shared" si="223"/>
        <v>1445.39</v>
      </c>
      <c r="BH167" s="496">
        <f t="shared" si="224"/>
        <v>623.66999999999996</v>
      </c>
      <c r="BI167" s="496">
        <f t="shared" si="225"/>
        <v>2069.06</v>
      </c>
    </row>
    <row r="168" spans="1:61" s="480" customFormat="1" ht="16.149999999999999" customHeight="1">
      <c r="A168" s="495" t="s">
        <v>195</v>
      </c>
      <c r="B168" s="494" t="s">
        <v>343</v>
      </c>
      <c r="C168" s="493" t="s">
        <v>62</v>
      </c>
      <c r="D168" s="385" t="s">
        <v>12</v>
      </c>
      <c r="E168" s="314">
        <v>17533</v>
      </c>
      <c r="F168" s="500">
        <v>10</v>
      </c>
      <c r="G168" s="491">
        <v>1034.9100000000001</v>
      </c>
      <c r="H168" s="485">
        <v>0</v>
      </c>
      <c r="I168" s="490">
        <f t="shared" si="193"/>
        <v>1034.9100000000001</v>
      </c>
      <c r="J168" s="489">
        <f t="shared" si="231"/>
        <v>1.9344799999999999E-3</v>
      </c>
      <c r="K168" s="484">
        <f t="shared" si="232"/>
        <v>-116.04</v>
      </c>
      <c r="L168" s="484">
        <f t="shared" si="230"/>
        <v>0</v>
      </c>
      <c r="M168" s="484">
        <f t="shared" si="233"/>
        <v>24.37</v>
      </c>
      <c r="N168" s="485">
        <f t="shared" si="194"/>
        <v>24.37</v>
      </c>
      <c r="O168" s="485">
        <f t="shared" si="229"/>
        <v>0</v>
      </c>
      <c r="P168" s="485">
        <f t="shared" si="229"/>
        <v>0</v>
      </c>
      <c r="Q168" s="485">
        <f t="shared" si="195"/>
        <v>0</v>
      </c>
      <c r="R168" s="484">
        <f t="shared" si="196"/>
        <v>0</v>
      </c>
      <c r="S168" s="485">
        <f t="shared" si="197"/>
        <v>1059.28</v>
      </c>
      <c r="T168" s="488">
        <f t="shared" si="234"/>
        <v>1265.27</v>
      </c>
      <c r="U168" s="487">
        <v>595.63</v>
      </c>
      <c r="V168" s="486">
        <f t="shared" si="198"/>
        <v>1.9344799999999999E-3</v>
      </c>
      <c r="W168" s="484">
        <f t="shared" si="235"/>
        <v>54.41</v>
      </c>
      <c r="X168" s="484">
        <v>0</v>
      </c>
      <c r="Y168" s="484">
        <f t="shared" si="238"/>
        <v>32.64</v>
      </c>
      <c r="Z168" s="484">
        <f t="shared" si="238"/>
        <v>-1.97</v>
      </c>
      <c r="AA168" s="484">
        <f t="shared" si="238"/>
        <v>-0.73</v>
      </c>
      <c r="AB168" s="485">
        <f t="shared" si="199"/>
        <v>84.35</v>
      </c>
      <c r="AC168" s="485">
        <f t="shared" si="236"/>
        <v>-15.19</v>
      </c>
      <c r="AD168" s="498">
        <f t="shared" si="239"/>
        <v>-41.12</v>
      </c>
      <c r="AE168" s="498">
        <v>0</v>
      </c>
      <c r="AF168" s="485">
        <f t="shared" si="200"/>
        <v>-41.12</v>
      </c>
      <c r="AG168" s="484">
        <f t="shared" si="201"/>
        <v>-56.31</v>
      </c>
      <c r="AH168" s="381">
        <f t="shared" si="202"/>
        <v>623.66999999999996</v>
      </c>
      <c r="AI168" s="483">
        <f t="shared" si="203"/>
        <v>1682.95</v>
      </c>
      <c r="AJ168" s="483">
        <f t="shared" si="228"/>
        <v>1996.61</v>
      </c>
      <c r="AK168" s="83"/>
      <c r="AL168" s="114">
        <f t="shared" si="204"/>
        <v>1034.9100000000001</v>
      </c>
      <c r="AM168" s="497">
        <f t="shared" si="237"/>
        <v>1537.06</v>
      </c>
      <c r="AN168" s="192">
        <f t="shared" si="205"/>
        <v>0</v>
      </c>
      <c r="AO168" s="114">
        <f t="shared" si="206"/>
        <v>-116.04</v>
      </c>
      <c r="AP168" s="137">
        <f t="shared" si="207"/>
        <v>0</v>
      </c>
      <c r="AQ168" s="137">
        <f t="shared" si="208"/>
        <v>24.37</v>
      </c>
      <c r="AR168" s="84">
        <f t="shared" si="209"/>
        <v>24.37</v>
      </c>
      <c r="AS168" s="84">
        <f t="shared" si="210"/>
        <v>0</v>
      </c>
      <c r="AT168" s="84">
        <f t="shared" si="211"/>
        <v>0</v>
      </c>
      <c r="AU168" s="84">
        <f t="shared" si="212"/>
        <v>0</v>
      </c>
      <c r="AV168" s="84">
        <f t="shared" si="213"/>
        <v>0</v>
      </c>
      <c r="AW168" s="487">
        <v>595.63</v>
      </c>
      <c r="AX168" s="137">
        <f t="shared" si="214"/>
        <v>54.41</v>
      </c>
      <c r="AY168" s="137">
        <f t="shared" si="215"/>
        <v>0</v>
      </c>
      <c r="AZ168" s="137">
        <f t="shared" si="216"/>
        <v>32.64</v>
      </c>
      <c r="BA168" s="137">
        <f t="shared" si="217"/>
        <v>-1.97</v>
      </c>
      <c r="BB168" s="137">
        <f t="shared" si="218"/>
        <v>-0.73</v>
      </c>
      <c r="BC168" s="84">
        <f t="shared" si="219"/>
        <v>84.35</v>
      </c>
      <c r="BD168" s="84">
        <f t="shared" si="220"/>
        <v>-15.19</v>
      </c>
      <c r="BE168" s="84">
        <f t="shared" si="221"/>
        <v>-41.12</v>
      </c>
      <c r="BF168" s="116">
        <f t="shared" si="222"/>
        <v>-56.31</v>
      </c>
      <c r="BG168" s="496">
        <f t="shared" si="223"/>
        <v>1445.39</v>
      </c>
      <c r="BH168" s="496">
        <f t="shared" si="224"/>
        <v>623.66999999999996</v>
      </c>
      <c r="BI168" s="496">
        <f t="shared" si="225"/>
        <v>2069.06</v>
      </c>
    </row>
    <row r="169" spans="1:61" s="480" customFormat="1" ht="16.149999999999999" customHeight="1">
      <c r="A169" s="495" t="s">
        <v>195</v>
      </c>
      <c r="B169" s="494" t="s">
        <v>335</v>
      </c>
      <c r="C169" s="493" t="s">
        <v>62</v>
      </c>
      <c r="D169" s="385" t="s">
        <v>12</v>
      </c>
      <c r="E169" s="314">
        <v>10228</v>
      </c>
      <c r="F169" s="500">
        <v>10</v>
      </c>
      <c r="G169" s="491">
        <v>1999.91</v>
      </c>
      <c r="H169" s="485">
        <v>0</v>
      </c>
      <c r="I169" s="490">
        <f t="shared" si="193"/>
        <v>1999.91</v>
      </c>
      <c r="J169" s="489">
        <f t="shared" si="231"/>
        <v>3.7382800000000001E-3</v>
      </c>
      <c r="K169" s="484">
        <f t="shared" si="232"/>
        <v>-224.24</v>
      </c>
      <c r="L169" s="484">
        <f t="shared" si="230"/>
        <v>0</v>
      </c>
      <c r="M169" s="484">
        <f t="shared" si="233"/>
        <v>47.09</v>
      </c>
      <c r="N169" s="485">
        <f t="shared" si="194"/>
        <v>47.09</v>
      </c>
      <c r="O169" s="485">
        <f t="shared" si="229"/>
        <v>0</v>
      </c>
      <c r="P169" s="485">
        <f t="shared" si="229"/>
        <v>0</v>
      </c>
      <c r="Q169" s="485">
        <f t="shared" si="195"/>
        <v>0</v>
      </c>
      <c r="R169" s="484">
        <f t="shared" si="196"/>
        <v>0</v>
      </c>
      <c r="S169" s="485">
        <f t="shared" si="197"/>
        <v>2047</v>
      </c>
      <c r="T169" s="488">
        <f t="shared" si="234"/>
        <v>2445.06</v>
      </c>
      <c r="U169" s="487">
        <v>1596.91</v>
      </c>
      <c r="V169" s="486">
        <f t="shared" si="198"/>
        <v>3.7382800000000001E-3</v>
      </c>
      <c r="W169" s="484">
        <f t="shared" si="235"/>
        <v>105.14</v>
      </c>
      <c r="X169" s="484">
        <v>0</v>
      </c>
      <c r="Y169" s="484">
        <f t="shared" si="238"/>
        <v>63.08</v>
      </c>
      <c r="Z169" s="484">
        <f t="shared" si="238"/>
        <v>-3.8</v>
      </c>
      <c r="AA169" s="484">
        <f t="shared" si="238"/>
        <v>-1.41</v>
      </c>
      <c r="AB169" s="485">
        <f t="shared" si="199"/>
        <v>163.01</v>
      </c>
      <c r="AC169" s="485">
        <f t="shared" si="236"/>
        <v>-29.35</v>
      </c>
      <c r="AD169" s="498">
        <f t="shared" si="239"/>
        <v>-41.12</v>
      </c>
      <c r="AE169" s="498">
        <v>0</v>
      </c>
      <c r="AF169" s="485">
        <f t="shared" si="200"/>
        <v>-41.12</v>
      </c>
      <c r="AG169" s="484">
        <f t="shared" si="201"/>
        <v>-70.47</v>
      </c>
      <c r="AH169" s="381">
        <f t="shared" si="202"/>
        <v>1689.45</v>
      </c>
      <c r="AI169" s="483">
        <f t="shared" si="203"/>
        <v>3736.45</v>
      </c>
      <c r="AJ169" s="483">
        <f t="shared" si="228"/>
        <v>4432.83</v>
      </c>
      <c r="AK169" s="83"/>
      <c r="AL169" s="114">
        <f t="shared" si="204"/>
        <v>1999.91</v>
      </c>
      <c r="AM169" s="497">
        <f t="shared" si="237"/>
        <v>2970.29</v>
      </c>
      <c r="AN169" s="192">
        <f t="shared" si="205"/>
        <v>0</v>
      </c>
      <c r="AO169" s="114">
        <f t="shared" si="206"/>
        <v>-224.24</v>
      </c>
      <c r="AP169" s="137">
        <f t="shared" si="207"/>
        <v>0</v>
      </c>
      <c r="AQ169" s="137">
        <f t="shared" si="208"/>
        <v>47.09</v>
      </c>
      <c r="AR169" s="84">
        <f t="shared" si="209"/>
        <v>47.09</v>
      </c>
      <c r="AS169" s="84">
        <f t="shared" si="210"/>
        <v>0</v>
      </c>
      <c r="AT169" s="84">
        <f t="shared" si="211"/>
        <v>0</v>
      </c>
      <c r="AU169" s="84">
        <f t="shared" si="212"/>
        <v>0</v>
      </c>
      <c r="AV169" s="84">
        <f t="shared" si="213"/>
        <v>0</v>
      </c>
      <c r="AW169" s="487">
        <v>1596.91</v>
      </c>
      <c r="AX169" s="137">
        <f t="shared" si="214"/>
        <v>105.14</v>
      </c>
      <c r="AY169" s="137">
        <f t="shared" si="215"/>
        <v>0</v>
      </c>
      <c r="AZ169" s="137">
        <f t="shared" si="216"/>
        <v>63.08</v>
      </c>
      <c r="BA169" s="137">
        <f t="shared" si="217"/>
        <v>-3.8</v>
      </c>
      <c r="BB169" s="137">
        <f t="shared" si="218"/>
        <v>-1.41</v>
      </c>
      <c r="BC169" s="84">
        <f t="shared" si="219"/>
        <v>163.01</v>
      </c>
      <c r="BD169" s="84">
        <f t="shared" si="220"/>
        <v>-29.35</v>
      </c>
      <c r="BE169" s="84">
        <f t="shared" si="221"/>
        <v>-41.12</v>
      </c>
      <c r="BF169" s="116">
        <f t="shared" si="222"/>
        <v>-70.47</v>
      </c>
      <c r="BG169" s="496">
        <f t="shared" si="223"/>
        <v>2793.14</v>
      </c>
      <c r="BH169" s="496">
        <f t="shared" si="224"/>
        <v>1689.45</v>
      </c>
      <c r="BI169" s="496">
        <f t="shared" si="225"/>
        <v>4482.59</v>
      </c>
    </row>
    <row r="170" spans="1:61" s="480" customFormat="1" ht="16.149999999999999" customHeight="1">
      <c r="A170" s="495" t="s">
        <v>195</v>
      </c>
      <c r="B170" s="494" t="s">
        <v>338</v>
      </c>
      <c r="C170" s="493" t="s">
        <v>62</v>
      </c>
      <c r="D170" s="385" t="s">
        <v>12</v>
      </c>
      <c r="E170" s="314">
        <v>20090</v>
      </c>
      <c r="F170" s="500">
        <v>10</v>
      </c>
      <c r="G170" s="491">
        <v>5999.83</v>
      </c>
      <c r="H170" s="485">
        <v>0</v>
      </c>
      <c r="I170" s="490">
        <f t="shared" si="193"/>
        <v>5999.83</v>
      </c>
      <c r="J170" s="489">
        <f t="shared" si="231"/>
        <v>1.1215030000000001E-2</v>
      </c>
      <c r="K170" s="484">
        <f t="shared" si="232"/>
        <v>-672.74</v>
      </c>
      <c r="L170" s="484">
        <f t="shared" si="230"/>
        <v>0</v>
      </c>
      <c r="M170" s="484">
        <f t="shared" si="233"/>
        <v>141.27000000000001</v>
      </c>
      <c r="N170" s="485">
        <f t="shared" si="194"/>
        <v>141.27000000000001</v>
      </c>
      <c r="O170" s="485">
        <f t="shared" si="229"/>
        <v>0</v>
      </c>
      <c r="P170" s="485">
        <f t="shared" si="229"/>
        <v>0</v>
      </c>
      <c r="Q170" s="485">
        <f t="shared" si="195"/>
        <v>0</v>
      </c>
      <c r="R170" s="484">
        <f t="shared" si="196"/>
        <v>0</v>
      </c>
      <c r="S170" s="485">
        <f t="shared" si="197"/>
        <v>6141.1</v>
      </c>
      <c r="T170" s="488">
        <f t="shared" si="234"/>
        <v>7335.29</v>
      </c>
      <c r="U170" s="487">
        <v>5747.11</v>
      </c>
      <c r="V170" s="486">
        <f t="shared" si="198"/>
        <v>1.1215030000000001E-2</v>
      </c>
      <c r="W170" s="484">
        <f t="shared" si="235"/>
        <v>315.41000000000003</v>
      </c>
      <c r="X170" s="484">
        <v>0</v>
      </c>
      <c r="Y170" s="484">
        <f t="shared" si="238"/>
        <v>189.25</v>
      </c>
      <c r="Z170" s="484">
        <f t="shared" si="238"/>
        <v>-11.4</v>
      </c>
      <c r="AA170" s="484">
        <f t="shared" si="238"/>
        <v>-4.22</v>
      </c>
      <c r="AB170" s="485">
        <f t="shared" si="199"/>
        <v>489.04</v>
      </c>
      <c r="AC170" s="485">
        <f t="shared" si="236"/>
        <v>-88.04</v>
      </c>
      <c r="AD170" s="498">
        <f t="shared" si="239"/>
        <v>-41.12</v>
      </c>
      <c r="AE170" s="498">
        <v>0</v>
      </c>
      <c r="AF170" s="485">
        <f t="shared" si="200"/>
        <v>-41.12</v>
      </c>
      <c r="AG170" s="484">
        <f t="shared" si="201"/>
        <v>-129.16</v>
      </c>
      <c r="AH170" s="381">
        <f t="shared" si="202"/>
        <v>6106.99</v>
      </c>
      <c r="AI170" s="483">
        <f t="shared" si="203"/>
        <v>12248.09</v>
      </c>
      <c r="AJ170" s="483">
        <f t="shared" si="228"/>
        <v>14530.82</v>
      </c>
      <c r="AK170" s="83"/>
      <c r="AL170" s="114">
        <f t="shared" si="204"/>
        <v>5999.83</v>
      </c>
      <c r="AM170" s="497">
        <f t="shared" si="237"/>
        <v>8911.01</v>
      </c>
      <c r="AN170" s="192">
        <f t="shared" si="205"/>
        <v>0</v>
      </c>
      <c r="AO170" s="114">
        <f t="shared" si="206"/>
        <v>-672.74</v>
      </c>
      <c r="AP170" s="137">
        <f t="shared" si="207"/>
        <v>0</v>
      </c>
      <c r="AQ170" s="137">
        <f t="shared" si="208"/>
        <v>141.27000000000001</v>
      </c>
      <c r="AR170" s="84">
        <f t="shared" si="209"/>
        <v>141.27000000000001</v>
      </c>
      <c r="AS170" s="84">
        <f t="shared" si="210"/>
        <v>0</v>
      </c>
      <c r="AT170" s="84">
        <f t="shared" si="211"/>
        <v>0</v>
      </c>
      <c r="AU170" s="84">
        <f t="shared" si="212"/>
        <v>0</v>
      </c>
      <c r="AV170" s="84">
        <f t="shared" si="213"/>
        <v>0</v>
      </c>
      <c r="AW170" s="487">
        <v>5747.11</v>
      </c>
      <c r="AX170" s="137">
        <f t="shared" si="214"/>
        <v>315.41000000000003</v>
      </c>
      <c r="AY170" s="137">
        <f t="shared" si="215"/>
        <v>0</v>
      </c>
      <c r="AZ170" s="137">
        <f t="shared" si="216"/>
        <v>189.25</v>
      </c>
      <c r="BA170" s="137">
        <f t="shared" si="217"/>
        <v>-11.4</v>
      </c>
      <c r="BB170" s="137">
        <f t="shared" si="218"/>
        <v>-4.22</v>
      </c>
      <c r="BC170" s="84">
        <f t="shared" si="219"/>
        <v>489.04</v>
      </c>
      <c r="BD170" s="84">
        <f t="shared" si="220"/>
        <v>-88.04</v>
      </c>
      <c r="BE170" s="84">
        <f t="shared" si="221"/>
        <v>-41.12</v>
      </c>
      <c r="BF170" s="116">
        <f t="shared" si="222"/>
        <v>-129.16</v>
      </c>
      <c r="BG170" s="496">
        <f t="shared" si="223"/>
        <v>8379.5400000000009</v>
      </c>
      <c r="BH170" s="496">
        <f t="shared" si="224"/>
        <v>6106.99</v>
      </c>
      <c r="BI170" s="496">
        <f t="shared" si="225"/>
        <v>14486.53</v>
      </c>
    </row>
    <row r="171" spans="1:61" s="480" customFormat="1" ht="16.149999999999999" customHeight="1">
      <c r="A171" s="495" t="s">
        <v>195</v>
      </c>
      <c r="B171" s="494" t="s">
        <v>383</v>
      </c>
      <c r="C171" s="615" t="s">
        <v>63</v>
      </c>
      <c r="D171" s="385" t="s">
        <v>12</v>
      </c>
      <c r="E171" s="314">
        <v>13516</v>
      </c>
      <c r="F171" s="499"/>
      <c r="G171" s="491">
        <v>1999.91</v>
      </c>
      <c r="H171" s="485">
        <v>0</v>
      </c>
      <c r="I171" s="490">
        <f t="shared" si="193"/>
        <v>1999.91</v>
      </c>
      <c r="J171" s="489">
        <f t="shared" si="231"/>
        <v>3.7382800000000001E-3</v>
      </c>
      <c r="K171" s="484">
        <f t="shared" si="232"/>
        <v>-224.24</v>
      </c>
      <c r="L171" s="484">
        <f t="shared" si="230"/>
        <v>0</v>
      </c>
      <c r="M171" s="484">
        <f t="shared" si="233"/>
        <v>47.09</v>
      </c>
      <c r="N171" s="485">
        <f t="shared" si="194"/>
        <v>47.09</v>
      </c>
      <c r="O171" s="485">
        <f t="shared" si="229"/>
        <v>0</v>
      </c>
      <c r="P171" s="485">
        <f t="shared" si="229"/>
        <v>0</v>
      </c>
      <c r="Q171" s="485">
        <f t="shared" si="195"/>
        <v>0</v>
      </c>
      <c r="R171" s="484">
        <f t="shared" si="196"/>
        <v>0</v>
      </c>
      <c r="S171" s="485">
        <f t="shared" si="197"/>
        <v>2047</v>
      </c>
      <c r="T171" s="488">
        <f t="shared" si="234"/>
        <v>2445.06</v>
      </c>
      <c r="U171" s="487">
        <v>2075.08</v>
      </c>
      <c r="V171" s="486">
        <f t="shared" si="198"/>
        <v>3.7382800000000001E-3</v>
      </c>
      <c r="W171" s="484">
        <f t="shared" si="235"/>
        <v>105.14</v>
      </c>
      <c r="X171" s="484">
        <v>0</v>
      </c>
      <c r="Y171" s="484">
        <f t="shared" si="238"/>
        <v>63.08</v>
      </c>
      <c r="Z171" s="484">
        <f t="shared" si="238"/>
        <v>-3.8</v>
      </c>
      <c r="AA171" s="484">
        <f t="shared" si="238"/>
        <v>-1.41</v>
      </c>
      <c r="AB171" s="485">
        <f t="shared" si="199"/>
        <v>163.01</v>
      </c>
      <c r="AC171" s="485">
        <f t="shared" si="236"/>
        <v>-29.35</v>
      </c>
      <c r="AD171" s="498">
        <v>0</v>
      </c>
      <c r="AE171" s="498">
        <v>0</v>
      </c>
      <c r="AF171" s="485">
        <f t="shared" si="200"/>
        <v>0</v>
      </c>
      <c r="AG171" s="484">
        <f t="shared" si="201"/>
        <v>-29.35</v>
      </c>
      <c r="AH171" s="381">
        <f t="shared" si="202"/>
        <v>2208.7399999999998</v>
      </c>
      <c r="AI171" s="483">
        <f t="shared" si="203"/>
        <v>4255.74</v>
      </c>
      <c r="AJ171" s="483">
        <f t="shared" si="228"/>
        <v>5048.8999999999996</v>
      </c>
      <c r="AK171" s="83"/>
      <c r="AL171" s="114">
        <f t="shared" si="204"/>
        <v>1999.91</v>
      </c>
      <c r="AM171" s="497">
        <f t="shared" si="237"/>
        <v>2970.29</v>
      </c>
      <c r="AN171" s="192">
        <f t="shared" si="205"/>
        <v>0</v>
      </c>
      <c r="AO171" s="114">
        <f t="shared" si="206"/>
        <v>-224.24</v>
      </c>
      <c r="AP171" s="137">
        <f t="shared" si="207"/>
        <v>0</v>
      </c>
      <c r="AQ171" s="137">
        <f t="shared" si="208"/>
        <v>47.09</v>
      </c>
      <c r="AR171" s="84">
        <f t="shared" si="209"/>
        <v>47.09</v>
      </c>
      <c r="AS171" s="84">
        <f t="shared" si="210"/>
        <v>0</v>
      </c>
      <c r="AT171" s="84">
        <f t="shared" si="211"/>
        <v>0</v>
      </c>
      <c r="AU171" s="84">
        <f t="shared" si="212"/>
        <v>0</v>
      </c>
      <c r="AV171" s="84">
        <f t="shared" si="213"/>
        <v>0</v>
      </c>
      <c r="AW171" s="487">
        <v>2075.08</v>
      </c>
      <c r="AX171" s="137">
        <f t="shared" si="214"/>
        <v>105.14</v>
      </c>
      <c r="AY171" s="137">
        <f t="shared" si="215"/>
        <v>0</v>
      </c>
      <c r="AZ171" s="137">
        <f t="shared" si="216"/>
        <v>63.08</v>
      </c>
      <c r="BA171" s="137">
        <f t="shared" si="217"/>
        <v>-3.8</v>
      </c>
      <c r="BB171" s="137">
        <f t="shared" si="218"/>
        <v>-1.41</v>
      </c>
      <c r="BC171" s="84">
        <f t="shared" si="219"/>
        <v>163.01</v>
      </c>
      <c r="BD171" s="84">
        <f t="shared" si="220"/>
        <v>-29.35</v>
      </c>
      <c r="BE171" s="84">
        <f t="shared" si="221"/>
        <v>0</v>
      </c>
      <c r="BF171" s="116">
        <f t="shared" si="222"/>
        <v>-29.35</v>
      </c>
      <c r="BG171" s="496">
        <f t="shared" si="223"/>
        <v>2793.14</v>
      </c>
      <c r="BH171" s="496">
        <f t="shared" si="224"/>
        <v>2208.7399999999998</v>
      </c>
      <c r="BI171" s="496">
        <f t="shared" si="225"/>
        <v>5001.88</v>
      </c>
    </row>
    <row r="172" spans="1:61" s="480" customFormat="1" ht="16.149999999999999" customHeight="1">
      <c r="A172" s="495" t="s">
        <v>195</v>
      </c>
      <c r="B172" s="494" t="s">
        <v>329</v>
      </c>
      <c r="C172" s="493" t="s">
        <v>62</v>
      </c>
      <c r="D172" s="385" t="s">
        <v>12</v>
      </c>
      <c r="E172" s="314">
        <v>9498</v>
      </c>
      <c r="F172" s="500">
        <v>10</v>
      </c>
      <c r="G172" s="491">
        <v>1999.91</v>
      </c>
      <c r="H172" s="485">
        <v>0</v>
      </c>
      <c r="I172" s="490">
        <f t="shared" ref="I172:I181" si="240">G172+H172</f>
        <v>1999.91</v>
      </c>
      <c r="J172" s="489">
        <f t="shared" si="231"/>
        <v>3.7382800000000001E-3</v>
      </c>
      <c r="K172" s="484">
        <f t="shared" si="232"/>
        <v>-224.24</v>
      </c>
      <c r="L172" s="484">
        <f t="shared" si="230"/>
        <v>0</v>
      </c>
      <c r="M172" s="484">
        <f t="shared" si="233"/>
        <v>47.09</v>
      </c>
      <c r="N172" s="485">
        <f t="shared" ref="N172:N181" si="241">L172+M172</f>
        <v>47.09</v>
      </c>
      <c r="O172" s="485">
        <f t="shared" ref="O172:P181" si="242">$J172*O$184</f>
        <v>0</v>
      </c>
      <c r="P172" s="485">
        <f t="shared" si="242"/>
        <v>0</v>
      </c>
      <c r="Q172" s="485">
        <f t="shared" ref="Q172:Q181" si="243">Q$184*J172</f>
        <v>0</v>
      </c>
      <c r="R172" s="484">
        <f t="shared" ref="R172:R181" si="244">P172+Q172</f>
        <v>0</v>
      </c>
      <c r="S172" s="485">
        <f t="shared" ref="S172:S181" si="245">G172+H172+N172+O172+R172</f>
        <v>2047</v>
      </c>
      <c r="T172" s="488">
        <f t="shared" si="234"/>
        <v>2445.06</v>
      </c>
      <c r="U172" s="487">
        <v>1596.91</v>
      </c>
      <c r="V172" s="486">
        <f t="shared" ref="V172:V181" si="246">J172</f>
        <v>3.7382800000000001E-3</v>
      </c>
      <c r="W172" s="484">
        <f t="shared" si="235"/>
        <v>105.14</v>
      </c>
      <c r="X172" s="484">
        <v>0</v>
      </c>
      <c r="Y172" s="484">
        <f t="shared" si="238"/>
        <v>63.08</v>
      </c>
      <c r="Z172" s="484">
        <f t="shared" si="238"/>
        <v>-3.8</v>
      </c>
      <c r="AA172" s="484">
        <f t="shared" si="238"/>
        <v>-1.41</v>
      </c>
      <c r="AB172" s="485">
        <f t="shared" ref="AB172:AB181" si="247">SUM(W172:AA172)</f>
        <v>163.01</v>
      </c>
      <c r="AC172" s="485">
        <f t="shared" si="236"/>
        <v>-29.35</v>
      </c>
      <c r="AD172" s="498">
        <f>(F172/F$184)*AD$184</f>
        <v>-41.12</v>
      </c>
      <c r="AE172" s="498">
        <v>0</v>
      </c>
      <c r="AF172" s="485">
        <f t="shared" ref="AF172:AF181" si="248">AD172+AE172</f>
        <v>-41.12</v>
      </c>
      <c r="AG172" s="484">
        <f t="shared" ref="AG172:AG181" si="249">AC172+AF172</f>
        <v>-70.47</v>
      </c>
      <c r="AH172" s="381">
        <f t="shared" ref="AH172:AH181" si="250">U172+AB172+AG172</f>
        <v>1689.45</v>
      </c>
      <c r="AI172" s="483">
        <f t="shared" ref="AI172:AI181" si="251">S172+AH172</f>
        <v>3736.45</v>
      </c>
      <c r="AJ172" s="483">
        <f t="shared" si="228"/>
        <v>4432.83</v>
      </c>
      <c r="AK172" s="83"/>
      <c r="AL172" s="114">
        <f t="shared" ref="AL172:AL181" si="252">G172</f>
        <v>1999.91</v>
      </c>
      <c r="AM172" s="497">
        <f t="shared" si="237"/>
        <v>2970.29</v>
      </c>
      <c r="AN172" s="192">
        <f t="shared" ref="AN172:AN181" si="253">H172</f>
        <v>0</v>
      </c>
      <c r="AO172" s="114">
        <f t="shared" ref="AO172:AO181" si="254">K172</f>
        <v>-224.24</v>
      </c>
      <c r="AP172" s="137">
        <f t="shared" ref="AP172:AP181" si="255">L172</f>
        <v>0</v>
      </c>
      <c r="AQ172" s="137">
        <f t="shared" ref="AQ172:AQ181" si="256">M172</f>
        <v>47.09</v>
      </c>
      <c r="AR172" s="84">
        <f t="shared" ref="AR172:AR181" si="257">AP172+AQ172</f>
        <v>47.09</v>
      </c>
      <c r="AS172" s="84">
        <f t="shared" ref="AS172:AS181" si="258">O172</f>
        <v>0</v>
      </c>
      <c r="AT172" s="84">
        <f t="shared" ref="AT172:AT181" si="259">P172</f>
        <v>0</v>
      </c>
      <c r="AU172" s="84">
        <f t="shared" ref="AU172:AU181" si="260">Q172</f>
        <v>0</v>
      </c>
      <c r="AV172" s="84">
        <f t="shared" ref="AV172:AV181" si="261">AT172+AU172</f>
        <v>0</v>
      </c>
      <c r="AW172" s="487">
        <v>1596.91</v>
      </c>
      <c r="AX172" s="137">
        <f t="shared" ref="AX172:AX181" si="262">W172</f>
        <v>105.14</v>
      </c>
      <c r="AY172" s="137">
        <f t="shared" ref="AY172:AY181" si="263">X172</f>
        <v>0</v>
      </c>
      <c r="AZ172" s="137">
        <f t="shared" ref="AZ172:AZ181" si="264">Y172</f>
        <v>63.08</v>
      </c>
      <c r="BA172" s="137">
        <f t="shared" ref="BA172:BA181" si="265">Z172</f>
        <v>-3.8</v>
      </c>
      <c r="BB172" s="137">
        <f t="shared" ref="BB172:BB181" si="266">AA172</f>
        <v>-1.41</v>
      </c>
      <c r="BC172" s="84">
        <f t="shared" ref="BC172:BC181" si="267">SUM(AX172:BB172)</f>
        <v>163.01</v>
      </c>
      <c r="BD172" s="84">
        <f t="shared" ref="BD172:BD181" si="268">AC172</f>
        <v>-29.35</v>
      </c>
      <c r="BE172" s="84">
        <f t="shared" ref="BE172:BE181" si="269">AF172</f>
        <v>-41.12</v>
      </c>
      <c r="BF172" s="116">
        <f t="shared" ref="BF172:BF181" si="270">BD172+BE172</f>
        <v>-70.47</v>
      </c>
      <c r="BG172" s="496">
        <f t="shared" ref="BG172:BG181" si="271">AM172+AN172+AO172+AR172+AS172+AV172</f>
        <v>2793.14</v>
      </c>
      <c r="BH172" s="496">
        <f t="shared" ref="BH172:BH181" si="272">AW172+BC172+BF172</f>
        <v>1689.45</v>
      </c>
      <c r="BI172" s="496">
        <f t="shared" ref="BI172:BI181" si="273">AM172+AN172+AO172+AR172+AS172+AV172+AW172+BC172+BF172</f>
        <v>4482.59</v>
      </c>
    </row>
    <row r="173" spans="1:61" s="480" customFormat="1" ht="16.149999999999999" customHeight="1">
      <c r="A173" s="495" t="s">
        <v>195</v>
      </c>
      <c r="B173" s="494" t="s">
        <v>330</v>
      </c>
      <c r="C173" s="493" t="s">
        <v>62</v>
      </c>
      <c r="D173" s="385" t="s">
        <v>12</v>
      </c>
      <c r="E173" s="314">
        <v>9863</v>
      </c>
      <c r="F173" s="500">
        <v>10</v>
      </c>
      <c r="G173" s="491">
        <v>3999.9</v>
      </c>
      <c r="H173" s="485">
        <v>0</v>
      </c>
      <c r="I173" s="490">
        <f t="shared" si="240"/>
        <v>3999.9</v>
      </c>
      <c r="J173" s="489">
        <f t="shared" si="231"/>
        <v>7.4767100000000001E-3</v>
      </c>
      <c r="K173" s="484">
        <f t="shared" si="232"/>
        <v>-448.49</v>
      </c>
      <c r="L173" s="484">
        <f t="shared" si="230"/>
        <v>0</v>
      </c>
      <c r="M173" s="484">
        <f t="shared" si="233"/>
        <v>94.18</v>
      </c>
      <c r="N173" s="485">
        <f t="shared" si="241"/>
        <v>94.18</v>
      </c>
      <c r="O173" s="485">
        <f t="shared" si="242"/>
        <v>0</v>
      </c>
      <c r="P173" s="485">
        <f t="shared" si="242"/>
        <v>0</v>
      </c>
      <c r="Q173" s="485">
        <f t="shared" si="243"/>
        <v>0</v>
      </c>
      <c r="R173" s="484">
        <f t="shared" si="244"/>
        <v>0</v>
      </c>
      <c r="S173" s="485">
        <f t="shared" si="245"/>
        <v>4094.08</v>
      </c>
      <c r="T173" s="488">
        <f t="shared" si="234"/>
        <v>4890.21</v>
      </c>
      <c r="U173" s="487">
        <v>3672.03</v>
      </c>
      <c r="V173" s="486">
        <f t="shared" si="246"/>
        <v>7.4767100000000001E-3</v>
      </c>
      <c r="W173" s="484">
        <f t="shared" si="235"/>
        <v>210.27</v>
      </c>
      <c r="X173" s="484">
        <v>0</v>
      </c>
      <c r="Y173" s="484">
        <f t="shared" si="238"/>
        <v>126.16</v>
      </c>
      <c r="Z173" s="484">
        <f t="shared" si="238"/>
        <v>-7.6</v>
      </c>
      <c r="AA173" s="484">
        <f t="shared" si="238"/>
        <v>-2.82</v>
      </c>
      <c r="AB173" s="485">
        <f t="shared" si="247"/>
        <v>326.01</v>
      </c>
      <c r="AC173" s="485">
        <f t="shared" si="236"/>
        <v>-58.7</v>
      </c>
      <c r="AD173" s="498">
        <f>(F173/F$184)*AD$184</f>
        <v>-41.12</v>
      </c>
      <c r="AE173" s="498">
        <v>0</v>
      </c>
      <c r="AF173" s="485">
        <f t="shared" si="248"/>
        <v>-41.12</v>
      </c>
      <c r="AG173" s="484">
        <f t="shared" si="249"/>
        <v>-99.82</v>
      </c>
      <c r="AH173" s="381">
        <f t="shared" si="250"/>
        <v>3898.22</v>
      </c>
      <c r="AI173" s="483">
        <f t="shared" si="251"/>
        <v>7992.3</v>
      </c>
      <c r="AJ173" s="483">
        <f t="shared" si="228"/>
        <v>9481.86</v>
      </c>
      <c r="AK173" s="83"/>
      <c r="AL173" s="114">
        <f t="shared" si="252"/>
        <v>3999.9</v>
      </c>
      <c r="AM173" s="497">
        <f t="shared" si="237"/>
        <v>5940.69</v>
      </c>
      <c r="AN173" s="192">
        <f t="shared" si="253"/>
        <v>0</v>
      </c>
      <c r="AO173" s="114">
        <f t="shared" si="254"/>
        <v>-448.49</v>
      </c>
      <c r="AP173" s="137">
        <f t="shared" si="255"/>
        <v>0</v>
      </c>
      <c r="AQ173" s="137">
        <f t="shared" si="256"/>
        <v>94.18</v>
      </c>
      <c r="AR173" s="84">
        <f t="shared" si="257"/>
        <v>94.18</v>
      </c>
      <c r="AS173" s="84">
        <f t="shared" si="258"/>
        <v>0</v>
      </c>
      <c r="AT173" s="84">
        <f t="shared" si="259"/>
        <v>0</v>
      </c>
      <c r="AU173" s="84">
        <f t="shared" si="260"/>
        <v>0</v>
      </c>
      <c r="AV173" s="84">
        <f t="shared" si="261"/>
        <v>0</v>
      </c>
      <c r="AW173" s="487">
        <v>3672.03</v>
      </c>
      <c r="AX173" s="137">
        <f t="shared" si="262"/>
        <v>210.27</v>
      </c>
      <c r="AY173" s="137">
        <f t="shared" si="263"/>
        <v>0</v>
      </c>
      <c r="AZ173" s="137">
        <f t="shared" si="264"/>
        <v>126.16</v>
      </c>
      <c r="BA173" s="137">
        <f t="shared" si="265"/>
        <v>-7.6</v>
      </c>
      <c r="BB173" s="137">
        <f t="shared" si="266"/>
        <v>-2.82</v>
      </c>
      <c r="BC173" s="84">
        <f t="shared" si="267"/>
        <v>326.01</v>
      </c>
      <c r="BD173" s="84">
        <f t="shared" si="268"/>
        <v>-58.7</v>
      </c>
      <c r="BE173" s="84">
        <f t="shared" si="269"/>
        <v>-41.12</v>
      </c>
      <c r="BF173" s="116">
        <f t="shared" si="270"/>
        <v>-99.82</v>
      </c>
      <c r="BG173" s="496">
        <f t="shared" si="271"/>
        <v>5586.38</v>
      </c>
      <c r="BH173" s="496">
        <f t="shared" si="272"/>
        <v>3898.22</v>
      </c>
      <c r="BI173" s="496">
        <f t="shared" si="273"/>
        <v>9484.6</v>
      </c>
    </row>
    <row r="174" spans="1:61" s="480" customFormat="1" ht="16.149999999999999" customHeight="1">
      <c r="A174" s="495" t="s">
        <v>195</v>
      </c>
      <c r="B174" s="494" t="s">
        <v>379</v>
      </c>
      <c r="C174" s="615" t="s">
        <v>63</v>
      </c>
      <c r="D174" s="385" t="s">
        <v>12</v>
      </c>
      <c r="E174" s="314">
        <v>35431</v>
      </c>
      <c r="F174" s="499"/>
      <c r="G174" s="491">
        <v>693.97</v>
      </c>
      <c r="H174" s="485">
        <v>0</v>
      </c>
      <c r="I174" s="490">
        <f t="shared" si="240"/>
        <v>693.97</v>
      </c>
      <c r="J174" s="489">
        <f t="shared" si="231"/>
        <v>1.2971899999999999E-3</v>
      </c>
      <c r="K174" s="484">
        <f t="shared" si="232"/>
        <v>-77.81</v>
      </c>
      <c r="L174" s="484">
        <f t="shared" si="230"/>
        <v>0</v>
      </c>
      <c r="M174" s="484">
        <f t="shared" si="233"/>
        <v>16.34</v>
      </c>
      <c r="N174" s="485">
        <f t="shared" si="241"/>
        <v>16.34</v>
      </c>
      <c r="O174" s="485">
        <f t="shared" si="242"/>
        <v>0</v>
      </c>
      <c r="P174" s="485">
        <f t="shared" si="242"/>
        <v>0</v>
      </c>
      <c r="Q174" s="485">
        <f t="shared" si="243"/>
        <v>0</v>
      </c>
      <c r="R174" s="484">
        <f t="shared" si="244"/>
        <v>0</v>
      </c>
      <c r="S174" s="485">
        <f t="shared" si="245"/>
        <v>710.31</v>
      </c>
      <c r="T174" s="488">
        <f t="shared" si="234"/>
        <v>848.44</v>
      </c>
      <c r="U174" s="487">
        <v>720.05</v>
      </c>
      <c r="V174" s="486">
        <f t="shared" si="246"/>
        <v>1.2971899999999999E-3</v>
      </c>
      <c r="W174" s="484">
        <f t="shared" si="235"/>
        <v>36.479999999999997</v>
      </c>
      <c r="X174" s="484">
        <v>0</v>
      </c>
      <c r="Y174" s="484">
        <f t="shared" si="238"/>
        <v>21.89</v>
      </c>
      <c r="Z174" s="484">
        <f t="shared" si="238"/>
        <v>-1.32</v>
      </c>
      <c r="AA174" s="484">
        <f t="shared" si="238"/>
        <v>-0.49</v>
      </c>
      <c r="AB174" s="485">
        <f t="shared" si="247"/>
        <v>56.56</v>
      </c>
      <c r="AC174" s="485">
        <f t="shared" si="236"/>
        <v>-10.18</v>
      </c>
      <c r="AD174" s="498">
        <v>0</v>
      </c>
      <c r="AE174" s="498">
        <v>0</v>
      </c>
      <c r="AF174" s="485">
        <f t="shared" si="248"/>
        <v>0</v>
      </c>
      <c r="AG174" s="484">
        <f t="shared" si="249"/>
        <v>-10.18</v>
      </c>
      <c r="AH174" s="381">
        <f t="shared" si="250"/>
        <v>766.43</v>
      </c>
      <c r="AI174" s="483">
        <f t="shared" si="251"/>
        <v>1476.74</v>
      </c>
      <c r="AJ174" s="483">
        <f t="shared" si="228"/>
        <v>1751.97</v>
      </c>
      <c r="AK174" s="83"/>
      <c r="AL174" s="114">
        <f t="shared" si="252"/>
        <v>693.97</v>
      </c>
      <c r="AM174" s="497">
        <f t="shared" si="237"/>
        <v>1030.69</v>
      </c>
      <c r="AN174" s="192">
        <f t="shared" si="253"/>
        <v>0</v>
      </c>
      <c r="AO174" s="114">
        <f t="shared" si="254"/>
        <v>-77.81</v>
      </c>
      <c r="AP174" s="137">
        <f t="shared" si="255"/>
        <v>0</v>
      </c>
      <c r="AQ174" s="137">
        <f t="shared" si="256"/>
        <v>16.34</v>
      </c>
      <c r="AR174" s="84">
        <f t="shared" si="257"/>
        <v>16.34</v>
      </c>
      <c r="AS174" s="84">
        <f t="shared" si="258"/>
        <v>0</v>
      </c>
      <c r="AT174" s="84">
        <f t="shared" si="259"/>
        <v>0</v>
      </c>
      <c r="AU174" s="84">
        <f t="shared" si="260"/>
        <v>0</v>
      </c>
      <c r="AV174" s="84">
        <f t="shared" si="261"/>
        <v>0</v>
      </c>
      <c r="AW174" s="487">
        <v>720.05</v>
      </c>
      <c r="AX174" s="137">
        <f t="shared" si="262"/>
        <v>36.479999999999997</v>
      </c>
      <c r="AY174" s="137">
        <f t="shared" si="263"/>
        <v>0</v>
      </c>
      <c r="AZ174" s="137">
        <f t="shared" si="264"/>
        <v>21.89</v>
      </c>
      <c r="BA174" s="137">
        <f t="shared" si="265"/>
        <v>-1.32</v>
      </c>
      <c r="BB174" s="137">
        <f t="shared" si="266"/>
        <v>-0.49</v>
      </c>
      <c r="BC174" s="84">
        <f t="shared" si="267"/>
        <v>56.56</v>
      </c>
      <c r="BD174" s="84">
        <f t="shared" si="268"/>
        <v>-10.18</v>
      </c>
      <c r="BE174" s="84">
        <f t="shared" si="269"/>
        <v>0</v>
      </c>
      <c r="BF174" s="116">
        <f t="shared" si="270"/>
        <v>-10.18</v>
      </c>
      <c r="BG174" s="496">
        <f t="shared" si="271"/>
        <v>969.22</v>
      </c>
      <c r="BH174" s="496">
        <f t="shared" si="272"/>
        <v>766.43</v>
      </c>
      <c r="BI174" s="496">
        <f t="shared" si="273"/>
        <v>1735.65</v>
      </c>
    </row>
    <row r="175" spans="1:61" s="480" customFormat="1" ht="16.149999999999999" customHeight="1">
      <c r="A175" s="495" t="s">
        <v>195</v>
      </c>
      <c r="B175" s="494" t="s">
        <v>332</v>
      </c>
      <c r="C175" s="493" t="s">
        <v>62</v>
      </c>
      <c r="D175" s="385" t="s">
        <v>12</v>
      </c>
      <c r="E175" s="314">
        <v>5115</v>
      </c>
      <c r="F175" s="500">
        <v>10</v>
      </c>
      <c r="G175" s="491">
        <v>1999.91</v>
      </c>
      <c r="H175" s="485">
        <v>0</v>
      </c>
      <c r="I175" s="490">
        <f t="shared" si="240"/>
        <v>1999.91</v>
      </c>
      <c r="J175" s="489">
        <f t="shared" si="231"/>
        <v>3.7382800000000001E-3</v>
      </c>
      <c r="K175" s="484">
        <f t="shared" si="232"/>
        <v>-224.24</v>
      </c>
      <c r="L175" s="484">
        <f t="shared" si="230"/>
        <v>0</v>
      </c>
      <c r="M175" s="484">
        <f t="shared" si="233"/>
        <v>47.09</v>
      </c>
      <c r="N175" s="485">
        <f t="shared" si="241"/>
        <v>47.09</v>
      </c>
      <c r="O175" s="485">
        <f t="shared" si="242"/>
        <v>0</v>
      </c>
      <c r="P175" s="485">
        <f t="shared" si="242"/>
        <v>0</v>
      </c>
      <c r="Q175" s="485">
        <f t="shared" si="243"/>
        <v>0</v>
      </c>
      <c r="R175" s="484">
        <f t="shared" si="244"/>
        <v>0</v>
      </c>
      <c r="S175" s="485">
        <f t="shared" si="245"/>
        <v>2047</v>
      </c>
      <c r="T175" s="488">
        <f t="shared" si="234"/>
        <v>2445.06</v>
      </c>
      <c r="U175" s="487">
        <v>1596.91</v>
      </c>
      <c r="V175" s="486">
        <f t="shared" si="246"/>
        <v>3.7382800000000001E-3</v>
      </c>
      <c r="W175" s="484">
        <f t="shared" si="235"/>
        <v>105.14</v>
      </c>
      <c r="X175" s="484">
        <v>0</v>
      </c>
      <c r="Y175" s="484">
        <f t="shared" si="238"/>
        <v>63.08</v>
      </c>
      <c r="Z175" s="484">
        <f t="shared" si="238"/>
        <v>-3.8</v>
      </c>
      <c r="AA175" s="484">
        <f t="shared" si="238"/>
        <v>-1.41</v>
      </c>
      <c r="AB175" s="485">
        <f t="shared" si="247"/>
        <v>163.01</v>
      </c>
      <c r="AC175" s="485">
        <f t="shared" si="236"/>
        <v>-29.35</v>
      </c>
      <c r="AD175" s="498">
        <f>(F175/F$184)*AD$184</f>
        <v>-41.12</v>
      </c>
      <c r="AE175" s="498">
        <v>0</v>
      </c>
      <c r="AF175" s="485">
        <f t="shared" si="248"/>
        <v>-41.12</v>
      </c>
      <c r="AG175" s="484">
        <f t="shared" si="249"/>
        <v>-70.47</v>
      </c>
      <c r="AH175" s="381">
        <f t="shared" si="250"/>
        <v>1689.45</v>
      </c>
      <c r="AI175" s="483">
        <f t="shared" si="251"/>
        <v>3736.45</v>
      </c>
      <c r="AJ175" s="483">
        <f t="shared" si="228"/>
        <v>4432.83</v>
      </c>
      <c r="AK175" s="83"/>
      <c r="AL175" s="114">
        <f t="shared" si="252"/>
        <v>1999.91</v>
      </c>
      <c r="AM175" s="497">
        <f t="shared" si="237"/>
        <v>2970.29</v>
      </c>
      <c r="AN175" s="192">
        <f t="shared" si="253"/>
        <v>0</v>
      </c>
      <c r="AO175" s="114">
        <f t="shared" si="254"/>
        <v>-224.24</v>
      </c>
      <c r="AP175" s="137">
        <f t="shared" si="255"/>
        <v>0</v>
      </c>
      <c r="AQ175" s="137">
        <f t="shared" si="256"/>
        <v>47.09</v>
      </c>
      <c r="AR175" s="84">
        <f t="shared" si="257"/>
        <v>47.09</v>
      </c>
      <c r="AS175" s="84">
        <f t="shared" si="258"/>
        <v>0</v>
      </c>
      <c r="AT175" s="84">
        <f t="shared" si="259"/>
        <v>0</v>
      </c>
      <c r="AU175" s="84">
        <f t="shared" si="260"/>
        <v>0</v>
      </c>
      <c r="AV175" s="84">
        <f t="shared" si="261"/>
        <v>0</v>
      </c>
      <c r="AW175" s="487">
        <v>1596.91</v>
      </c>
      <c r="AX175" s="137">
        <f t="shared" si="262"/>
        <v>105.14</v>
      </c>
      <c r="AY175" s="137">
        <f t="shared" si="263"/>
        <v>0</v>
      </c>
      <c r="AZ175" s="137">
        <f t="shared" si="264"/>
        <v>63.08</v>
      </c>
      <c r="BA175" s="137">
        <f t="shared" si="265"/>
        <v>-3.8</v>
      </c>
      <c r="BB175" s="137">
        <f t="shared" si="266"/>
        <v>-1.41</v>
      </c>
      <c r="BC175" s="84">
        <f t="shared" si="267"/>
        <v>163.01</v>
      </c>
      <c r="BD175" s="84">
        <f t="shared" si="268"/>
        <v>-29.35</v>
      </c>
      <c r="BE175" s="84">
        <f t="shared" si="269"/>
        <v>-41.12</v>
      </c>
      <c r="BF175" s="116">
        <f t="shared" si="270"/>
        <v>-70.47</v>
      </c>
      <c r="BG175" s="496">
        <f t="shared" si="271"/>
        <v>2793.14</v>
      </c>
      <c r="BH175" s="496">
        <f t="shared" si="272"/>
        <v>1689.45</v>
      </c>
      <c r="BI175" s="496">
        <f t="shared" si="273"/>
        <v>4482.59</v>
      </c>
    </row>
    <row r="176" spans="1:61" s="480" customFormat="1" ht="16.149999999999999" customHeight="1">
      <c r="A176" s="495" t="s">
        <v>195</v>
      </c>
      <c r="B176" s="494" t="s">
        <v>331</v>
      </c>
      <c r="C176" s="493" t="s">
        <v>62</v>
      </c>
      <c r="D176" s="385" t="s">
        <v>12</v>
      </c>
      <c r="E176" s="314">
        <v>8037</v>
      </c>
      <c r="F176" s="500">
        <v>10</v>
      </c>
      <c r="G176" s="491">
        <v>1999.91</v>
      </c>
      <c r="H176" s="485">
        <v>0</v>
      </c>
      <c r="I176" s="490">
        <f t="shared" si="240"/>
        <v>1999.91</v>
      </c>
      <c r="J176" s="489">
        <f t="shared" si="231"/>
        <v>3.7382800000000001E-3</v>
      </c>
      <c r="K176" s="484">
        <f t="shared" si="232"/>
        <v>-224.24</v>
      </c>
      <c r="L176" s="484">
        <f t="shared" si="230"/>
        <v>0</v>
      </c>
      <c r="M176" s="484">
        <f t="shared" si="233"/>
        <v>47.09</v>
      </c>
      <c r="N176" s="485">
        <f t="shared" si="241"/>
        <v>47.09</v>
      </c>
      <c r="O176" s="485">
        <f t="shared" si="242"/>
        <v>0</v>
      </c>
      <c r="P176" s="485">
        <f t="shared" si="242"/>
        <v>0</v>
      </c>
      <c r="Q176" s="485">
        <f t="shared" si="243"/>
        <v>0</v>
      </c>
      <c r="R176" s="484">
        <f t="shared" si="244"/>
        <v>0</v>
      </c>
      <c r="S176" s="485">
        <f t="shared" si="245"/>
        <v>2047</v>
      </c>
      <c r="T176" s="488">
        <f t="shared" si="234"/>
        <v>2445.06</v>
      </c>
      <c r="U176" s="487">
        <v>1596.91</v>
      </c>
      <c r="V176" s="486">
        <f t="shared" si="246"/>
        <v>3.7382800000000001E-3</v>
      </c>
      <c r="W176" s="484">
        <f t="shared" si="235"/>
        <v>105.14</v>
      </c>
      <c r="X176" s="484">
        <v>0</v>
      </c>
      <c r="Y176" s="484">
        <f t="shared" si="238"/>
        <v>63.08</v>
      </c>
      <c r="Z176" s="484">
        <f t="shared" si="238"/>
        <v>-3.8</v>
      </c>
      <c r="AA176" s="484">
        <f t="shared" si="238"/>
        <v>-1.41</v>
      </c>
      <c r="AB176" s="485">
        <f t="shared" si="247"/>
        <v>163.01</v>
      </c>
      <c r="AC176" s="485">
        <f t="shared" si="236"/>
        <v>-29.35</v>
      </c>
      <c r="AD176" s="498">
        <f>(F176/F$184)*AD$184</f>
        <v>-41.12</v>
      </c>
      <c r="AE176" s="498">
        <v>0</v>
      </c>
      <c r="AF176" s="485">
        <f t="shared" si="248"/>
        <v>-41.12</v>
      </c>
      <c r="AG176" s="484">
        <f t="shared" si="249"/>
        <v>-70.47</v>
      </c>
      <c r="AH176" s="381">
        <f t="shared" si="250"/>
        <v>1689.45</v>
      </c>
      <c r="AI176" s="483">
        <f t="shared" si="251"/>
        <v>3736.45</v>
      </c>
      <c r="AJ176" s="483">
        <f t="shared" si="228"/>
        <v>4432.83</v>
      </c>
      <c r="AK176" s="83"/>
      <c r="AL176" s="114">
        <f t="shared" si="252"/>
        <v>1999.91</v>
      </c>
      <c r="AM176" s="497">
        <f t="shared" si="237"/>
        <v>2970.29</v>
      </c>
      <c r="AN176" s="192">
        <f t="shared" si="253"/>
        <v>0</v>
      </c>
      <c r="AO176" s="114">
        <f t="shared" si="254"/>
        <v>-224.24</v>
      </c>
      <c r="AP176" s="137">
        <f t="shared" si="255"/>
        <v>0</v>
      </c>
      <c r="AQ176" s="137">
        <f t="shared" si="256"/>
        <v>47.09</v>
      </c>
      <c r="AR176" s="84">
        <f t="shared" si="257"/>
        <v>47.09</v>
      </c>
      <c r="AS176" s="84">
        <f t="shared" si="258"/>
        <v>0</v>
      </c>
      <c r="AT176" s="84">
        <f t="shared" si="259"/>
        <v>0</v>
      </c>
      <c r="AU176" s="84">
        <f t="shared" si="260"/>
        <v>0</v>
      </c>
      <c r="AV176" s="84">
        <f t="shared" si="261"/>
        <v>0</v>
      </c>
      <c r="AW176" s="487">
        <v>1596.91</v>
      </c>
      <c r="AX176" s="137">
        <f t="shared" si="262"/>
        <v>105.14</v>
      </c>
      <c r="AY176" s="137">
        <f t="shared" si="263"/>
        <v>0</v>
      </c>
      <c r="AZ176" s="137">
        <f t="shared" si="264"/>
        <v>63.08</v>
      </c>
      <c r="BA176" s="137">
        <f t="shared" si="265"/>
        <v>-3.8</v>
      </c>
      <c r="BB176" s="137">
        <f t="shared" si="266"/>
        <v>-1.41</v>
      </c>
      <c r="BC176" s="84">
        <f t="shared" si="267"/>
        <v>163.01</v>
      </c>
      <c r="BD176" s="84">
        <f t="shared" si="268"/>
        <v>-29.35</v>
      </c>
      <c r="BE176" s="84">
        <f t="shared" si="269"/>
        <v>-41.12</v>
      </c>
      <c r="BF176" s="116">
        <f t="shared" si="270"/>
        <v>-70.47</v>
      </c>
      <c r="BG176" s="496">
        <f t="shared" si="271"/>
        <v>2793.14</v>
      </c>
      <c r="BH176" s="496">
        <f t="shared" si="272"/>
        <v>1689.45</v>
      </c>
      <c r="BI176" s="496">
        <f t="shared" si="273"/>
        <v>4482.59</v>
      </c>
    </row>
    <row r="177" spans="1:61" s="480" customFormat="1" ht="16.149999999999999" customHeight="1">
      <c r="A177" s="495" t="s">
        <v>195</v>
      </c>
      <c r="B177" s="494" t="s">
        <v>333</v>
      </c>
      <c r="C177" s="493" t="s">
        <v>62</v>
      </c>
      <c r="D177" s="385" t="s">
        <v>12</v>
      </c>
      <c r="E177" s="314">
        <v>3654</v>
      </c>
      <c r="F177" s="500">
        <v>10</v>
      </c>
      <c r="G177" s="491">
        <v>1999.91</v>
      </c>
      <c r="H177" s="485">
        <v>0</v>
      </c>
      <c r="I177" s="490">
        <f t="shared" si="240"/>
        <v>1999.91</v>
      </c>
      <c r="J177" s="489">
        <f t="shared" si="231"/>
        <v>3.7382800000000001E-3</v>
      </c>
      <c r="K177" s="484">
        <f t="shared" si="232"/>
        <v>-224.24</v>
      </c>
      <c r="L177" s="484">
        <f t="shared" si="230"/>
        <v>0</v>
      </c>
      <c r="M177" s="484">
        <f t="shared" si="233"/>
        <v>47.09</v>
      </c>
      <c r="N177" s="485">
        <f t="shared" si="241"/>
        <v>47.09</v>
      </c>
      <c r="O177" s="485">
        <f t="shared" si="242"/>
        <v>0</v>
      </c>
      <c r="P177" s="485">
        <f t="shared" si="242"/>
        <v>0</v>
      </c>
      <c r="Q177" s="485">
        <f t="shared" si="243"/>
        <v>0</v>
      </c>
      <c r="R177" s="484">
        <f t="shared" si="244"/>
        <v>0</v>
      </c>
      <c r="S177" s="485">
        <f t="shared" si="245"/>
        <v>2047</v>
      </c>
      <c r="T177" s="488">
        <f t="shared" si="234"/>
        <v>2445.06</v>
      </c>
      <c r="U177" s="487">
        <v>1596.91</v>
      </c>
      <c r="V177" s="486">
        <f t="shared" si="246"/>
        <v>3.7382800000000001E-3</v>
      </c>
      <c r="W177" s="484">
        <f t="shared" si="235"/>
        <v>105.14</v>
      </c>
      <c r="X177" s="484">
        <v>0</v>
      </c>
      <c r="Y177" s="484">
        <f t="shared" si="238"/>
        <v>63.08</v>
      </c>
      <c r="Z177" s="484">
        <f t="shared" si="238"/>
        <v>-3.8</v>
      </c>
      <c r="AA177" s="484">
        <f t="shared" si="238"/>
        <v>-1.41</v>
      </c>
      <c r="AB177" s="485">
        <f t="shared" si="247"/>
        <v>163.01</v>
      </c>
      <c r="AC177" s="485">
        <f t="shared" si="236"/>
        <v>-29.35</v>
      </c>
      <c r="AD177" s="498">
        <f>(F177/F$184)*AD$184</f>
        <v>-41.12</v>
      </c>
      <c r="AE177" s="498">
        <v>0</v>
      </c>
      <c r="AF177" s="485">
        <f t="shared" si="248"/>
        <v>-41.12</v>
      </c>
      <c r="AG177" s="484">
        <f t="shared" si="249"/>
        <v>-70.47</v>
      </c>
      <c r="AH177" s="381">
        <f t="shared" si="250"/>
        <v>1689.45</v>
      </c>
      <c r="AI177" s="483">
        <f t="shared" si="251"/>
        <v>3736.45</v>
      </c>
      <c r="AJ177" s="483">
        <f t="shared" si="228"/>
        <v>4432.83</v>
      </c>
      <c r="AK177" s="83"/>
      <c r="AL177" s="114">
        <f t="shared" si="252"/>
        <v>1999.91</v>
      </c>
      <c r="AM177" s="497">
        <f t="shared" si="237"/>
        <v>2970.29</v>
      </c>
      <c r="AN177" s="192">
        <f t="shared" si="253"/>
        <v>0</v>
      </c>
      <c r="AO177" s="114">
        <f t="shared" si="254"/>
        <v>-224.24</v>
      </c>
      <c r="AP177" s="137">
        <f t="shared" si="255"/>
        <v>0</v>
      </c>
      <c r="AQ177" s="137">
        <f t="shared" si="256"/>
        <v>47.09</v>
      </c>
      <c r="AR177" s="84">
        <f t="shared" si="257"/>
        <v>47.09</v>
      </c>
      <c r="AS177" s="84">
        <f t="shared" si="258"/>
        <v>0</v>
      </c>
      <c r="AT177" s="84">
        <f t="shared" si="259"/>
        <v>0</v>
      </c>
      <c r="AU177" s="84">
        <f t="shared" si="260"/>
        <v>0</v>
      </c>
      <c r="AV177" s="84">
        <f t="shared" si="261"/>
        <v>0</v>
      </c>
      <c r="AW177" s="487">
        <v>1596.91</v>
      </c>
      <c r="AX177" s="137">
        <f t="shared" si="262"/>
        <v>105.14</v>
      </c>
      <c r="AY177" s="137">
        <f t="shared" si="263"/>
        <v>0</v>
      </c>
      <c r="AZ177" s="137">
        <f t="shared" si="264"/>
        <v>63.08</v>
      </c>
      <c r="BA177" s="137">
        <f t="shared" si="265"/>
        <v>-3.8</v>
      </c>
      <c r="BB177" s="137">
        <f t="shared" si="266"/>
        <v>-1.41</v>
      </c>
      <c r="BC177" s="84">
        <f t="shared" si="267"/>
        <v>163.01</v>
      </c>
      <c r="BD177" s="84">
        <f t="shared" si="268"/>
        <v>-29.35</v>
      </c>
      <c r="BE177" s="84">
        <f t="shared" si="269"/>
        <v>-41.12</v>
      </c>
      <c r="BF177" s="116">
        <f t="shared" si="270"/>
        <v>-70.47</v>
      </c>
      <c r="BG177" s="496">
        <f t="shared" si="271"/>
        <v>2793.14</v>
      </c>
      <c r="BH177" s="496">
        <f t="shared" si="272"/>
        <v>1689.45</v>
      </c>
      <c r="BI177" s="496">
        <f t="shared" si="273"/>
        <v>4482.59</v>
      </c>
    </row>
    <row r="178" spans="1:61" s="480" customFormat="1" ht="16.149999999999999" customHeight="1">
      <c r="A178" s="495" t="s">
        <v>195</v>
      </c>
      <c r="B178" s="494" t="s">
        <v>334</v>
      </c>
      <c r="C178" s="493" t="s">
        <v>62</v>
      </c>
      <c r="D178" s="385" t="s">
        <v>12</v>
      </c>
      <c r="E178" s="314">
        <v>8037</v>
      </c>
      <c r="F178" s="500">
        <v>10</v>
      </c>
      <c r="G178" s="491">
        <v>1999.91</v>
      </c>
      <c r="H178" s="485">
        <v>0</v>
      </c>
      <c r="I178" s="490">
        <f t="shared" si="240"/>
        <v>1999.91</v>
      </c>
      <c r="J178" s="489">
        <f t="shared" si="231"/>
        <v>3.7382800000000001E-3</v>
      </c>
      <c r="K178" s="484">
        <f t="shared" si="232"/>
        <v>-224.24</v>
      </c>
      <c r="L178" s="484">
        <f t="shared" si="230"/>
        <v>0</v>
      </c>
      <c r="M178" s="484">
        <f t="shared" si="233"/>
        <v>47.09</v>
      </c>
      <c r="N178" s="485">
        <f t="shared" si="241"/>
        <v>47.09</v>
      </c>
      <c r="O178" s="485">
        <f t="shared" si="242"/>
        <v>0</v>
      </c>
      <c r="P178" s="485">
        <f t="shared" si="242"/>
        <v>0</v>
      </c>
      <c r="Q178" s="485">
        <f t="shared" si="243"/>
        <v>0</v>
      </c>
      <c r="R178" s="484">
        <f t="shared" si="244"/>
        <v>0</v>
      </c>
      <c r="S178" s="485">
        <f t="shared" si="245"/>
        <v>2047</v>
      </c>
      <c r="T178" s="488">
        <f t="shared" si="234"/>
        <v>2445.06</v>
      </c>
      <c r="U178" s="487">
        <v>1596.91</v>
      </c>
      <c r="V178" s="486">
        <f t="shared" si="246"/>
        <v>3.7382800000000001E-3</v>
      </c>
      <c r="W178" s="484">
        <f t="shared" si="235"/>
        <v>105.14</v>
      </c>
      <c r="X178" s="484">
        <v>0</v>
      </c>
      <c r="Y178" s="484">
        <f t="shared" si="238"/>
        <v>63.08</v>
      </c>
      <c r="Z178" s="484">
        <f t="shared" si="238"/>
        <v>-3.8</v>
      </c>
      <c r="AA178" s="484">
        <f t="shared" si="238"/>
        <v>-1.41</v>
      </c>
      <c r="AB178" s="485">
        <f t="shared" si="247"/>
        <v>163.01</v>
      </c>
      <c r="AC178" s="485">
        <f t="shared" si="236"/>
        <v>-29.35</v>
      </c>
      <c r="AD178" s="498">
        <f>(F178/F$184)*AD$184</f>
        <v>-41.12</v>
      </c>
      <c r="AE178" s="498">
        <v>0</v>
      </c>
      <c r="AF178" s="485">
        <f t="shared" si="248"/>
        <v>-41.12</v>
      </c>
      <c r="AG178" s="484">
        <f t="shared" si="249"/>
        <v>-70.47</v>
      </c>
      <c r="AH178" s="381">
        <f t="shared" si="250"/>
        <v>1689.45</v>
      </c>
      <c r="AI178" s="483">
        <f t="shared" si="251"/>
        <v>3736.45</v>
      </c>
      <c r="AJ178" s="483">
        <f t="shared" si="228"/>
        <v>4432.83</v>
      </c>
      <c r="AK178" s="83"/>
      <c r="AL178" s="114">
        <f t="shared" si="252"/>
        <v>1999.91</v>
      </c>
      <c r="AM178" s="497">
        <f t="shared" si="237"/>
        <v>2970.29</v>
      </c>
      <c r="AN178" s="192">
        <f t="shared" si="253"/>
        <v>0</v>
      </c>
      <c r="AO178" s="114">
        <f t="shared" si="254"/>
        <v>-224.24</v>
      </c>
      <c r="AP178" s="137">
        <f t="shared" si="255"/>
        <v>0</v>
      </c>
      <c r="AQ178" s="137">
        <f t="shared" si="256"/>
        <v>47.09</v>
      </c>
      <c r="AR178" s="84">
        <f t="shared" si="257"/>
        <v>47.09</v>
      </c>
      <c r="AS178" s="84">
        <f t="shared" si="258"/>
        <v>0</v>
      </c>
      <c r="AT178" s="84">
        <f t="shared" si="259"/>
        <v>0</v>
      </c>
      <c r="AU178" s="84">
        <f t="shared" si="260"/>
        <v>0</v>
      </c>
      <c r="AV178" s="84">
        <f t="shared" si="261"/>
        <v>0</v>
      </c>
      <c r="AW178" s="487">
        <v>1596.91</v>
      </c>
      <c r="AX178" s="137">
        <f t="shared" si="262"/>
        <v>105.14</v>
      </c>
      <c r="AY178" s="137">
        <f t="shared" si="263"/>
        <v>0</v>
      </c>
      <c r="AZ178" s="137">
        <f t="shared" si="264"/>
        <v>63.08</v>
      </c>
      <c r="BA178" s="137">
        <f t="shared" si="265"/>
        <v>-3.8</v>
      </c>
      <c r="BB178" s="137">
        <f t="shared" si="266"/>
        <v>-1.41</v>
      </c>
      <c r="BC178" s="84">
        <f t="shared" si="267"/>
        <v>163.01</v>
      </c>
      <c r="BD178" s="84">
        <f t="shared" si="268"/>
        <v>-29.35</v>
      </c>
      <c r="BE178" s="84">
        <f t="shared" si="269"/>
        <v>-41.12</v>
      </c>
      <c r="BF178" s="116">
        <f t="shared" si="270"/>
        <v>-70.47</v>
      </c>
      <c r="BG178" s="496">
        <f t="shared" si="271"/>
        <v>2793.14</v>
      </c>
      <c r="BH178" s="496">
        <f t="shared" si="272"/>
        <v>1689.45</v>
      </c>
      <c r="BI178" s="496">
        <f t="shared" si="273"/>
        <v>4482.59</v>
      </c>
    </row>
    <row r="179" spans="1:61" s="480" customFormat="1" ht="16.149999999999999" customHeight="1">
      <c r="A179" s="495" t="s">
        <v>195</v>
      </c>
      <c r="B179" s="494" t="s">
        <v>363</v>
      </c>
      <c r="C179" s="615" t="s">
        <v>63</v>
      </c>
      <c r="D179" s="385" t="s">
        <v>12</v>
      </c>
      <c r="E179" s="314">
        <v>27030</v>
      </c>
      <c r="F179" s="499"/>
      <c r="G179" s="491">
        <v>1999.91</v>
      </c>
      <c r="H179" s="485">
        <v>0</v>
      </c>
      <c r="I179" s="490">
        <f t="shared" si="240"/>
        <v>1999.91</v>
      </c>
      <c r="J179" s="489">
        <f t="shared" si="231"/>
        <v>3.7382800000000001E-3</v>
      </c>
      <c r="K179" s="484">
        <f t="shared" si="232"/>
        <v>-224.24</v>
      </c>
      <c r="L179" s="484">
        <f t="shared" si="230"/>
        <v>0</v>
      </c>
      <c r="M179" s="484">
        <f t="shared" si="233"/>
        <v>47.09</v>
      </c>
      <c r="N179" s="485">
        <f t="shared" si="241"/>
        <v>47.09</v>
      </c>
      <c r="O179" s="485">
        <f t="shared" si="242"/>
        <v>0</v>
      </c>
      <c r="P179" s="485">
        <f t="shared" si="242"/>
        <v>0</v>
      </c>
      <c r="Q179" s="485">
        <f t="shared" si="243"/>
        <v>0</v>
      </c>
      <c r="R179" s="484">
        <f t="shared" si="244"/>
        <v>0</v>
      </c>
      <c r="S179" s="485">
        <f t="shared" si="245"/>
        <v>2047</v>
      </c>
      <c r="T179" s="488">
        <f t="shared" si="234"/>
        <v>2445.06</v>
      </c>
      <c r="U179" s="487">
        <v>2075.08</v>
      </c>
      <c r="V179" s="486">
        <f t="shared" si="246"/>
        <v>3.7382800000000001E-3</v>
      </c>
      <c r="W179" s="484">
        <f t="shared" si="235"/>
        <v>105.14</v>
      </c>
      <c r="X179" s="484">
        <v>0</v>
      </c>
      <c r="Y179" s="484">
        <f t="shared" si="238"/>
        <v>63.08</v>
      </c>
      <c r="Z179" s="484">
        <f t="shared" si="238"/>
        <v>-3.8</v>
      </c>
      <c r="AA179" s="484">
        <f t="shared" si="238"/>
        <v>-1.41</v>
      </c>
      <c r="AB179" s="485">
        <f t="shared" si="247"/>
        <v>163.01</v>
      </c>
      <c r="AC179" s="485">
        <f t="shared" si="236"/>
        <v>-29.35</v>
      </c>
      <c r="AD179" s="498">
        <v>0</v>
      </c>
      <c r="AE179" s="498">
        <v>0</v>
      </c>
      <c r="AF179" s="485">
        <f t="shared" si="248"/>
        <v>0</v>
      </c>
      <c r="AG179" s="484">
        <f t="shared" si="249"/>
        <v>-29.35</v>
      </c>
      <c r="AH179" s="381">
        <f t="shared" si="250"/>
        <v>2208.7399999999998</v>
      </c>
      <c r="AI179" s="483">
        <f t="shared" si="251"/>
        <v>4255.74</v>
      </c>
      <c r="AJ179" s="483">
        <f t="shared" ref="AJ179:AJ181" si="274">(AI179/AI$184)*AJ$184</f>
        <v>5048.8999999999996</v>
      </c>
      <c r="AK179" s="83"/>
      <c r="AL179" s="114">
        <f t="shared" si="252"/>
        <v>1999.91</v>
      </c>
      <c r="AM179" s="497">
        <f t="shared" si="237"/>
        <v>2970.29</v>
      </c>
      <c r="AN179" s="192">
        <f t="shared" si="253"/>
        <v>0</v>
      </c>
      <c r="AO179" s="114">
        <f t="shared" si="254"/>
        <v>-224.24</v>
      </c>
      <c r="AP179" s="137">
        <f t="shared" si="255"/>
        <v>0</v>
      </c>
      <c r="AQ179" s="137">
        <f t="shared" si="256"/>
        <v>47.09</v>
      </c>
      <c r="AR179" s="84">
        <f t="shared" si="257"/>
        <v>47.09</v>
      </c>
      <c r="AS179" s="84">
        <f t="shared" si="258"/>
        <v>0</v>
      </c>
      <c r="AT179" s="84">
        <f t="shared" si="259"/>
        <v>0</v>
      </c>
      <c r="AU179" s="84">
        <f t="shared" si="260"/>
        <v>0</v>
      </c>
      <c r="AV179" s="84">
        <f t="shared" si="261"/>
        <v>0</v>
      </c>
      <c r="AW179" s="487">
        <v>2075.08</v>
      </c>
      <c r="AX179" s="137">
        <f t="shared" si="262"/>
        <v>105.14</v>
      </c>
      <c r="AY179" s="137">
        <f t="shared" si="263"/>
        <v>0</v>
      </c>
      <c r="AZ179" s="137">
        <f t="shared" si="264"/>
        <v>63.08</v>
      </c>
      <c r="BA179" s="137">
        <f t="shared" si="265"/>
        <v>-3.8</v>
      </c>
      <c r="BB179" s="137">
        <f t="shared" si="266"/>
        <v>-1.41</v>
      </c>
      <c r="BC179" s="84">
        <f t="shared" si="267"/>
        <v>163.01</v>
      </c>
      <c r="BD179" s="84">
        <f t="shared" si="268"/>
        <v>-29.35</v>
      </c>
      <c r="BE179" s="84">
        <f t="shared" si="269"/>
        <v>0</v>
      </c>
      <c r="BF179" s="116">
        <f t="shared" si="270"/>
        <v>-29.35</v>
      </c>
      <c r="BG179" s="496">
        <f t="shared" si="271"/>
        <v>2793.14</v>
      </c>
      <c r="BH179" s="496">
        <f t="shared" si="272"/>
        <v>2208.7399999999998</v>
      </c>
      <c r="BI179" s="496">
        <f t="shared" si="273"/>
        <v>5001.88</v>
      </c>
    </row>
    <row r="180" spans="1:61" s="480" customFormat="1" ht="16.149999999999999" customHeight="1">
      <c r="A180" s="495" t="s">
        <v>195</v>
      </c>
      <c r="B180" s="494" t="s">
        <v>372</v>
      </c>
      <c r="C180" s="615" t="s">
        <v>63</v>
      </c>
      <c r="D180" s="385" t="s">
        <v>12</v>
      </c>
      <c r="E180" s="314">
        <v>29221</v>
      </c>
      <c r="F180" s="499"/>
      <c r="G180" s="491">
        <v>517.66</v>
      </c>
      <c r="H180" s="485">
        <v>0</v>
      </c>
      <c r="I180" s="490">
        <f t="shared" si="240"/>
        <v>517.66</v>
      </c>
      <c r="J180" s="489">
        <f t="shared" si="231"/>
        <v>9.6761999999999998E-4</v>
      </c>
      <c r="K180" s="484">
        <f t="shared" si="232"/>
        <v>-58.04</v>
      </c>
      <c r="L180" s="484">
        <f t="shared" si="230"/>
        <v>0</v>
      </c>
      <c r="M180" s="484">
        <f t="shared" si="233"/>
        <v>12.19</v>
      </c>
      <c r="N180" s="485">
        <f t="shared" si="241"/>
        <v>12.19</v>
      </c>
      <c r="O180" s="485">
        <f t="shared" si="242"/>
        <v>0</v>
      </c>
      <c r="P180" s="485">
        <f t="shared" si="242"/>
        <v>0</v>
      </c>
      <c r="Q180" s="485">
        <f t="shared" si="243"/>
        <v>0</v>
      </c>
      <c r="R180" s="484">
        <f t="shared" si="244"/>
        <v>0</v>
      </c>
      <c r="S180" s="485">
        <f t="shared" si="245"/>
        <v>529.85</v>
      </c>
      <c r="T180" s="488">
        <f t="shared" si="234"/>
        <v>632.88</v>
      </c>
      <c r="U180" s="487">
        <v>537.11</v>
      </c>
      <c r="V180" s="486">
        <f t="shared" si="246"/>
        <v>9.6761999999999998E-4</v>
      </c>
      <c r="W180" s="484">
        <f t="shared" si="235"/>
        <v>27.21</v>
      </c>
      <c r="X180" s="484">
        <v>0</v>
      </c>
      <c r="Y180" s="484">
        <f t="shared" si="238"/>
        <v>16.329999999999998</v>
      </c>
      <c r="Z180" s="484">
        <f t="shared" si="238"/>
        <v>-0.98</v>
      </c>
      <c r="AA180" s="484">
        <f t="shared" si="238"/>
        <v>-0.36</v>
      </c>
      <c r="AB180" s="485">
        <f t="shared" si="247"/>
        <v>42.2</v>
      </c>
      <c r="AC180" s="485">
        <f t="shared" si="236"/>
        <v>-7.6</v>
      </c>
      <c r="AD180" s="498">
        <v>0</v>
      </c>
      <c r="AE180" s="498">
        <v>0</v>
      </c>
      <c r="AF180" s="485">
        <f t="shared" si="248"/>
        <v>0</v>
      </c>
      <c r="AG180" s="484">
        <f t="shared" si="249"/>
        <v>-7.6</v>
      </c>
      <c r="AH180" s="381">
        <f t="shared" si="250"/>
        <v>571.71</v>
      </c>
      <c r="AI180" s="483">
        <f t="shared" si="251"/>
        <v>1101.56</v>
      </c>
      <c r="AJ180" s="483">
        <f t="shared" si="274"/>
        <v>1306.8599999999999</v>
      </c>
      <c r="AK180" s="83"/>
      <c r="AL180" s="114">
        <f t="shared" si="252"/>
        <v>517.66</v>
      </c>
      <c r="AM180" s="497">
        <f t="shared" si="237"/>
        <v>768.83</v>
      </c>
      <c r="AN180" s="192">
        <f t="shared" si="253"/>
        <v>0</v>
      </c>
      <c r="AO180" s="114">
        <f t="shared" si="254"/>
        <v>-58.04</v>
      </c>
      <c r="AP180" s="137">
        <f t="shared" si="255"/>
        <v>0</v>
      </c>
      <c r="AQ180" s="137">
        <f t="shared" si="256"/>
        <v>12.19</v>
      </c>
      <c r="AR180" s="84">
        <f t="shared" si="257"/>
        <v>12.19</v>
      </c>
      <c r="AS180" s="84">
        <f t="shared" si="258"/>
        <v>0</v>
      </c>
      <c r="AT180" s="84">
        <f t="shared" si="259"/>
        <v>0</v>
      </c>
      <c r="AU180" s="84">
        <f t="shared" si="260"/>
        <v>0</v>
      </c>
      <c r="AV180" s="84">
        <f t="shared" si="261"/>
        <v>0</v>
      </c>
      <c r="AW180" s="487">
        <v>537.11</v>
      </c>
      <c r="AX180" s="137">
        <f t="shared" si="262"/>
        <v>27.21</v>
      </c>
      <c r="AY180" s="137">
        <f t="shared" si="263"/>
        <v>0</v>
      </c>
      <c r="AZ180" s="137">
        <f t="shared" si="264"/>
        <v>16.329999999999998</v>
      </c>
      <c r="BA180" s="137">
        <f t="shared" si="265"/>
        <v>-0.98</v>
      </c>
      <c r="BB180" s="137">
        <f t="shared" si="266"/>
        <v>-0.36</v>
      </c>
      <c r="BC180" s="84">
        <f t="shared" si="267"/>
        <v>42.2</v>
      </c>
      <c r="BD180" s="84">
        <f t="shared" si="268"/>
        <v>-7.6</v>
      </c>
      <c r="BE180" s="84">
        <f t="shared" si="269"/>
        <v>0</v>
      </c>
      <c r="BF180" s="116">
        <f t="shared" si="270"/>
        <v>-7.6</v>
      </c>
      <c r="BG180" s="496">
        <f t="shared" si="271"/>
        <v>722.98</v>
      </c>
      <c r="BH180" s="496">
        <f t="shared" si="272"/>
        <v>571.71</v>
      </c>
      <c r="BI180" s="496">
        <f t="shared" si="273"/>
        <v>1294.69</v>
      </c>
    </row>
    <row r="181" spans="1:61" s="480" customFormat="1" ht="16.149999999999999" customHeight="1">
      <c r="A181" s="495" t="s">
        <v>195</v>
      </c>
      <c r="B181" s="494" t="s">
        <v>341</v>
      </c>
      <c r="C181" s="493" t="s">
        <v>62</v>
      </c>
      <c r="D181" s="385" t="s">
        <v>12</v>
      </c>
      <c r="E181" s="314">
        <v>14977</v>
      </c>
      <c r="F181" s="500">
        <v>10</v>
      </c>
      <c r="G181" s="491">
        <v>2999.89</v>
      </c>
      <c r="H181" s="485">
        <v>0</v>
      </c>
      <c r="I181" s="490">
        <f t="shared" si="240"/>
        <v>2999.89</v>
      </c>
      <c r="J181" s="489">
        <f t="shared" si="231"/>
        <v>5.6074699999999998E-3</v>
      </c>
      <c r="K181" s="484">
        <f t="shared" si="232"/>
        <v>-336.37</v>
      </c>
      <c r="L181" s="484">
        <f t="shared" si="230"/>
        <v>0</v>
      </c>
      <c r="M181" s="484">
        <f t="shared" si="233"/>
        <v>70.63</v>
      </c>
      <c r="N181" s="485">
        <f t="shared" si="241"/>
        <v>70.63</v>
      </c>
      <c r="O181" s="485">
        <f t="shared" si="242"/>
        <v>0</v>
      </c>
      <c r="P181" s="485">
        <f t="shared" si="242"/>
        <v>0</v>
      </c>
      <c r="Q181" s="485">
        <f t="shared" si="243"/>
        <v>0</v>
      </c>
      <c r="R181" s="484">
        <f t="shared" si="244"/>
        <v>0</v>
      </c>
      <c r="S181" s="485">
        <f t="shared" si="245"/>
        <v>3070.52</v>
      </c>
      <c r="T181" s="488">
        <f t="shared" si="234"/>
        <v>3667.61</v>
      </c>
      <c r="U181" s="487">
        <v>2634.45</v>
      </c>
      <c r="V181" s="486">
        <f t="shared" si="246"/>
        <v>5.6074699999999998E-3</v>
      </c>
      <c r="W181" s="484">
        <f t="shared" si="235"/>
        <v>157.69999999999999</v>
      </c>
      <c r="X181" s="484">
        <v>0</v>
      </c>
      <c r="Y181" s="484">
        <f t="shared" si="238"/>
        <v>94.62</v>
      </c>
      <c r="Z181" s="484">
        <f t="shared" si="238"/>
        <v>-5.7</v>
      </c>
      <c r="AA181" s="484">
        <f t="shared" si="238"/>
        <v>-2.11</v>
      </c>
      <c r="AB181" s="485">
        <f t="shared" si="247"/>
        <v>244.51</v>
      </c>
      <c r="AC181" s="485">
        <f t="shared" si="236"/>
        <v>-44.02</v>
      </c>
      <c r="AD181" s="498">
        <f>(F181/F$184)*AD$184</f>
        <v>-41.12</v>
      </c>
      <c r="AE181" s="498">
        <v>0</v>
      </c>
      <c r="AF181" s="485">
        <f t="shared" si="248"/>
        <v>-41.12</v>
      </c>
      <c r="AG181" s="484">
        <f t="shared" si="249"/>
        <v>-85.14</v>
      </c>
      <c r="AH181" s="381">
        <f t="shared" si="250"/>
        <v>2793.82</v>
      </c>
      <c r="AI181" s="483">
        <f t="shared" si="251"/>
        <v>5864.34</v>
      </c>
      <c r="AJ181" s="483">
        <f t="shared" si="274"/>
        <v>6957.3</v>
      </c>
      <c r="AK181" s="83"/>
      <c r="AL181" s="114">
        <f t="shared" si="252"/>
        <v>2999.89</v>
      </c>
      <c r="AM181" s="497">
        <f t="shared" si="237"/>
        <v>4455.47</v>
      </c>
      <c r="AN181" s="192">
        <f t="shared" si="253"/>
        <v>0</v>
      </c>
      <c r="AO181" s="114">
        <f t="shared" si="254"/>
        <v>-336.37</v>
      </c>
      <c r="AP181" s="137">
        <f t="shared" si="255"/>
        <v>0</v>
      </c>
      <c r="AQ181" s="137">
        <f t="shared" si="256"/>
        <v>70.63</v>
      </c>
      <c r="AR181" s="84">
        <f t="shared" si="257"/>
        <v>70.63</v>
      </c>
      <c r="AS181" s="84">
        <f t="shared" si="258"/>
        <v>0</v>
      </c>
      <c r="AT181" s="84">
        <f t="shared" si="259"/>
        <v>0</v>
      </c>
      <c r="AU181" s="84">
        <f t="shared" si="260"/>
        <v>0</v>
      </c>
      <c r="AV181" s="84">
        <f t="shared" si="261"/>
        <v>0</v>
      </c>
      <c r="AW181" s="487">
        <v>2634.45</v>
      </c>
      <c r="AX181" s="137">
        <f t="shared" si="262"/>
        <v>157.69999999999999</v>
      </c>
      <c r="AY181" s="137">
        <f t="shared" si="263"/>
        <v>0</v>
      </c>
      <c r="AZ181" s="137">
        <f t="shared" si="264"/>
        <v>94.62</v>
      </c>
      <c r="BA181" s="137">
        <f t="shared" si="265"/>
        <v>-5.7</v>
      </c>
      <c r="BB181" s="137">
        <f t="shared" si="266"/>
        <v>-2.11</v>
      </c>
      <c r="BC181" s="84">
        <f t="shared" si="267"/>
        <v>244.51</v>
      </c>
      <c r="BD181" s="84">
        <f t="shared" si="268"/>
        <v>-44.02</v>
      </c>
      <c r="BE181" s="84">
        <f t="shared" si="269"/>
        <v>-41.12</v>
      </c>
      <c r="BF181" s="116">
        <f t="shared" si="270"/>
        <v>-85.14</v>
      </c>
      <c r="BG181" s="496">
        <f t="shared" si="271"/>
        <v>4189.7299999999996</v>
      </c>
      <c r="BH181" s="496">
        <f t="shared" si="272"/>
        <v>2793.82</v>
      </c>
      <c r="BI181" s="496">
        <f t="shared" si="273"/>
        <v>6983.55</v>
      </c>
    </row>
    <row r="182" spans="1:61" s="480" customFormat="1" ht="16.149999999999999" customHeight="1">
      <c r="A182" s="495"/>
      <c r="B182" s="494"/>
      <c r="C182" s="493"/>
      <c r="D182" s="385"/>
      <c r="E182" s="158"/>
      <c r="F182" s="492"/>
      <c r="G182" s="491"/>
      <c r="H182" s="485"/>
      <c r="I182" s="490"/>
      <c r="J182" s="489"/>
      <c r="K182" s="484"/>
      <c r="L182" s="484"/>
      <c r="M182" s="484"/>
      <c r="N182" s="485"/>
      <c r="O182" s="485"/>
      <c r="P182" s="485"/>
      <c r="Q182" s="485"/>
      <c r="R182" s="484"/>
      <c r="S182" s="485"/>
      <c r="T182" s="488"/>
      <c r="U182" s="487"/>
      <c r="V182" s="486"/>
      <c r="W182" s="484"/>
      <c r="X182" s="484"/>
      <c r="Y182" s="484"/>
      <c r="Z182" s="484"/>
      <c r="AA182" s="484"/>
      <c r="AB182" s="485"/>
      <c r="AC182" s="485"/>
      <c r="AD182" s="485"/>
      <c r="AE182" s="485"/>
      <c r="AF182" s="485"/>
      <c r="AG182" s="484"/>
      <c r="AH182" s="381"/>
      <c r="AI182" s="483"/>
      <c r="AJ182" s="483"/>
      <c r="AK182" s="83"/>
      <c r="AL182" s="178"/>
      <c r="AM182" s="441"/>
      <c r="AN182" s="192"/>
      <c r="AO182" s="114"/>
      <c r="AP182" s="137"/>
      <c r="AQ182" s="137"/>
      <c r="AR182" s="84"/>
      <c r="AS182" s="84"/>
      <c r="AT182" s="84"/>
      <c r="AU182" s="84"/>
      <c r="AV182" s="84"/>
      <c r="AW182" s="482"/>
      <c r="AX182" s="137"/>
      <c r="AY182" s="137"/>
      <c r="AZ182" s="137"/>
      <c r="BA182" s="137"/>
      <c r="BB182" s="137"/>
      <c r="BC182" s="84"/>
      <c r="BD182" s="84"/>
      <c r="BE182" s="84"/>
      <c r="BF182" s="116"/>
      <c r="BG182" s="481"/>
      <c r="BH182" s="481"/>
      <c r="BI182" s="481"/>
    </row>
    <row r="183" spans="1:61">
      <c r="B183" s="479"/>
      <c r="C183" s="478"/>
      <c r="D183" s="478"/>
      <c r="E183" s="477"/>
      <c r="F183" s="476"/>
      <c r="G183" s="475"/>
      <c r="H183" s="468"/>
      <c r="I183" s="474"/>
      <c r="J183" s="473"/>
      <c r="K183" s="470"/>
      <c r="L183" s="470"/>
      <c r="M183" s="470"/>
      <c r="N183" s="468"/>
      <c r="O183" s="468"/>
      <c r="P183" s="468"/>
      <c r="Q183" s="468"/>
      <c r="R183" s="470"/>
      <c r="S183" s="468"/>
      <c r="T183" s="472"/>
      <c r="U183" s="471"/>
      <c r="V183" s="468"/>
      <c r="W183" s="470"/>
      <c r="X183" s="470"/>
      <c r="Y183" s="470"/>
      <c r="Z183" s="470"/>
      <c r="AA183" s="470"/>
      <c r="AB183" s="468"/>
      <c r="AC183" s="469"/>
      <c r="AD183" s="469"/>
      <c r="AE183" s="469"/>
      <c r="AF183" s="468"/>
      <c r="AG183" s="467"/>
      <c r="AH183" s="466"/>
      <c r="AI183" s="465"/>
      <c r="AJ183" s="465"/>
      <c r="AK183" s="464"/>
      <c r="AL183" s="463"/>
      <c r="AM183" s="462"/>
      <c r="AN183" s="461"/>
      <c r="AO183" s="459"/>
      <c r="AP183" s="459"/>
      <c r="AQ183" s="459"/>
      <c r="AR183" s="458"/>
      <c r="AS183" s="458"/>
      <c r="AT183" s="458"/>
      <c r="AU183" s="458"/>
      <c r="AV183" s="460"/>
      <c r="AW183" s="460"/>
      <c r="AX183" s="459"/>
      <c r="AY183" s="459"/>
      <c r="AZ183" s="459"/>
      <c r="BA183" s="459"/>
      <c r="BB183" s="459"/>
      <c r="BC183" s="458"/>
      <c r="BD183" s="458"/>
      <c r="BE183" s="458"/>
      <c r="BF183" s="457"/>
      <c r="BG183" s="456"/>
      <c r="BH183" s="456"/>
      <c r="BI183" s="456"/>
    </row>
    <row r="184" spans="1:61" s="435" customFormat="1" ht="18.75" customHeight="1" thickBot="1">
      <c r="A184" s="455"/>
      <c r="B184" s="454" t="s">
        <v>2</v>
      </c>
      <c r="C184" s="453"/>
      <c r="D184" s="453"/>
      <c r="E184" s="452"/>
      <c r="F184" s="451">
        <f>SUM(F12:F182)</f>
        <v>1285</v>
      </c>
      <c r="G184" s="440">
        <f>SUM(G12:G182)</f>
        <v>534981.24</v>
      </c>
      <c r="H184" s="437">
        <f>SUM(H12:H182)</f>
        <v>0</v>
      </c>
      <c r="I184" s="450">
        <f>SUM(I12:I182)</f>
        <v>534981.24</v>
      </c>
      <c r="J184" s="449">
        <f>SUM(J12:J183)</f>
        <v>1</v>
      </c>
      <c r="K184" s="448">
        <v>-59985.53</v>
      </c>
      <c r="L184" s="438">
        <v>0</v>
      </c>
      <c r="M184" s="438">
        <v>12596.36</v>
      </c>
      <c r="N184" s="437">
        <f>SUM(N12:N182)</f>
        <v>12596.36</v>
      </c>
      <c r="O184" s="437">
        <f>'[1]06.30.20'!AW21</f>
        <v>0</v>
      </c>
      <c r="P184" s="437">
        <f>'[1]06.30.20'!AX21</f>
        <v>0</v>
      </c>
      <c r="Q184" s="437">
        <v>0</v>
      </c>
      <c r="R184" s="438">
        <f>SUM(R12:R182)</f>
        <v>0</v>
      </c>
      <c r="S184" s="437">
        <f>SUM(S12:S182)</f>
        <v>547577.59999999998</v>
      </c>
      <c r="T184" s="436">
        <f>'06.30.20'!S21</f>
        <v>654058.91</v>
      </c>
      <c r="U184" s="447">
        <f>SUM(U12:U182)</f>
        <v>492992.17</v>
      </c>
      <c r="V184" s="446">
        <f>SUM(V12:V183)</f>
        <v>1</v>
      </c>
      <c r="W184" s="438">
        <f>'06.30.20'!BB21</f>
        <v>28124</v>
      </c>
      <c r="X184" s="445">
        <v>0</v>
      </c>
      <c r="Y184" s="445">
        <f>'06.30.20'!BC21</f>
        <v>16874.25</v>
      </c>
      <c r="Z184" s="445">
        <f>'06.30.20'!BD21+'06.30.20'!BE21</f>
        <v>-1016.27</v>
      </c>
      <c r="AA184" s="445">
        <f>'06.30.20'!BF21+'06.30.20'!BG21</f>
        <v>-376.65</v>
      </c>
      <c r="AB184" s="437">
        <f>SUM(AB12:AB182)</f>
        <v>43605.33</v>
      </c>
      <c r="AC184" s="444">
        <f>'06.30.20'!BI21</f>
        <v>-7850.5</v>
      </c>
      <c r="AD184" s="444">
        <v>-5283.88</v>
      </c>
      <c r="AE184" s="437">
        <f>SUM(AE12:AE182)</f>
        <v>-118.5</v>
      </c>
      <c r="AF184" s="437">
        <f>SUM(AF12:AF182)</f>
        <v>-5402.38</v>
      </c>
      <c r="AG184" s="438">
        <f>SUM(AG12:AG183)</f>
        <v>-13252.88</v>
      </c>
      <c r="AH184" s="443">
        <f>SUM(AH12:AH183)</f>
        <v>523344.62</v>
      </c>
      <c r="AI184" s="442">
        <f>SUM(AI12:AI182)</f>
        <v>1070922.22</v>
      </c>
      <c r="AJ184" s="442">
        <f>'06.30.20'!AN21</f>
        <v>1270514.96</v>
      </c>
      <c r="AK184" s="53"/>
      <c r="AL184" s="177">
        <f>SUM(AL12:AL182)</f>
        <v>534981.24</v>
      </c>
      <c r="AM184" s="441">
        <v>794559.51</v>
      </c>
      <c r="AN184" s="440">
        <f>SUM(AN12:AN182)</f>
        <v>0</v>
      </c>
      <c r="AO184" s="438">
        <f>'06.30.20'!AS21</f>
        <v>-59985.53</v>
      </c>
      <c r="AP184" s="438">
        <f t="shared" ref="AP184:BI184" si="275">SUM(AP12:AP182)</f>
        <v>0</v>
      </c>
      <c r="AQ184" s="438">
        <f t="shared" si="275"/>
        <v>12596.36</v>
      </c>
      <c r="AR184" s="437">
        <f t="shared" si="275"/>
        <v>12596.36</v>
      </c>
      <c r="AS184" s="437">
        <f t="shared" si="275"/>
        <v>0</v>
      </c>
      <c r="AT184" s="437">
        <f t="shared" si="275"/>
        <v>0</v>
      </c>
      <c r="AU184" s="437">
        <f t="shared" si="275"/>
        <v>0</v>
      </c>
      <c r="AV184" s="437">
        <f t="shared" si="275"/>
        <v>0</v>
      </c>
      <c r="AW184" s="437">
        <f t="shared" si="275"/>
        <v>492992.17</v>
      </c>
      <c r="AX184" s="438">
        <f t="shared" si="275"/>
        <v>28124</v>
      </c>
      <c r="AY184" s="438">
        <f t="shared" si="275"/>
        <v>0</v>
      </c>
      <c r="AZ184" s="438">
        <f t="shared" si="275"/>
        <v>16874.25</v>
      </c>
      <c r="BA184" s="438">
        <f t="shared" si="275"/>
        <v>-1016.27</v>
      </c>
      <c r="BB184" s="438">
        <f t="shared" si="275"/>
        <v>-376.65</v>
      </c>
      <c r="BC184" s="437">
        <f t="shared" si="275"/>
        <v>43605.33</v>
      </c>
      <c r="BD184" s="437">
        <f t="shared" si="275"/>
        <v>-7850.5</v>
      </c>
      <c r="BE184" s="437">
        <f t="shared" si="275"/>
        <v>-5402.38</v>
      </c>
      <c r="BF184" s="436">
        <f t="shared" si="275"/>
        <v>-13252.88</v>
      </c>
      <c r="BG184" s="436">
        <f t="shared" si="275"/>
        <v>747170.34</v>
      </c>
      <c r="BH184" s="436">
        <f t="shared" si="275"/>
        <v>523344.62</v>
      </c>
      <c r="BI184" s="436">
        <f t="shared" si="275"/>
        <v>1270514.96</v>
      </c>
    </row>
    <row r="185" spans="1:61" ht="18" customHeight="1">
      <c r="N185" s="81"/>
    </row>
    <row r="186" spans="1:61" s="430" customFormat="1" ht="16.149999999999999" hidden="1" customHeight="1">
      <c r="B186" s="423"/>
      <c r="C186" s="434"/>
      <c r="D186" s="434"/>
      <c r="G186" s="431">
        <f>SUM(G12:G181)</f>
        <v>534981.24</v>
      </c>
      <c r="I186" s="431">
        <f>SUM(I12:I181)</f>
        <v>534981.24</v>
      </c>
      <c r="J186" s="431"/>
      <c r="K186" s="431">
        <f>SUM(K12:K181)</f>
        <v>-59985.53</v>
      </c>
      <c r="L186" s="431">
        <f>SUM(L12:L181)</f>
        <v>0</v>
      </c>
      <c r="M186" s="431">
        <f>SUM(M12:M181)</f>
        <v>12596.36</v>
      </c>
      <c r="N186" s="433"/>
      <c r="Q186" s="431">
        <f>SUM(Q12:Q181)</f>
        <v>0</v>
      </c>
      <c r="S186" s="431">
        <f>'06.30.20'!R21</f>
        <v>547577.59999999998</v>
      </c>
      <c r="T186" s="431">
        <f>SUM(T12:T181)</f>
        <v>654058.91</v>
      </c>
      <c r="U186" s="431">
        <f>SUM(U12:U181)</f>
        <v>492992.17</v>
      </c>
      <c r="W186" s="431">
        <f>SUM(W12:W181)</f>
        <v>28124</v>
      </c>
      <c r="X186" s="431">
        <f>SUM(X12:X181)</f>
        <v>0</v>
      </c>
      <c r="Y186" s="431">
        <f>SUM(Y12:Y181)</f>
        <v>16874.25</v>
      </c>
      <c r="Z186" s="431">
        <f>SUM(Z12:Z181)</f>
        <v>-1016.27</v>
      </c>
      <c r="AA186" s="431">
        <f>SUM(AA12:AA181)</f>
        <v>-376.65</v>
      </c>
      <c r="AC186" s="431">
        <f>SUM(AC12:AC181)</f>
        <v>-7850.5</v>
      </c>
      <c r="AD186" s="431">
        <f>SUM(AD12:AD181)</f>
        <v>-5283.88</v>
      </c>
      <c r="AE186" s="431">
        <f>SUM(AE12:AE181)</f>
        <v>-118.5</v>
      </c>
      <c r="AF186" s="431">
        <f>SUM(AF12:AF181)</f>
        <v>-5402.38</v>
      </c>
      <c r="AG186" s="423"/>
      <c r="AH186" s="432"/>
      <c r="AI186" s="427">
        <f>'06.30.20'!AM21</f>
        <v>1070922.22</v>
      </c>
      <c r="AJ186" s="431">
        <f>SUM(AJ12:AJ181)</f>
        <v>1270514.96</v>
      </c>
      <c r="AM186" s="636">
        <f>SUM(AM12:AM181)</f>
        <v>794559.51</v>
      </c>
    </row>
    <row r="187" spans="1:61" s="427" customFormat="1" ht="16.149999999999999" hidden="1" customHeight="1">
      <c r="B187" s="423"/>
      <c r="C187" s="429"/>
      <c r="D187" s="429"/>
      <c r="I187" s="197"/>
      <c r="J187" s="429"/>
      <c r="Q187" s="428"/>
      <c r="AM187" s="197"/>
    </row>
    <row r="188" spans="1:61" s="421" customFormat="1" ht="16.149999999999999" hidden="1" customHeight="1">
      <c r="B188" s="423"/>
      <c r="C188" s="425"/>
      <c r="D188" s="425"/>
      <c r="G188" s="427"/>
      <c r="I188" s="426"/>
      <c r="J188" s="425"/>
      <c r="N188" s="427"/>
      <c r="Q188" s="428"/>
      <c r="S188" s="427"/>
      <c r="T188" s="427"/>
      <c r="U188" s="422"/>
      <c r="X188" s="423"/>
      <c r="Y188" s="423"/>
      <c r="Z188" s="423"/>
      <c r="AA188" s="423"/>
      <c r="AH188" s="422"/>
      <c r="AI188" s="427"/>
      <c r="AJ188" s="427"/>
      <c r="AM188" s="426"/>
    </row>
    <row r="189" spans="1:61" s="370" customFormat="1" ht="16.149999999999999" hidden="1" customHeight="1">
      <c r="C189" s="413"/>
      <c r="D189" s="413"/>
      <c r="J189" s="413"/>
      <c r="K189" s="369"/>
      <c r="L189" s="369"/>
      <c r="M189" s="369"/>
      <c r="N189" s="420"/>
      <c r="P189" s="369"/>
      <c r="R189" s="369"/>
      <c r="S189" s="369"/>
      <c r="W189" s="369"/>
      <c r="X189" s="369"/>
      <c r="Y189" s="369"/>
      <c r="Z189" s="369"/>
      <c r="AA189" s="369"/>
      <c r="AG189" s="369"/>
      <c r="AI189" s="369"/>
      <c r="AJ189" s="369"/>
      <c r="AK189" s="371"/>
      <c r="AL189" s="371"/>
      <c r="AO189" s="369"/>
      <c r="AV189" s="369"/>
      <c r="AW189" s="369"/>
      <c r="AX189" s="369"/>
      <c r="AY189" s="369"/>
      <c r="AZ189" s="369"/>
      <c r="BA189" s="369"/>
      <c r="BB189" s="369"/>
      <c r="BF189" s="369"/>
    </row>
    <row r="190" spans="1:61" s="421" customFormat="1" ht="16.149999999999999" hidden="1" customHeight="1">
      <c r="C190" s="425"/>
      <c r="D190" s="425"/>
      <c r="G190" s="422"/>
      <c r="I190" s="426"/>
      <c r="J190" s="425"/>
      <c r="N190" s="424"/>
      <c r="Q190" s="422"/>
      <c r="S190" s="422"/>
      <c r="T190" s="422"/>
      <c r="U190" s="422"/>
      <c r="X190" s="423"/>
      <c r="Y190" s="423"/>
      <c r="Z190" s="423"/>
      <c r="AA190" s="423"/>
      <c r="AH190" s="422"/>
      <c r="AI190" s="422"/>
      <c r="AJ190" s="422"/>
      <c r="AM190" s="426"/>
    </row>
    <row r="191" spans="1:61" s="370" customFormat="1" ht="16.149999999999999" hidden="1" customHeight="1">
      <c r="C191" s="413"/>
      <c r="D191" s="413"/>
      <c r="J191" s="413"/>
      <c r="K191" s="369"/>
      <c r="L191" s="369"/>
      <c r="M191" s="369"/>
      <c r="N191" s="420"/>
      <c r="P191" s="369"/>
      <c r="R191" s="369"/>
      <c r="S191" s="369"/>
      <c r="W191" s="369"/>
      <c r="X191" s="369"/>
      <c r="Y191" s="369"/>
      <c r="Z191" s="369"/>
      <c r="AA191" s="369"/>
      <c r="AG191" s="369"/>
      <c r="AI191" s="369"/>
      <c r="AJ191" s="369"/>
      <c r="AK191" s="371"/>
      <c r="AL191" s="371"/>
      <c r="AO191" s="369"/>
      <c r="AV191" s="369"/>
      <c r="AW191" s="369"/>
      <c r="AX191" s="369"/>
      <c r="AY191" s="369"/>
      <c r="AZ191" s="369"/>
      <c r="BA191" s="369"/>
      <c r="BB191" s="369"/>
      <c r="BF191" s="369"/>
    </row>
    <row r="192" spans="1:61" s="370" customFormat="1" ht="16.149999999999999" hidden="1" customHeight="1">
      <c r="C192" s="419"/>
      <c r="D192" s="419"/>
      <c r="E192" s="418"/>
      <c r="F192" s="418"/>
      <c r="G192" s="415"/>
      <c r="H192" s="415"/>
      <c r="I192" s="415"/>
      <c r="J192" s="417"/>
      <c r="K192" s="382"/>
      <c r="L192" s="382"/>
      <c r="M192" s="382"/>
      <c r="N192" s="415"/>
      <c r="O192" s="415"/>
      <c r="P192" s="382"/>
      <c r="Q192" s="415"/>
      <c r="R192" s="382"/>
      <c r="S192" s="382"/>
      <c r="T192" s="415"/>
      <c r="U192" s="415"/>
      <c r="V192" s="415"/>
      <c r="W192" s="382"/>
      <c r="X192" s="382"/>
      <c r="Y192" s="382"/>
      <c r="Z192" s="382"/>
      <c r="AA192" s="382"/>
      <c r="AB192" s="415"/>
      <c r="AC192" s="416"/>
      <c r="AD192" s="416"/>
      <c r="AE192" s="416"/>
      <c r="AF192" s="415"/>
      <c r="AG192" s="382"/>
      <c r="AH192" s="415"/>
      <c r="AI192" s="382"/>
      <c r="AJ192" s="382"/>
      <c r="AK192" s="371"/>
      <c r="AL192" s="371"/>
      <c r="AM192" s="418"/>
      <c r="AO192" s="369"/>
      <c r="AV192" s="369"/>
      <c r="AW192" s="369"/>
      <c r="AX192" s="369"/>
      <c r="AY192" s="369"/>
      <c r="AZ192" s="369"/>
      <c r="BA192" s="369"/>
      <c r="BB192" s="369"/>
      <c r="BF192" s="369"/>
    </row>
    <row r="193" spans="2:58" s="370" customFormat="1" ht="18" hidden="1" customHeight="1">
      <c r="B193" s="408"/>
      <c r="C193" s="413"/>
      <c r="D193" s="414"/>
      <c r="J193" s="413"/>
      <c r="K193" s="369"/>
      <c r="L193" s="369"/>
      <c r="M193" s="369"/>
      <c r="P193" s="369"/>
      <c r="R193" s="369"/>
      <c r="S193" s="369"/>
      <c r="W193" s="369"/>
      <c r="X193" s="369"/>
      <c r="Y193" s="369"/>
      <c r="Z193" s="369"/>
      <c r="AA193" s="369"/>
      <c r="AG193" s="369"/>
      <c r="AI193" s="369"/>
      <c r="AJ193" s="369"/>
      <c r="AK193" s="371"/>
      <c r="AL193" s="371"/>
      <c r="AO193" s="369"/>
      <c r="AV193" s="369"/>
      <c r="AW193" s="369"/>
      <c r="AX193" s="369"/>
      <c r="AY193" s="369"/>
      <c r="AZ193" s="369"/>
      <c r="BA193" s="369"/>
      <c r="BB193" s="369"/>
      <c r="BF193" s="369"/>
    </row>
    <row r="194" spans="2:58" s="408" customFormat="1" ht="12.75" hidden="1">
      <c r="C194" s="637"/>
      <c r="D194" s="637"/>
      <c r="E194" s="638"/>
      <c r="F194" s="638"/>
      <c r="G194" s="382"/>
      <c r="H194" s="382"/>
      <c r="I194" s="415"/>
      <c r="J194" s="639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639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  <c r="AH194" s="382"/>
      <c r="AI194" s="382"/>
      <c r="AJ194" s="382"/>
      <c r="AK194" s="640"/>
      <c r="AL194" s="594"/>
      <c r="AM194" s="418"/>
      <c r="AN194" s="586"/>
      <c r="AO194" s="596"/>
      <c r="AP194" s="596"/>
      <c r="AQ194" s="596"/>
      <c r="AR194" s="586"/>
      <c r="AS194" s="586"/>
      <c r="AT194" s="586"/>
      <c r="AU194" s="586"/>
      <c r="AV194" s="586"/>
      <c r="AW194" s="597"/>
      <c r="AX194" s="597"/>
      <c r="AY194" s="597"/>
      <c r="AZ194" s="597"/>
      <c r="BA194" s="597"/>
      <c r="BB194" s="597"/>
      <c r="BC194" s="586"/>
      <c r="BD194" s="586"/>
      <c r="BE194" s="586"/>
      <c r="BF194" s="586"/>
    </row>
    <row r="195" spans="2:58" s="408" customFormat="1" ht="12.75" hidden="1">
      <c r="C195" s="637"/>
      <c r="D195" s="637"/>
      <c r="E195" s="638"/>
      <c r="F195" s="638"/>
      <c r="G195" s="382"/>
      <c r="H195" s="382"/>
      <c r="I195" s="415"/>
      <c r="J195" s="641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641"/>
      <c r="W195" s="382"/>
      <c r="X195" s="382"/>
      <c r="Y195" s="382"/>
      <c r="Z195" s="382"/>
      <c r="AA195" s="382"/>
      <c r="AB195" s="415"/>
      <c r="AC195" s="642"/>
      <c r="AD195" s="642"/>
      <c r="AE195" s="642"/>
      <c r="AF195" s="382"/>
      <c r="AG195" s="382"/>
      <c r="AH195" s="382"/>
      <c r="AI195" s="382"/>
      <c r="AJ195" s="382"/>
      <c r="AK195" s="643"/>
      <c r="AL195" s="595"/>
      <c r="AM195" s="418"/>
      <c r="AN195" s="587"/>
      <c r="AO195" s="587"/>
      <c r="AP195" s="587"/>
      <c r="AQ195" s="587"/>
      <c r="AR195" s="587"/>
      <c r="AS195" s="587"/>
      <c r="AT195" s="587"/>
      <c r="AU195" s="587"/>
      <c r="AV195" s="587"/>
      <c r="BC195" s="587"/>
      <c r="BD195" s="587"/>
      <c r="BE195" s="587"/>
      <c r="BF195" s="587"/>
    </row>
    <row r="196" spans="2:58" s="408" customFormat="1" ht="12.75" hidden="1">
      <c r="B196" s="418"/>
      <c r="C196" s="637"/>
      <c r="D196" s="637"/>
      <c r="E196" s="638"/>
      <c r="F196" s="638"/>
      <c r="G196" s="382"/>
      <c r="H196" s="382"/>
      <c r="I196" s="415"/>
      <c r="J196" s="641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641"/>
      <c r="W196" s="382"/>
      <c r="X196" s="382"/>
      <c r="Y196" s="382"/>
      <c r="Z196" s="382"/>
      <c r="AA196" s="382"/>
      <c r="AB196" s="415"/>
      <c r="AC196" s="642"/>
      <c r="AD196" s="642"/>
      <c r="AE196" s="642"/>
      <c r="AF196" s="382"/>
      <c r="AG196" s="382"/>
      <c r="AH196" s="382"/>
      <c r="AI196" s="382"/>
      <c r="AJ196" s="382"/>
      <c r="AK196" s="643"/>
      <c r="AL196" s="595"/>
      <c r="AM196" s="418"/>
      <c r="AN196" s="588"/>
      <c r="AO196" s="587"/>
      <c r="AP196" s="587"/>
      <c r="AQ196" s="587"/>
      <c r="AR196" s="588"/>
      <c r="AS196" s="588"/>
      <c r="AT196" s="588"/>
      <c r="AU196" s="588"/>
      <c r="AV196" s="588"/>
      <c r="BC196" s="588"/>
      <c r="BD196" s="588"/>
      <c r="BE196" s="588"/>
      <c r="BF196" s="588"/>
    </row>
    <row r="197" spans="2:58" s="370" customFormat="1" hidden="1">
      <c r="B197" s="595"/>
      <c r="C197" s="419"/>
      <c r="D197" s="419"/>
      <c r="E197" s="644"/>
      <c r="F197" s="644"/>
      <c r="G197" s="415"/>
      <c r="H197" s="415"/>
      <c r="I197" s="415"/>
      <c r="J197" s="645"/>
      <c r="K197" s="382"/>
      <c r="L197" s="382"/>
      <c r="M197" s="382"/>
      <c r="N197" s="415"/>
      <c r="O197" s="415"/>
      <c r="P197" s="382"/>
      <c r="Q197" s="415"/>
      <c r="R197" s="382"/>
      <c r="S197" s="382"/>
      <c r="T197" s="415"/>
      <c r="U197" s="415"/>
      <c r="V197" s="645"/>
      <c r="W197" s="382"/>
      <c r="X197" s="382"/>
      <c r="Y197" s="382"/>
      <c r="Z197" s="382"/>
      <c r="AA197" s="382"/>
      <c r="AB197" s="415"/>
      <c r="AC197" s="416"/>
      <c r="AD197" s="416"/>
      <c r="AE197" s="416"/>
      <c r="AF197" s="415"/>
      <c r="AG197" s="382"/>
      <c r="AH197" s="415"/>
      <c r="AI197" s="382"/>
      <c r="AJ197" s="382"/>
      <c r="AK197" s="646"/>
      <c r="AL197" s="371"/>
      <c r="AM197" s="418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81"/>
      <c r="AX197" s="598"/>
      <c r="AY197" s="181"/>
      <c r="AZ197" s="181"/>
      <c r="BA197" s="181"/>
      <c r="BB197" s="181"/>
      <c r="BC197" s="141"/>
      <c r="BD197" s="141"/>
      <c r="BE197" s="141"/>
      <c r="BF197" s="141"/>
    </row>
    <row r="198" spans="2:58" s="390" customFormat="1" ht="15.75" hidden="1">
      <c r="C198" s="647"/>
      <c r="D198" s="647"/>
      <c r="E198" s="648"/>
      <c r="F198" s="648"/>
      <c r="I198" s="593"/>
      <c r="K198" s="592"/>
      <c r="X198" s="391"/>
      <c r="Y198" s="391"/>
      <c r="Z198" s="391"/>
      <c r="AA198" s="391"/>
      <c r="AK198" s="649"/>
      <c r="AM198" s="593"/>
      <c r="AW198" s="592"/>
      <c r="AX198" s="592"/>
      <c r="AY198" s="592"/>
      <c r="AZ198" s="592"/>
      <c r="BA198" s="592"/>
      <c r="BB198" s="592"/>
    </row>
    <row r="199" spans="2:58" s="370" customFormat="1" hidden="1">
      <c r="C199" s="419"/>
      <c r="D199" s="419"/>
      <c r="E199" s="418"/>
      <c r="F199" s="418"/>
      <c r="G199" s="415"/>
      <c r="H199" s="415"/>
      <c r="I199" s="415"/>
      <c r="J199" s="417"/>
      <c r="K199" s="382"/>
      <c r="L199" s="382"/>
      <c r="M199" s="382"/>
      <c r="N199" s="415"/>
      <c r="O199" s="415"/>
      <c r="P199" s="382"/>
      <c r="Q199" s="415"/>
      <c r="R199" s="382"/>
      <c r="S199" s="382"/>
      <c r="T199" s="415"/>
      <c r="U199" s="415"/>
      <c r="V199" s="415"/>
      <c r="W199" s="382"/>
      <c r="X199" s="382"/>
      <c r="Y199" s="382"/>
      <c r="Z199" s="382"/>
      <c r="AA199" s="382"/>
      <c r="AB199" s="415"/>
      <c r="AC199" s="416"/>
      <c r="AD199" s="416"/>
      <c r="AE199" s="416"/>
      <c r="AF199" s="415"/>
      <c r="AG199" s="382"/>
      <c r="AH199" s="415"/>
      <c r="AI199" s="382"/>
      <c r="AJ199" s="382"/>
      <c r="AK199" s="371"/>
      <c r="AL199" s="371"/>
      <c r="AM199" s="418"/>
      <c r="AO199" s="369"/>
      <c r="AV199" s="369"/>
      <c r="AW199" s="369"/>
      <c r="AX199" s="369"/>
      <c r="AY199" s="369"/>
      <c r="AZ199" s="369"/>
      <c r="BA199" s="369"/>
      <c r="BB199" s="369"/>
      <c r="BF199" s="369"/>
    </row>
    <row r="200" spans="2:58" hidden="1">
      <c r="B200" s="379"/>
      <c r="C200" s="385"/>
      <c r="D200" s="385"/>
      <c r="E200" s="379"/>
      <c r="F200" s="379"/>
      <c r="G200" s="381"/>
      <c r="H200" s="381"/>
      <c r="I200" s="415"/>
      <c r="J200" s="384"/>
      <c r="K200" s="382"/>
      <c r="L200" s="382"/>
      <c r="M200" s="382"/>
      <c r="N200" s="381"/>
      <c r="O200" s="381"/>
      <c r="P200" s="380"/>
      <c r="Q200" s="381"/>
      <c r="R200" s="382"/>
      <c r="S200" s="380"/>
      <c r="T200" s="381"/>
      <c r="U200" s="381"/>
      <c r="V200" s="381"/>
      <c r="W200" s="382"/>
      <c r="X200" s="382"/>
      <c r="Y200" s="382"/>
      <c r="Z200" s="382"/>
      <c r="AA200" s="382"/>
      <c r="AB200" s="381"/>
      <c r="AC200" s="383"/>
      <c r="AD200" s="383"/>
      <c r="AE200" s="383"/>
      <c r="AF200" s="381"/>
      <c r="AG200" s="382"/>
      <c r="AH200" s="381"/>
      <c r="AI200" s="380"/>
      <c r="AJ200" s="380"/>
      <c r="AM200" s="379"/>
    </row>
    <row r="201" spans="2:58">
      <c r="C201" s="612"/>
      <c r="D201" s="377"/>
    </row>
    <row r="202" spans="2:58">
      <c r="C202" s="613"/>
      <c r="D202" s="374"/>
    </row>
    <row r="203" spans="2:58">
      <c r="C203" s="614"/>
      <c r="D203" s="375"/>
    </row>
    <row r="204" spans="2:58">
      <c r="C204" s="614"/>
      <c r="D204" s="375"/>
    </row>
    <row r="205" spans="2:58">
      <c r="C205" s="614"/>
      <c r="D205" s="375"/>
    </row>
    <row r="206" spans="2:58">
      <c r="C206" s="614"/>
      <c r="D206" s="375"/>
    </row>
    <row r="207" spans="2:58">
      <c r="C207" s="614"/>
      <c r="D207" s="375"/>
    </row>
    <row r="208" spans="2:58">
      <c r="C208" s="614"/>
      <c r="D208" s="375"/>
    </row>
    <row r="209" spans="3:4">
      <c r="C209" s="614"/>
      <c r="D209" s="375"/>
    </row>
    <row r="210" spans="3:4">
      <c r="C210" s="614"/>
      <c r="D210" s="375"/>
    </row>
    <row r="211" spans="3:4">
      <c r="C211" s="614"/>
      <c r="D211" s="375"/>
    </row>
    <row r="212" spans="3:4">
      <c r="C212" s="614"/>
      <c r="D212" s="375"/>
    </row>
    <row r="213" spans="3:4">
      <c r="C213" s="614"/>
      <c r="D213" s="375"/>
    </row>
    <row r="214" spans="3:4">
      <c r="C214" s="614"/>
      <c r="D214" s="375"/>
    </row>
    <row r="215" spans="3:4">
      <c r="C215" s="614"/>
      <c r="D215" s="375"/>
    </row>
    <row r="216" spans="3:4">
      <c r="C216" s="613"/>
      <c r="D216" s="374"/>
    </row>
  </sheetData>
  <sortState ref="A12:BJ181">
    <sortCondition ref="B12:B181"/>
  </sortState>
  <mergeCells count="3">
    <mergeCell ref="G8:T8"/>
    <mergeCell ref="U8:AH8"/>
    <mergeCell ref="AM8:BI8"/>
  </mergeCells>
  <dataValidations count="1">
    <dataValidation type="list" allowBlank="1" showInputMessage="1" showErrorMessage="1" sqref="C12:C182">
      <formula1>Purpose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121"/>
  <sheetViews>
    <sheetView tabSelected="1" zoomScale="80" zoomScaleNormal="80" workbookViewId="0">
      <pane xSplit="5" ySplit="11" topLeftCell="F12" activePane="bottomRight" state="frozen"/>
      <selection activeCell="S185" sqref="S185"/>
      <selection pane="topRight" activeCell="S185" sqref="S185"/>
      <selection pane="bottomLeft" activeCell="S185" sqref="S185"/>
      <selection pane="bottomRight" activeCell="B9" sqref="B9"/>
    </sheetView>
  </sheetViews>
  <sheetFormatPr defaultColWidth="9" defaultRowHeight="15"/>
  <cols>
    <col min="1" max="1" width="13.6640625" style="370" hidden="1" customWidth="1"/>
    <col min="2" max="2" width="42.77734375" style="367" customWidth="1"/>
    <col min="3" max="3" width="19.109375" style="373" customWidth="1"/>
    <col min="4" max="4" width="17" style="373" customWidth="1"/>
    <col min="5" max="6" width="12.77734375" style="367" customWidth="1"/>
    <col min="7" max="7" width="16.21875" style="367" customWidth="1"/>
    <col min="8" max="8" width="13.6640625" style="367" customWidth="1"/>
    <col min="9" max="9" width="17.77734375" style="370" hidden="1" customWidth="1"/>
    <col min="10" max="10" width="14" style="373" customWidth="1"/>
    <col min="11" max="12" width="13.6640625" style="369" hidden="1" customWidth="1"/>
    <col min="13" max="13" width="12.77734375" style="369" hidden="1" customWidth="1"/>
    <col min="14" max="14" width="14.21875" style="367" customWidth="1"/>
    <col min="15" max="15" width="14.88671875" style="367" customWidth="1"/>
    <col min="16" max="16" width="10.77734375" style="368" customWidth="1"/>
    <col min="17" max="17" width="12.77734375" style="367" customWidth="1"/>
    <col min="18" max="18" width="12.77734375" style="369" hidden="1" customWidth="1"/>
    <col min="19" max="19" width="17" style="368" customWidth="1"/>
    <col min="20" max="20" width="16.88671875" style="367" customWidth="1"/>
    <col min="21" max="21" width="14" style="367" customWidth="1"/>
    <col min="22" max="22" width="12.77734375" style="367" customWidth="1"/>
    <col min="23" max="27" width="9.44140625" style="369" hidden="1" customWidth="1"/>
    <col min="28" max="28" width="9.44140625" style="367" customWidth="1"/>
    <col min="29" max="31" width="10.77734375" style="367" customWidth="1"/>
    <col min="32" max="32" width="11.88671875" style="367" customWidth="1"/>
    <col min="33" max="33" width="11.88671875" style="369" hidden="1" customWidth="1"/>
    <col min="34" max="34" width="13.6640625" style="367" customWidth="1"/>
    <col min="35" max="36" width="15.88671875" style="368" customWidth="1"/>
    <col min="37" max="37" width="12.21875" style="372" customWidth="1"/>
    <col min="38" max="38" width="14" style="371" hidden="1" customWidth="1"/>
    <col min="39" max="39" width="15.77734375" style="367" customWidth="1"/>
    <col min="40" max="40" width="11.44140625" style="367" customWidth="1"/>
    <col min="41" max="41" width="12.44140625" style="369" hidden="1" customWidth="1"/>
    <col min="42" max="43" width="11.109375" style="370" hidden="1" customWidth="1"/>
    <col min="44" max="45" width="14.44140625" style="367" customWidth="1"/>
    <col min="46" max="46" width="10.21875" style="367" customWidth="1"/>
    <col min="47" max="47" width="13.77734375" style="367" customWidth="1"/>
    <col min="48" max="48" width="14.6640625" style="368" customWidth="1"/>
    <col min="49" max="49" width="11.77734375" style="368" customWidth="1"/>
    <col min="50" max="54" width="9" style="369" hidden="1" customWidth="1"/>
    <col min="55" max="55" width="10.77734375" style="367" customWidth="1"/>
    <col min="56" max="56" width="9" style="367"/>
    <col min="57" max="57" width="9.21875" style="367" bestFit="1" customWidth="1"/>
    <col min="58" max="58" width="14.44140625" style="368" customWidth="1"/>
    <col min="59" max="59" width="13.33203125" style="367" customWidth="1"/>
    <col min="60" max="60" width="14.21875" style="367" customWidth="1"/>
    <col min="61" max="61" width="15.21875" style="367" customWidth="1"/>
    <col min="62" max="274" width="9" style="367"/>
    <col min="275" max="275" width="27.88671875" style="367" customWidth="1"/>
    <col min="276" max="276" width="10.109375" style="367" customWidth="1"/>
    <col min="277" max="277" width="12.109375" style="367" customWidth="1"/>
    <col min="278" max="278" width="8.88671875" style="367" customWidth="1"/>
    <col min="279" max="280" width="13.6640625" style="367" customWidth="1"/>
    <col min="281" max="281" width="11.88671875" style="367" customWidth="1"/>
    <col min="282" max="282" width="12.6640625" style="367" customWidth="1"/>
    <col min="283" max="283" width="13.6640625" style="367" customWidth="1"/>
    <col min="284" max="284" width="14.6640625" style="367" customWidth="1"/>
    <col min="285" max="285" width="9.44140625" style="367" customWidth="1"/>
    <col min="286" max="286" width="11.33203125" style="367" customWidth="1"/>
    <col min="287" max="287" width="11.88671875" style="367" customWidth="1"/>
    <col min="288" max="288" width="11.109375" style="367" customWidth="1"/>
    <col min="289" max="289" width="11.88671875" style="367" customWidth="1"/>
    <col min="290" max="290" width="15.88671875" style="367" customWidth="1"/>
    <col min="291" max="291" width="9.88671875" style="367" customWidth="1"/>
    <col min="292" max="292" width="10.109375" style="367" customWidth="1"/>
    <col min="293" max="293" width="9.109375" style="367" customWidth="1"/>
    <col min="294" max="530" width="9" style="367"/>
    <col min="531" max="531" width="27.88671875" style="367" customWidth="1"/>
    <col min="532" max="532" width="10.109375" style="367" customWidth="1"/>
    <col min="533" max="533" width="12.109375" style="367" customWidth="1"/>
    <col min="534" max="534" width="8.88671875" style="367" customWidth="1"/>
    <col min="535" max="536" width="13.6640625" style="367" customWidth="1"/>
    <col min="537" max="537" width="11.88671875" style="367" customWidth="1"/>
    <col min="538" max="538" width="12.6640625" style="367" customWidth="1"/>
    <col min="539" max="539" width="13.6640625" style="367" customWidth="1"/>
    <col min="540" max="540" width="14.6640625" style="367" customWidth="1"/>
    <col min="541" max="541" width="9.44140625" style="367" customWidth="1"/>
    <col min="542" max="542" width="11.33203125" style="367" customWidth="1"/>
    <col min="543" max="543" width="11.88671875" style="367" customWidth="1"/>
    <col min="544" max="544" width="11.109375" style="367" customWidth="1"/>
    <col min="545" max="545" width="11.88671875" style="367" customWidth="1"/>
    <col min="546" max="546" width="15.88671875" style="367" customWidth="1"/>
    <col min="547" max="547" width="9.88671875" style="367" customWidth="1"/>
    <col min="548" max="548" width="10.109375" style="367" customWidth="1"/>
    <col min="549" max="549" width="9.109375" style="367" customWidth="1"/>
    <col min="550" max="786" width="9" style="367"/>
    <col min="787" max="787" width="27.88671875" style="367" customWidth="1"/>
    <col min="788" max="788" width="10.109375" style="367" customWidth="1"/>
    <col min="789" max="789" width="12.109375" style="367" customWidth="1"/>
    <col min="790" max="790" width="8.88671875" style="367" customWidth="1"/>
    <col min="791" max="792" width="13.6640625" style="367" customWidth="1"/>
    <col min="793" max="793" width="11.88671875" style="367" customWidth="1"/>
    <col min="794" max="794" width="12.6640625" style="367" customWidth="1"/>
    <col min="795" max="795" width="13.6640625" style="367" customWidth="1"/>
    <col min="796" max="796" width="14.6640625" style="367" customWidth="1"/>
    <col min="797" max="797" width="9.44140625" style="367" customWidth="1"/>
    <col min="798" max="798" width="11.33203125" style="367" customWidth="1"/>
    <col min="799" max="799" width="11.88671875" style="367" customWidth="1"/>
    <col min="800" max="800" width="11.109375" style="367" customWidth="1"/>
    <col min="801" max="801" width="11.88671875" style="367" customWidth="1"/>
    <col min="802" max="802" width="15.88671875" style="367" customWidth="1"/>
    <col min="803" max="803" width="9.88671875" style="367" customWidth="1"/>
    <col min="804" max="804" width="10.109375" style="367" customWidth="1"/>
    <col min="805" max="805" width="9.109375" style="367" customWidth="1"/>
    <col min="806" max="1042" width="9" style="367"/>
    <col min="1043" max="1043" width="27.88671875" style="367" customWidth="1"/>
    <col min="1044" max="1044" width="10.109375" style="367" customWidth="1"/>
    <col min="1045" max="1045" width="12.109375" style="367" customWidth="1"/>
    <col min="1046" max="1046" width="8.88671875" style="367" customWidth="1"/>
    <col min="1047" max="1048" width="13.6640625" style="367" customWidth="1"/>
    <col min="1049" max="1049" width="11.88671875" style="367" customWidth="1"/>
    <col min="1050" max="1050" width="12.6640625" style="367" customWidth="1"/>
    <col min="1051" max="1051" width="13.6640625" style="367" customWidth="1"/>
    <col min="1052" max="1052" width="14.6640625" style="367" customWidth="1"/>
    <col min="1053" max="1053" width="9.44140625" style="367" customWidth="1"/>
    <col min="1054" max="1054" width="11.33203125" style="367" customWidth="1"/>
    <col min="1055" max="1055" width="11.88671875" style="367" customWidth="1"/>
    <col min="1056" max="1056" width="11.109375" style="367" customWidth="1"/>
    <col min="1057" max="1057" width="11.88671875" style="367" customWidth="1"/>
    <col min="1058" max="1058" width="15.88671875" style="367" customWidth="1"/>
    <col min="1059" max="1059" width="9.88671875" style="367" customWidth="1"/>
    <col min="1060" max="1060" width="10.109375" style="367" customWidth="1"/>
    <col min="1061" max="1061" width="9.109375" style="367" customWidth="1"/>
    <col min="1062" max="1298" width="9" style="367"/>
    <col min="1299" max="1299" width="27.88671875" style="367" customWidth="1"/>
    <col min="1300" max="1300" width="10.109375" style="367" customWidth="1"/>
    <col min="1301" max="1301" width="12.109375" style="367" customWidth="1"/>
    <col min="1302" max="1302" width="8.88671875" style="367" customWidth="1"/>
    <col min="1303" max="1304" width="13.6640625" style="367" customWidth="1"/>
    <col min="1305" max="1305" width="11.88671875" style="367" customWidth="1"/>
    <col min="1306" max="1306" width="12.6640625" style="367" customWidth="1"/>
    <col min="1307" max="1307" width="13.6640625" style="367" customWidth="1"/>
    <col min="1308" max="1308" width="14.6640625" style="367" customWidth="1"/>
    <col min="1309" max="1309" width="9.44140625" style="367" customWidth="1"/>
    <col min="1310" max="1310" width="11.33203125" style="367" customWidth="1"/>
    <col min="1311" max="1311" width="11.88671875" style="367" customWidth="1"/>
    <col min="1312" max="1312" width="11.109375" style="367" customWidth="1"/>
    <col min="1313" max="1313" width="11.88671875" style="367" customWidth="1"/>
    <col min="1314" max="1314" width="15.88671875" style="367" customWidth="1"/>
    <col min="1315" max="1315" width="9.88671875" style="367" customWidth="1"/>
    <col min="1316" max="1316" width="10.109375" style="367" customWidth="1"/>
    <col min="1317" max="1317" width="9.109375" style="367" customWidth="1"/>
    <col min="1318" max="1554" width="9" style="367"/>
    <col min="1555" max="1555" width="27.88671875" style="367" customWidth="1"/>
    <col min="1556" max="1556" width="10.109375" style="367" customWidth="1"/>
    <col min="1557" max="1557" width="12.109375" style="367" customWidth="1"/>
    <col min="1558" max="1558" width="8.88671875" style="367" customWidth="1"/>
    <col min="1559" max="1560" width="13.6640625" style="367" customWidth="1"/>
    <col min="1561" max="1561" width="11.88671875" style="367" customWidth="1"/>
    <col min="1562" max="1562" width="12.6640625" style="367" customWidth="1"/>
    <col min="1563" max="1563" width="13.6640625" style="367" customWidth="1"/>
    <col min="1564" max="1564" width="14.6640625" style="367" customWidth="1"/>
    <col min="1565" max="1565" width="9.44140625" style="367" customWidth="1"/>
    <col min="1566" max="1566" width="11.33203125" style="367" customWidth="1"/>
    <col min="1567" max="1567" width="11.88671875" style="367" customWidth="1"/>
    <col min="1568" max="1568" width="11.109375" style="367" customWidth="1"/>
    <col min="1569" max="1569" width="11.88671875" style="367" customWidth="1"/>
    <col min="1570" max="1570" width="15.88671875" style="367" customWidth="1"/>
    <col min="1571" max="1571" width="9.88671875" style="367" customWidth="1"/>
    <col min="1572" max="1572" width="10.109375" style="367" customWidth="1"/>
    <col min="1573" max="1573" width="9.109375" style="367" customWidth="1"/>
    <col min="1574" max="1810" width="9" style="367"/>
    <col min="1811" max="1811" width="27.88671875" style="367" customWidth="1"/>
    <col min="1812" max="1812" width="10.109375" style="367" customWidth="1"/>
    <col min="1813" max="1813" width="12.109375" style="367" customWidth="1"/>
    <col min="1814" max="1814" width="8.88671875" style="367" customWidth="1"/>
    <col min="1815" max="1816" width="13.6640625" style="367" customWidth="1"/>
    <col min="1817" max="1817" width="11.88671875" style="367" customWidth="1"/>
    <col min="1818" max="1818" width="12.6640625" style="367" customWidth="1"/>
    <col min="1819" max="1819" width="13.6640625" style="367" customWidth="1"/>
    <col min="1820" max="1820" width="14.6640625" style="367" customWidth="1"/>
    <col min="1821" max="1821" width="9.44140625" style="367" customWidth="1"/>
    <col min="1822" max="1822" width="11.33203125" style="367" customWidth="1"/>
    <col min="1823" max="1823" width="11.88671875" style="367" customWidth="1"/>
    <col min="1824" max="1824" width="11.109375" style="367" customWidth="1"/>
    <col min="1825" max="1825" width="11.88671875" style="367" customWidth="1"/>
    <col min="1826" max="1826" width="15.88671875" style="367" customWidth="1"/>
    <col min="1827" max="1827" width="9.88671875" style="367" customWidth="1"/>
    <col min="1828" max="1828" width="10.109375" style="367" customWidth="1"/>
    <col min="1829" max="1829" width="9.109375" style="367" customWidth="1"/>
    <col min="1830" max="2066" width="9" style="367"/>
    <col min="2067" max="2067" width="27.88671875" style="367" customWidth="1"/>
    <col min="2068" max="2068" width="10.109375" style="367" customWidth="1"/>
    <col min="2069" max="2069" width="12.109375" style="367" customWidth="1"/>
    <col min="2070" max="2070" width="8.88671875" style="367" customWidth="1"/>
    <col min="2071" max="2072" width="13.6640625" style="367" customWidth="1"/>
    <col min="2073" max="2073" width="11.88671875" style="367" customWidth="1"/>
    <col min="2074" max="2074" width="12.6640625" style="367" customWidth="1"/>
    <col min="2075" max="2075" width="13.6640625" style="367" customWidth="1"/>
    <col min="2076" max="2076" width="14.6640625" style="367" customWidth="1"/>
    <col min="2077" max="2077" width="9.44140625" style="367" customWidth="1"/>
    <col min="2078" max="2078" width="11.33203125" style="367" customWidth="1"/>
    <col min="2079" max="2079" width="11.88671875" style="367" customWidth="1"/>
    <col min="2080" max="2080" width="11.109375" style="367" customWidth="1"/>
    <col min="2081" max="2081" width="11.88671875" style="367" customWidth="1"/>
    <col min="2082" max="2082" width="15.88671875" style="367" customWidth="1"/>
    <col min="2083" max="2083" width="9.88671875" style="367" customWidth="1"/>
    <col min="2084" max="2084" width="10.109375" style="367" customWidth="1"/>
    <col min="2085" max="2085" width="9.109375" style="367" customWidth="1"/>
    <col min="2086" max="2322" width="9" style="367"/>
    <col min="2323" max="2323" width="27.88671875" style="367" customWidth="1"/>
    <col min="2324" max="2324" width="10.109375" style="367" customWidth="1"/>
    <col min="2325" max="2325" width="12.109375" style="367" customWidth="1"/>
    <col min="2326" max="2326" width="8.88671875" style="367" customWidth="1"/>
    <col min="2327" max="2328" width="13.6640625" style="367" customWidth="1"/>
    <col min="2329" max="2329" width="11.88671875" style="367" customWidth="1"/>
    <col min="2330" max="2330" width="12.6640625" style="367" customWidth="1"/>
    <col min="2331" max="2331" width="13.6640625" style="367" customWidth="1"/>
    <col min="2332" max="2332" width="14.6640625" style="367" customWidth="1"/>
    <col min="2333" max="2333" width="9.44140625" style="367" customWidth="1"/>
    <col min="2334" max="2334" width="11.33203125" style="367" customWidth="1"/>
    <col min="2335" max="2335" width="11.88671875" style="367" customWidth="1"/>
    <col min="2336" max="2336" width="11.109375" style="367" customWidth="1"/>
    <col min="2337" max="2337" width="11.88671875" style="367" customWidth="1"/>
    <col min="2338" max="2338" width="15.88671875" style="367" customWidth="1"/>
    <col min="2339" max="2339" width="9.88671875" style="367" customWidth="1"/>
    <col min="2340" max="2340" width="10.109375" style="367" customWidth="1"/>
    <col min="2341" max="2341" width="9.109375" style="367" customWidth="1"/>
    <col min="2342" max="2578" width="9" style="367"/>
    <col min="2579" max="2579" width="27.88671875" style="367" customWidth="1"/>
    <col min="2580" max="2580" width="10.109375" style="367" customWidth="1"/>
    <col min="2581" max="2581" width="12.109375" style="367" customWidth="1"/>
    <col min="2582" max="2582" width="8.88671875" style="367" customWidth="1"/>
    <col min="2583" max="2584" width="13.6640625" style="367" customWidth="1"/>
    <col min="2585" max="2585" width="11.88671875" style="367" customWidth="1"/>
    <col min="2586" max="2586" width="12.6640625" style="367" customWidth="1"/>
    <col min="2587" max="2587" width="13.6640625" style="367" customWidth="1"/>
    <col min="2588" max="2588" width="14.6640625" style="367" customWidth="1"/>
    <col min="2589" max="2589" width="9.44140625" style="367" customWidth="1"/>
    <col min="2590" max="2590" width="11.33203125" style="367" customWidth="1"/>
    <col min="2591" max="2591" width="11.88671875" style="367" customWidth="1"/>
    <col min="2592" max="2592" width="11.109375" style="367" customWidth="1"/>
    <col min="2593" max="2593" width="11.88671875" style="367" customWidth="1"/>
    <col min="2594" max="2594" width="15.88671875" style="367" customWidth="1"/>
    <col min="2595" max="2595" width="9.88671875" style="367" customWidth="1"/>
    <col min="2596" max="2596" width="10.109375" style="367" customWidth="1"/>
    <col min="2597" max="2597" width="9.109375" style="367" customWidth="1"/>
    <col min="2598" max="2834" width="9" style="367"/>
    <col min="2835" max="2835" width="27.88671875" style="367" customWidth="1"/>
    <col min="2836" max="2836" width="10.109375" style="367" customWidth="1"/>
    <col min="2837" max="2837" width="12.109375" style="367" customWidth="1"/>
    <col min="2838" max="2838" width="8.88671875" style="367" customWidth="1"/>
    <col min="2839" max="2840" width="13.6640625" style="367" customWidth="1"/>
    <col min="2841" max="2841" width="11.88671875" style="367" customWidth="1"/>
    <col min="2842" max="2842" width="12.6640625" style="367" customWidth="1"/>
    <col min="2843" max="2843" width="13.6640625" style="367" customWidth="1"/>
    <col min="2844" max="2844" width="14.6640625" style="367" customWidth="1"/>
    <col min="2845" max="2845" width="9.44140625" style="367" customWidth="1"/>
    <col min="2846" max="2846" width="11.33203125" style="367" customWidth="1"/>
    <col min="2847" max="2847" width="11.88671875" style="367" customWidth="1"/>
    <col min="2848" max="2848" width="11.109375" style="367" customWidth="1"/>
    <col min="2849" max="2849" width="11.88671875" style="367" customWidth="1"/>
    <col min="2850" max="2850" width="15.88671875" style="367" customWidth="1"/>
    <col min="2851" max="2851" width="9.88671875" style="367" customWidth="1"/>
    <col min="2852" max="2852" width="10.109375" style="367" customWidth="1"/>
    <col min="2853" max="2853" width="9.109375" style="367" customWidth="1"/>
    <col min="2854" max="3090" width="9" style="367"/>
    <col min="3091" max="3091" width="27.88671875" style="367" customWidth="1"/>
    <col min="3092" max="3092" width="10.109375" style="367" customWidth="1"/>
    <col min="3093" max="3093" width="12.109375" style="367" customWidth="1"/>
    <col min="3094" max="3094" width="8.88671875" style="367" customWidth="1"/>
    <col min="3095" max="3096" width="13.6640625" style="367" customWidth="1"/>
    <col min="3097" max="3097" width="11.88671875" style="367" customWidth="1"/>
    <col min="3098" max="3098" width="12.6640625" style="367" customWidth="1"/>
    <col min="3099" max="3099" width="13.6640625" style="367" customWidth="1"/>
    <col min="3100" max="3100" width="14.6640625" style="367" customWidth="1"/>
    <col min="3101" max="3101" width="9.44140625" style="367" customWidth="1"/>
    <col min="3102" max="3102" width="11.33203125" style="367" customWidth="1"/>
    <col min="3103" max="3103" width="11.88671875" style="367" customWidth="1"/>
    <col min="3104" max="3104" width="11.109375" style="367" customWidth="1"/>
    <col min="3105" max="3105" width="11.88671875" style="367" customWidth="1"/>
    <col min="3106" max="3106" width="15.88671875" style="367" customWidth="1"/>
    <col min="3107" max="3107" width="9.88671875" style="367" customWidth="1"/>
    <col min="3108" max="3108" width="10.109375" style="367" customWidth="1"/>
    <col min="3109" max="3109" width="9.109375" style="367" customWidth="1"/>
    <col min="3110" max="3346" width="9" style="367"/>
    <col min="3347" max="3347" width="27.88671875" style="367" customWidth="1"/>
    <col min="3348" max="3348" width="10.109375" style="367" customWidth="1"/>
    <col min="3349" max="3349" width="12.109375" style="367" customWidth="1"/>
    <col min="3350" max="3350" width="8.88671875" style="367" customWidth="1"/>
    <col min="3351" max="3352" width="13.6640625" style="367" customWidth="1"/>
    <col min="3353" max="3353" width="11.88671875" style="367" customWidth="1"/>
    <col min="3354" max="3354" width="12.6640625" style="367" customWidth="1"/>
    <col min="3355" max="3355" width="13.6640625" style="367" customWidth="1"/>
    <col min="3356" max="3356" width="14.6640625" style="367" customWidth="1"/>
    <col min="3357" max="3357" width="9.44140625" style="367" customWidth="1"/>
    <col min="3358" max="3358" width="11.33203125" style="367" customWidth="1"/>
    <col min="3359" max="3359" width="11.88671875" style="367" customWidth="1"/>
    <col min="3360" max="3360" width="11.109375" style="367" customWidth="1"/>
    <col min="3361" max="3361" width="11.88671875" style="367" customWidth="1"/>
    <col min="3362" max="3362" width="15.88671875" style="367" customWidth="1"/>
    <col min="3363" max="3363" width="9.88671875" style="367" customWidth="1"/>
    <col min="3364" max="3364" width="10.109375" style="367" customWidth="1"/>
    <col min="3365" max="3365" width="9.109375" style="367" customWidth="1"/>
    <col min="3366" max="3602" width="9" style="367"/>
    <col min="3603" max="3603" width="27.88671875" style="367" customWidth="1"/>
    <col min="3604" max="3604" width="10.109375" style="367" customWidth="1"/>
    <col min="3605" max="3605" width="12.109375" style="367" customWidth="1"/>
    <col min="3606" max="3606" width="8.88671875" style="367" customWidth="1"/>
    <col min="3607" max="3608" width="13.6640625" style="367" customWidth="1"/>
    <col min="3609" max="3609" width="11.88671875" style="367" customWidth="1"/>
    <col min="3610" max="3610" width="12.6640625" style="367" customWidth="1"/>
    <col min="3611" max="3611" width="13.6640625" style="367" customWidth="1"/>
    <col min="3612" max="3612" width="14.6640625" style="367" customWidth="1"/>
    <col min="3613" max="3613" width="9.44140625" style="367" customWidth="1"/>
    <col min="3614" max="3614" width="11.33203125" style="367" customWidth="1"/>
    <col min="3615" max="3615" width="11.88671875" style="367" customWidth="1"/>
    <col min="3616" max="3616" width="11.109375" style="367" customWidth="1"/>
    <col min="3617" max="3617" width="11.88671875" style="367" customWidth="1"/>
    <col min="3618" max="3618" width="15.88671875" style="367" customWidth="1"/>
    <col min="3619" max="3619" width="9.88671875" style="367" customWidth="1"/>
    <col min="3620" max="3620" width="10.109375" style="367" customWidth="1"/>
    <col min="3621" max="3621" width="9.109375" style="367" customWidth="1"/>
    <col min="3622" max="3858" width="9" style="367"/>
    <col min="3859" max="3859" width="27.88671875" style="367" customWidth="1"/>
    <col min="3860" max="3860" width="10.109375" style="367" customWidth="1"/>
    <col min="3861" max="3861" width="12.109375" style="367" customWidth="1"/>
    <col min="3862" max="3862" width="8.88671875" style="367" customWidth="1"/>
    <col min="3863" max="3864" width="13.6640625" style="367" customWidth="1"/>
    <col min="3865" max="3865" width="11.88671875" style="367" customWidth="1"/>
    <col min="3866" max="3866" width="12.6640625" style="367" customWidth="1"/>
    <col min="3867" max="3867" width="13.6640625" style="367" customWidth="1"/>
    <col min="3868" max="3868" width="14.6640625" style="367" customWidth="1"/>
    <col min="3869" max="3869" width="9.44140625" style="367" customWidth="1"/>
    <col min="3870" max="3870" width="11.33203125" style="367" customWidth="1"/>
    <col min="3871" max="3871" width="11.88671875" style="367" customWidth="1"/>
    <col min="3872" max="3872" width="11.109375" style="367" customWidth="1"/>
    <col min="3873" max="3873" width="11.88671875" style="367" customWidth="1"/>
    <col min="3874" max="3874" width="15.88671875" style="367" customWidth="1"/>
    <col min="3875" max="3875" width="9.88671875" style="367" customWidth="1"/>
    <col min="3876" max="3876" width="10.109375" style="367" customWidth="1"/>
    <col min="3877" max="3877" width="9.109375" style="367" customWidth="1"/>
    <col min="3878" max="4114" width="9" style="367"/>
    <col min="4115" max="4115" width="27.88671875" style="367" customWidth="1"/>
    <col min="4116" max="4116" width="10.109375" style="367" customWidth="1"/>
    <col min="4117" max="4117" width="12.109375" style="367" customWidth="1"/>
    <col min="4118" max="4118" width="8.88671875" style="367" customWidth="1"/>
    <col min="4119" max="4120" width="13.6640625" style="367" customWidth="1"/>
    <col min="4121" max="4121" width="11.88671875" style="367" customWidth="1"/>
    <col min="4122" max="4122" width="12.6640625" style="367" customWidth="1"/>
    <col min="4123" max="4123" width="13.6640625" style="367" customWidth="1"/>
    <col min="4124" max="4124" width="14.6640625" style="367" customWidth="1"/>
    <col min="4125" max="4125" width="9.44140625" style="367" customWidth="1"/>
    <col min="4126" max="4126" width="11.33203125" style="367" customWidth="1"/>
    <col min="4127" max="4127" width="11.88671875" style="367" customWidth="1"/>
    <col min="4128" max="4128" width="11.109375" style="367" customWidth="1"/>
    <col min="4129" max="4129" width="11.88671875" style="367" customWidth="1"/>
    <col min="4130" max="4130" width="15.88671875" style="367" customWidth="1"/>
    <col min="4131" max="4131" width="9.88671875" style="367" customWidth="1"/>
    <col min="4132" max="4132" width="10.109375" style="367" customWidth="1"/>
    <col min="4133" max="4133" width="9.109375" style="367" customWidth="1"/>
    <col min="4134" max="4370" width="9" style="367"/>
    <col min="4371" max="4371" width="27.88671875" style="367" customWidth="1"/>
    <col min="4372" max="4372" width="10.109375" style="367" customWidth="1"/>
    <col min="4373" max="4373" width="12.109375" style="367" customWidth="1"/>
    <col min="4374" max="4374" width="8.88671875" style="367" customWidth="1"/>
    <col min="4375" max="4376" width="13.6640625" style="367" customWidth="1"/>
    <col min="4377" max="4377" width="11.88671875" style="367" customWidth="1"/>
    <col min="4378" max="4378" width="12.6640625" style="367" customWidth="1"/>
    <col min="4379" max="4379" width="13.6640625" style="367" customWidth="1"/>
    <col min="4380" max="4380" width="14.6640625" style="367" customWidth="1"/>
    <col min="4381" max="4381" width="9.44140625" style="367" customWidth="1"/>
    <col min="4382" max="4382" width="11.33203125" style="367" customWidth="1"/>
    <col min="4383" max="4383" width="11.88671875" style="367" customWidth="1"/>
    <col min="4384" max="4384" width="11.109375" style="367" customWidth="1"/>
    <col min="4385" max="4385" width="11.88671875" style="367" customWidth="1"/>
    <col min="4386" max="4386" width="15.88671875" style="367" customWidth="1"/>
    <col min="4387" max="4387" width="9.88671875" style="367" customWidth="1"/>
    <col min="4388" max="4388" width="10.109375" style="367" customWidth="1"/>
    <col min="4389" max="4389" width="9.109375" style="367" customWidth="1"/>
    <col min="4390" max="4626" width="9" style="367"/>
    <col min="4627" max="4627" width="27.88671875" style="367" customWidth="1"/>
    <col min="4628" max="4628" width="10.109375" style="367" customWidth="1"/>
    <col min="4629" max="4629" width="12.109375" style="367" customWidth="1"/>
    <col min="4630" max="4630" width="8.88671875" style="367" customWidth="1"/>
    <col min="4631" max="4632" width="13.6640625" style="367" customWidth="1"/>
    <col min="4633" max="4633" width="11.88671875" style="367" customWidth="1"/>
    <col min="4634" max="4634" width="12.6640625" style="367" customWidth="1"/>
    <col min="4635" max="4635" width="13.6640625" style="367" customWidth="1"/>
    <col min="4636" max="4636" width="14.6640625" style="367" customWidth="1"/>
    <col min="4637" max="4637" width="9.44140625" style="367" customWidth="1"/>
    <col min="4638" max="4638" width="11.33203125" style="367" customWidth="1"/>
    <col min="4639" max="4639" width="11.88671875" style="367" customWidth="1"/>
    <col min="4640" max="4640" width="11.109375" style="367" customWidth="1"/>
    <col min="4641" max="4641" width="11.88671875" style="367" customWidth="1"/>
    <col min="4642" max="4642" width="15.88671875" style="367" customWidth="1"/>
    <col min="4643" max="4643" width="9.88671875" style="367" customWidth="1"/>
    <col min="4644" max="4644" width="10.109375" style="367" customWidth="1"/>
    <col min="4645" max="4645" width="9.109375" style="367" customWidth="1"/>
    <col min="4646" max="4882" width="9" style="367"/>
    <col min="4883" max="4883" width="27.88671875" style="367" customWidth="1"/>
    <col min="4884" max="4884" width="10.109375" style="367" customWidth="1"/>
    <col min="4885" max="4885" width="12.109375" style="367" customWidth="1"/>
    <col min="4886" max="4886" width="8.88671875" style="367" customWidth="1"/>
    <col min="4887" max="4888" width="13.6640625" style="367" customWidth="1"/>
    <col min="4889" max="4889" width="11.88671875" style="367" customWidth="1"/>
    <col min="4890" max="4890" width="12.6640625" style="367" customWidth="1"/>
    <col min="4891" max="4891" width="13.6640625" style="367" customWidth="1"/>
    <col min="4892" max="4892" width="14.6640625" style="367" customWidth="1"/>
    <col min="4893" max="4893" width="9.44140625" style="367" customWidth="1"/>
    <col min="4894" max="4894" width="11.33203125" style="367" customWidth="1"/>
    <col min="4895" max="4895" width="11.88671875" style="367" customWidth="1"/>
    <col min="4896" max="4896" width="11.109375" style="367" customWidth="1"/>
    <col min="4897" max="4897" width="11.88671875" style="367" customWidth="1"/>
    <col min="4898" max="4898" width="15.88671875" style="367" customWidth="1"/>
    <col min="4899" max="4899" width="9.88671875" style="367" customWidth="1"/>
    <col min="4900" max="4900" width="10.109375" style="367" customWidth="1"/>
    <col min="4901" max="4901" width="9.109375" style="367" customWidth="1"/>
    <col min="4902" max="5138" width="9" style="367"/>
    <col min="5139" max="5139" width="27.88671875" style="367" customWidth="1"/>
    <col min="5140" max="5140" width="10.109375" style="367" customWidth="1"/>
    <col min="5141" max="5141" width="12.109375" style="367" customWidth="1"/>
    <col min="5142" max="5142" width="8.88671875" style="367" customWidth="1"/>
    <col min="5143" max="5144" width="13.6640625" style="367" customWidth="1"/>
    <col min="5145" max="5145" width="11.88671875" style="367" customWidth="1"/>
    <col min="5146" max="5146" width="12.6640625" style="367" customWidth="1"/>
    <col min="5147" max="5147" width="13.6640625" style="367" customWidth="1"/>
    <col min="5148" max="5148" width="14.6640625" style="367" customWidth="1"/>
    <col min="5149" max="5149" width="9.44140625" style="367" customWidth="1"/>
    <col min="5150" max="5150" width="11.33203125" style="367" customWidth="1"/>
    <col min="5151" max="5151" width="11.88671875" style="367" customWidth="1"/>
    <col min="5152" max="5152" width="11.109375" style="367" customWidth="1"/>
    <col min="5153" max="5153" width="11.88671875" style="367" customWidth="1"/>
    <col min="5154" max="5154" width="15.88671875" style="367" customWidth="1"/>
    <col min="5155" max="5155" width="9.88671875" style="367" customWidth="1"/>
    <col min="5156" max="5156" width="10.109375" style="367" customWidth="1"/>
    <col min="5157" max="5157" width="9.109375" style="367" customWidth="1"/>
    <col min="5158" max="5394" width="9" style="367"/>
    <col min="5395" max="5395" width="27.88671875" style="367" customWidth="1"/>
    <col min="5396" max="5396" width="10.109375" style="367" customWidth="1"/>
    <col min="5397" max="5397" width="12.109375" style="367" customWidth="1"/>
    <col min="5398" max="5398" width="8.88671875" style="367" customWidth="1"/>
    <col min="5399" max="5400" width="13.6640625" style="367" customWidth="1"/>
    <col min="5401" max="5401" width="11.88671875" style="367" customWidth="1"/>
    <col min="5402" max="5402" width="12.6640625" style="367" customWidth="1"/>
    <col min="5403" max="5403" width="13.6640625" style="367" customWidth="1"/>
    <col min="5404" max="5404" width="14.6640625" style="367" customWidth="1"/>
    <col min="5405" max="5405" width="9.44140625" style="367" customWidth="1"/>
    <col min="5406" max="5406" width="11.33203125" style="367" customWidth="1"/>
    <col min="5407" max="5407" width="11.88671875" style="367" customWidth="1"/>
    <col min="5408" max="5408" width="11.109375" style="367" customWidth="1"/>
    <col min="5409" max="5409" width="11.88671875" style="367" customWidth="1"/>
    <col min="5410" max="5410" width="15.88671875" style="367" customWidth="1"/>
    <col min="5411" max="5411" width="9.88671875" style="367" customWidth="1"/>
    <col min="5412" max="5412" width="10.109375" style="367" customWidth="1"/>
    <col min="5413" max="5413" width="9.109375" style="367" customWidth="1"/>
    <col min="5414" max="5650" width="9" style="367"/>
    <col min="5651" max="5651" width="27.88671875" style="367" customWidth="1"/>
    <col min="5652" max="5652" width="10.109375" style="367" customWidth="1"/>
    <col min="5653" max="5653" width="12.109375" style="367" customWidth="1"/>
    <col min="5654" max="5654" width="8.88671875" style="367" customWidth="1"/>
    <col min="5655" max="5656" width="13.6640625" style="367" customWidth="1"/>
    <col min="5657" max="5657" width="11.88671875" style="367" customWidth="1"/>
    <col min="5658" max="5658" width="12.6640625" style="367" customWidth="1"/>
    <col min="5659" max="5659" width="13.6640625" style="367" customWidth="1"/>
    <col min="5660" max="5660" width="14.6640625" style="367" customWidth="1"/>
    <col min="5661" max="5661" width="9.44140625" style="367" customWidth="1"/>
    <col min="5662" max="5662" width="11.33203125" style="367" customWidth="1"/>
    <col min="5663" max="5663" width="11.88671875" style="367" customWidth="1"/>
    <col min="5664" max="5664" width="11.109375" style="367" customWidth="1"/>
    <col min="5665" max="5665" width="11.88671875" style="367" customWidth="1"/>
    <col min="5666" max="5666" width="15.88671875" style="367" customWidth="1"/>
    <col min="5667" max="5667" width="9.88671875" style="367" customWidth="1"/>
    <col min="5668" max="5668" width="10.109375" style="367" customWidth="1"/>
    <col min="5669" max="5669" width="9.109375" style="367" customWidth="1"/>
    <col min="5670" max="5906" width="9" style="367"/>
    <col min="5907" max="5907" width="27.88671875" style="367" customWidth="1"/>
    <col min="5908" max="5908" width="10.109375" style="367" customWidth="1"/>
    <col min="5909" max="5909" width="12.109375" style="367" customWidth="1"/>
    <col min="5910" max="5910" width="8.88671875" style="367" customWidth="1"/>
    <col min="5911" max="5912" width="13.6640625" style="367" customWidth="1"/>
    <col min="5913" max="5913" width="11.88671875" style="367" customWidth="1"/>
    <col min="5914" max="5914" width="12.6640625" style="367" customWidth="1"/>
    <col min="5915" max="5915" width="13.6640625" style="367" customWidth="1"/>
    <col min="5916" max="5916" width="14.6640625" style="367" customWidth="1"/>
    <col min="5917" max="5917" width="9.44140625" style="367" customWidth="1"/>
    <col min="5918" max="5918" width="11.33203125" style="367" customWidth="1"/>
    <col min="5919" max="5919" width="11.88671875" style="367" customWidth="1"/>
    <col min="5920" max="5920" width="11.109375" style="367" customWidth="1"/>
    <col min="5921" max="5921" width="11.88671875" style="367" customWidth="1"/>
    <col min="5922" max="5922" width="15.88671875" style="367" customWidth="1"/>
    <col min="5923" max="5923" width="9.88671875" style="367" customWidth="1"/>
    <col min="5924" max="5924" width="10.109375" style="367" customWidth="1"/>
    <col min="5925" max="5925" width="9.109375" style="367" customWidth="1"/>
    <col min="5926" max="6162" width="9" style="367"/>
    <col min="6163" max="6163" width="27.88671875" style="367" customWidth="1"/>
    <col min="6164" max="6164" width="10.109375" style="367" customWidth="1"/>
    <col min="6165" max="6165" width="12.109375" style="367" customWidth="1"/>
    <col min="6166" max="6166" width="8.88671875" style="367" customWidth="1"/>
    <col min="6167" max="6168" width="13.6640625" style="367" customWidth="1"/>
    <col min="6169" max="6169" width="11.88671875" style="367" customWidth="1"/>
    <col min="6170" max="6170" width="12.6640625" style="367" customWidth="1"/>
    <col min="6171" max="6171" width="13.6640625" style="367" customWidth="1"/>
    <col min="6172" max="6172" width="14.6640625" style="367" customWidth="1"/>
    <col min="6173" max="6173" width="9.44140625" style="367" customWidth="1"/>
    <col min="6174" max="6174" width="11.33203125" style="367" customWidth="1"/>
    <col min="6175" max="6175" width="11.88671875" style="367" customWidth="1"/>
    <col min="6176" max="6176" width="11.109375" style="367" customWidth="1"/>
    <col min="6177" max="6177" width="11.88671875" style="367" customWidth="1"/>
    <col min="6178" max="6178" width="15.88671875" style="367" customWidth="1"/>
    <col min="6179" max="6179" width="9.88671875" style="367" customWidth="1"/>
    <col min="6180" max="6180" width="10.109375" style="367" customWidth="1"/>
    <col min="6181" max="6181" width="9.109375" style="367" customWidth="1"/>
    <col min="6182" max="6418" width="9" style="367"/>
    <col min="6419" max="6419" width="27.88671875" style="367" customWidth="1"/>
    <col min="6420" max="6420" width="10.109375" style="367" customWidth="1"/>
    <col min="6421" max="6421" width="12.109375" style="367" customWidth="1"/>
    <col min="6422" max="6422" width="8.88671875" style="367" customWidth="1"/>
    <col min="6423" max="6424" width="13.6640625" style="367" customWidth="1"/>
    <col min="6425" max="6425" width="11.88671875" style="367" customWidth="1"/>
    <col min="6426" max="6426" width="12.6640625" style="367" customWidth="1"/>
    <col min="6427" max="6427" width="13.6640625" style="367" customWidth="1"/>
    <col min="6428" max="6428" width="14.6640625" style="367" customWidth="1"/>
    <col min="6429" max="6429" width="9.44140625" style="367" customWidth="1"/>
    <col min="6430" max="6430" width="11.33203125" style="367" customWidth="1"/>
    <col min="6431" max="6431" width="11.88671875" style="367" customWidth="1"/>
    <col min="6432" max="6432" width="11.109375" style="367" customWidth="1"/>
    <col min="6433" max="6433" width="11.88671875" style="367" customWidth="1"/>
    <col min="6434" max="6434" width="15.88671875" style="367" customWidth="1"/>
    <col min="6435" max="6435" width="9.88671875" style="367" customWidth="1"/>
    <col min="6436" max="6436" width="10.109375" style="367" customWidth="1"/>
    <col min="6437" max="6437" width="9.109375" style="367" customWidth="1"/>
    <col min="6438" max="6674" width="9" style="367"/>
    <col min="6675" max="6675" width="27.88671875" style="367" customWidth="1"/>
    <col min="6676" max="6676" width="10.109375" style="367" customWidth="1"/>
    <col min="6677" max="6677" width="12.109375" style="367" customWidth="1"/>
    <col min="6678" max="6678" width="8.88671875" style="367" customWidth="1"/>
    <col min="6679" max="6680" width="13.6640625" style="367" customWidth="1"/>
    <col min="6681" max="6681" width="11.88671875" style="367" customWidth="1"/>
    <col min="6682" max="6682" width="12.6640625" style="367" customWidth="1"/>
    <col min="6683" max="6683" width="13.6640625" style="367" customWidth="1"/>
    <col min="6684" max="6684" width="14.6640625" style="367" customWidth="1"/>
    <col min="6685" max="6685" width="9.44140625" style="367" customWidth="1"/>
    <col min="6686" max="6686" width="11.33203125" style="367" customWidth="1"/>
    <col min="6687" max="6687" width="11.88671875" style="367" customWidth="1"/>
    <col min="6688" max="6688" width="11.109375" style="367" customWidth="1"/>
    <col min="6689" max="6689" width="11.88671875" style="367" customWidth="1"/>
    <col min="6690" max="6690" width="15.88671875" style="367" customWidth="1"/>
    <col min="6691" max="6691" width="9.88671875" style="367" customWidth="1"/>
    <col min="6692" max="6692" width="10.109375" style="367" customWidth="1"/>
    <col min="6693" max="6693" width="9.109375" style="367" customWidth="1"/>
    <col min="6694" max="6930" width="9" style="367"/>
    <col min="6931" max="6931" width="27.88671875" style="367" customWidth="1"/>
    <col min="6932" max="6932" width="10.109375" style="367" customWidth="1"/>
    <col min="6933" max="6933" width="12.109375" style="367" customWidth="1"/>
    <col min="6934" max="6934" width="8.88671875" style="367" customWidth="1"/>
    <col min="6935" max="6936" width="13.6640625" style="367" customWidth="1"/>
    <col min="6937" max="6937" width="11.88671875" style="367" customWidth="1"/>
    <col min="6938" max="6938" width="12.6640625" style="367" customWidth="1"/>
    <col min="6939" max="6939" width="13.6640625" style="367" customWidth="1"/>
    <col min="6940" max="6940" width="14.6640625" style="367" customWidth="1"/>
    <col min="6941" max="6941" width="9.44140625" style="367" customWidth="1"/>
    <col min="6942" max="6942" width="11.33203125" style="367" customWidth="1"/>
    <col min="6943" max="6943" width="11.88671875" style="367" customWidth="1"/>
    <col min="6944" max="6944" width="11.109375" style="367" customWidth="1"/>
    <col min="6945" max="6945" width="11.88671875" style="367" customWidth="1"/>
    <col min="6946" max="6946" width="15.88671875" style="367" customWidth="1"/>
    <col min="6947" max="6947" width="9.88671875" style="367" customWidth="1"/>
    <col min="6948" max="6948" width="10.109375" style="367" customWidth="1"/>
    <col min="6949" max="6949" width="9.109375" style="367" customWidth="1"/>
    <col min="6950" max="7186" width="9" style="367"/>
    <col min="7187" max="7187" width="27.88671875" style="367" customWidth="1"/>
    <col min="7188" max="7188" width="10.109375" style="367" customWidth="1"/>
    <col min="7189" max="7189" width="12.109375" style="367" customWidth="1"/>
    <col min="7190" max="7190" width="8.88671875" style="367" customWidth="1"/>
    <col min="7191" max="7192" width="13.6640625" style="367" customWidth="1"/>
    <col min="7193" max="7193" width="11.88671875" style="367" customWidth="1"/>
    <col min="7194" max="7194" width="12.6640625" style="367" customWidth="1"/>
    <col min="7195" max="7195" width="13.6640625" style="367" customWidth="1"/>
    <col min="7196" max="7196" width="14.6640625" style="367" customWidth="1"/>
    <col min="7197" max="7197" width="9.44140625" style="367" customWidth="1"/>
    <col min="7198" max="7198" width="11.33203125" style="367" customWidth="1"/>
    <col min="7199" max="7199" width="11.88671875" style="367" customWidth="1"/>
    <col min="7200" max="7200" width="11.109375" style="367" customWidth="1"/>
    <col min="7201" max="7201" width="11.88671875" style="367" customWidth="1"/>
    <col min="7202" max="7202" width="15.88671875" style="367" customWidth="1"/>
    <col min="7203" max="7203" width="9.88671875" style="367" customWidth="1"/>
    <col min="7204" max="7204" width="10.109375" style="367" customWidth="1"/>
    <col min="7205" max="7205" width="9.109375" style="367" customWidth="1"/>
    <col min="7206" max="7442" width="9" style="367"/>
    <col min="7443" max="7443" width="27.88671875" style="367" customWidth="1"/>
    <col min="7444" max="7444" width="10.109375" style="367" customWidth="1"/>
    <col min="7445" max="7445" width="12.109375" style="367" customWidth="1"/>
    <col min="7446" max="7446" width="8.88671875" style="367" customWidth="1"/>
    <col min="7447" max="7448" width="13.6640625" style="367" customWidth="1"/>
    <col min="7449" max="7449" width="11.88671875" style="367" customWidth="1"/>
    <col min="7450" max="7450" width="12.6640625" style="367" customWidth="1"/>
    <col min="7451" max="7451" width="13.6640625" style="367" customWidth="1"/>
    <col min="7452" max="7452" width="14.6640625" style="367" customWidth="1"/>
    <col min="7453" max="7453" width="9.44140625" style="367" customWidth="1"/>
    <col min="7454" max="7454" width="11.33203125" style="367" customWidth="1"/>
    <col min="7455" max="7455" width="11.88671875" style="367" customWidth="1"/>
    <col min="7456" max="7456" width="11.109375" style="367" customWidth="1"/>
    <col min="7457" max="7457" width="11.88671875" style="367" customWidth="1"/>
    <col min="7458" max="7458" width="15.88671875" style="367" customWidth="1"/>
    <col min="7459" max="7459" width="9.88671875" style="367" customWidth="1"/>
    <col min="7460" max="7460" width="10.109375" style="367" customWidth="1"/>
    <col min="7461" max="7461" width="9.109375" style="367" customWidth="1"/>
    <col min="7462" max="7698" width="9" style="367"/>
    <col min="7699" max="7699" width="27.88671875" style="367" customWidth="1"/>
    <col min="7700" max="7700" width="10.109375" style="367" customWidth="1"/>
    <col min="7701" max="7701" width="12.109375" style="367" customWidth="1"/>
    <col min="7702" max="7702" width="8.88671875" style="367" customWidth="1"/>
    <col min="7703" max="7704" width="13.6640625" style="367" customWidth="1"/>
    <col min="7705" max="7705" width="11.88671875" style="367" customWidth="1"/>
    <col min="7706" max="7706" width="12.6640625" style="367" customWidth="1"/>
    <col min="7707" max="7707" width="13.6640625" style="367" customWidth="1"/>
    <col min="7708" max="7708" width="14.6640625" style="367" customWidth="1"/>
    <col min="7709" max="7709" width="9.44140625" style="367" customWidth="1"/>
    <col min="7710" max="7710" width="11.33203125" style="367" customWidth="1"/>
    <col min="7711" max="7711" width="11.88671875" style="367" customWidth="1"/>
    <col min="7712" max="7712" width="11.109375" style="367" customWidth="1"/>
    <col min="7713" max="7713" width="11.88671875" style="367" customWidth="1"/>
    <col min="7714" max="7714" width="15.88671875" style="367" customWidth="1"/>
    <col min="7715" max="7715" width="9.88671875" style="367" customWidth="1"/>
    <col min="7716" max="7716" width="10.109375" style="367" customWidth="1"/>
    <col min="7717" max="7717" width="9.109375" style="367" customWidth="1"/>
    <col min="7718" max="7954" width="9" style="367"/>
    <col min="7955" max="7955" width="27.88671875" style="367" customWidth="1"/>
    <col min="7956" max="7956" width="10.109375" style="367" customWidth="1"/>
    <col min="7957" max="7957" width="12.109375" style="367" customWidth="1"/>
    <col min="7958" max="7958" width="8.88671875" style="367" customWidth="1"/>
    <col min="7959" max="7960" width="13.6640625" style="367" customWidth="1"/>
    <col min="7961" max="7961" width="11.88671875" style="367" customWidth="1"/>
    <col min="7962" max="7962" width="12.6640625" style="367" customWidth="1"/>
    <col min="7963" max="7963" width="13.6640625" style="367" customWidth="1"/>
    <col min="7964" max="7964" width="14.6640625" style="367" customWidth="1"/>
    <col min="7965" max="7965" width="9.44140625" style="367" customWidth="1"/>
    <col min="7966" max="7966" width="11.33203125" style="367" customWidth="1"/>
    <col min="7967" max="7967" width="11.88671875" style="367" customWidth="1"/>
    <col min="7968" max="7968" width="11.109375" style="367" customWidth="1"/>
    <col min="7969" max="7969" width="11.88671875" style="367" customWidth="1"/>
    <col min="7970" max="7970" width="15.88671875" style="367" customWidth="1"/>
    <col min="7971" max="7971" width="9.88671875" style="367" customWidth="1"/>
    <col min="7972" max="7972" width="10.109375" style="367" customWidth="1"/>
    <col min="7973" max="7973" width="9.109375" style="367" customWidth="1"/>
    <col min="7974" max="8210" width="9" style="367"/>
    <col min="8211" max="8211" width="27.88671875" style="367" customWidth="1"/>
    <col min="8212" max="8212" width="10.109375" style="367" customWidth="1"/>
    <col min="8213" max="8213" width="12.109375" style="367" customWidth="1"/>
    <col min="8214" max="8214" width="8.88671875" style="367" customWidth="1"/>
    <col min="8215" max="8216" width="13.6640625" style="367" customWidth="1"/>
    <col min="8217" max="8217" width="11.88671875" style="367" customWidth="1"/>
    <col min="8218" max="8218" width="12.6640625" style="367" customWidth="1"/>
    <col min="8219" max="8219" width="13.6640625" style="367" customWidth="1"/>
    <col min="8220" max="8220" width="14.6640625" style="367" customWidth="1"/>
    <col min="8221" max="8221" width="9.44140625" style="367" customWidth="1"/>
    <col min="8222" max="8222" width="11.33203125" style="367" customWidth="1"/>
    <col min="8223" max="8223" width="11.88671875" style="367" customWidth="1"/>
    <col min="8224" max="8224" width="11.109375" style="367" customWidth="1"/>
    <col min="8225" max="8225" width="11.88671875" style="367" customWidth="1"/>
    <col min="8226" max="8226" width="15.88671875" style="367" customWidth="1"/>
    <col min="8227" max="8227" width="9.88671875" style="367" customWidth="1"/>
    <col min="8228" max="8228" width="10.109375" style="367" customWidth="1"/>
    <col min="8229" max="8229" width="9.109375" style="367" customWidth="1"/>
    <col min="8230" max="8466" width="9" style="367"/>
    <col min="8467" max="8467" width="27.88671875" style="367" customWidth="1"/>
    <col min="8468" max="8468" width="10.109375" style="367" customWidth="1"/>
    <col min="8469" max="8469" width="12.109375" style="367" customWidth="1"/>
    <col min="8470" max="8470" width="8.88671875" style="367" customWidth="1"/>
    <col min="8471" max="8472" width="13.6640625" style="367" customWidth="1"/>
    <col min="8473" max="8473" width="11.88671875" style="367" customWidth="1"/>
    <col min="8474" max="8474" width="12.6640625" style="367" customWidth="1"/>
    <col min="8475" max="8475" width="13.6640625" style="367" customWidth="1"/>
    <col min="8476" max="8476" width="14.6640625" style="367" customWidth="1"/>
    <col min="8477" max="8477" width="9.44140625" style="367" customWidth="1"/>
    <col min="8478" max="8478" width="11.33203125" style="367" customWidth="1"/>
    <col min="8479" max="8479" width="11.88671875" style="367" customWidth="1"/>
    <col min="8480" max="8480" width="11.109375" style="367" customWidth="1"/>
    <col min="8481" max="8481" width="11.88671875" style="367" customWidth="1"/>
    <col min="8482" max="8482" width="15.88671875" style="367" customWidth="1"/>
    <col min="8483" max="8483" width="9.88671875" style="367" customWidth="1"/>
    <col min="8484" max="8484" width="10.109375" style="367" customWidth="1"/>
    <col min="8485" max="8485" width="9.109375" style="367" customWidth="1"/>
    <col min="8486" max="8722" width="9" style="367"/>
    <col min="8723" max="8723" width="27.88671875" style="367" customWidth="1"/>
    <col min="8724" max="8724" width="10.109375" style="367" customWidth="1"/>
    <col min="8725" max="8725" width="12.109375" style="367" customWidth="1"/>
    <col min="8726" max="8726" width="8.88671875" style="367" customWidth="1"/>
    <col min="8727" max="8728" width="13.6640625" style="367" customWidth="1"/>
    <col min="8729" max="8729" width="11.88671875" style="367" customWidth="1"/>
    <col min="8730" max="8730" width="12.6640625" style="367" customWidth="1"/>
    <col min="8731" max="8731" width="13.6640625" style="367" customWidth="1"/>
    <col min="8732" max="8732" width="14.6640625" style="367" customWidth="1"/>
    <col min="8733" max="8733" width="9.44140625" style="367" customWidth="1"/>
    <col min="8734" max="8734" width="11.33203125" style="367" customWidth="1"/>
    <col min="8735" max="8735" width="11.88671875" style="367" customWidth="1"/>
    <col min="8736" max="8736" width="11.109375" style="367" customWidth="1"/>
    <col min="8737" max="8737" width="11.88671875" style="367" customWidth="1"/>
    <col min="8738" max="8738" width="15.88671875" style="367" customWidth="1"/>
    <col min="8739" max="8739" width="9.88671875" style="367" customWidth="1"/>
    <col min="8740" max="8740" width="10.109375" style="367" customWidth="1"/>
    <col min="8741" max="8741" width="9.109375" style="367" customWidth="1"/>
    <col min="8742" max="8978" width="9" style="367"/>
    <col min="8979" max="8979" width="27.88671875" style="367" customWidth="1"/>
    <col min="8980" max="8980" width="10.109375" style="367" customWidth="1"/>
    <col min="8981" max="8981" width="12.109375" style="367" customWidth="1"/>
    <col min="8982" max="8982" width="8.88671875" style="367" customWidth="1"/>
    <col min="8983" max="8984" width="13.6640625" style="367" customWidth="1"/>
    <col min="8985" max="8985" width="11.88671875" style="367" customWidth="1"/>
    <col min="8986" max="8986" width="12.6640625" style="367" customWidth="1"/>
    <col min="8987" max="8987" width="13.6640625" style="367" customWidth="1"/>
    <col min="8988" max="8988" width="14.6640625" style="367" customWidth="1"/>
    <col min="8989" max="8989" width="9.44140625" style="367" customWidth="1"/>
    <col min="8990" max="8990" width="11.33203125" style="367" customWidth="1"/>
    <col min="8991" max="8991" width="11.88671875" style="367" customWidth="1"/>
    <col min="8992" max="8992" width="11.109375" style="367" customWidth="1"/>
    <col min="8993" max="8993" width="11.88671875" style="367" customWidth="1"/>
    <col min="8994" max="8994" width="15.88671875" style="367" customWidth="1"/>
    <col min="8995" max="8995" width="9.88671875" style="367" customWidth="1"/>
    <col min="8996" max="8996" width="10.109375" style="367" customWidth="1"/>
    <col min="8997" max="8997" width="9.109375" style="367" customWidth="1"/>
    <col min="8998" max="9234" width="9" style="367"/>
    <col min="9235" max="9235" width="27.88671875" style="367" customWidth="1"/>
    <col min="9236" max="9236" width="10.109375" style="367" customWidth="1"/>
    <col min="9237" max="9237" width="12.109375" style="367" customWidth="1"/>
    <col min="9238" max="9238" width="8.88671875" style="367" customWidth="1"/>
    <col min="9239" max="9240" width="13.6640625" style="367" customWidth="1"/>
    <col min="9241" max="9241" width="11.88671875" style="367" customWidth="1"/>
    <col min="9242" max="9242" width="12.6640625" style="367" customWidth="1"/>
    <col min="9243" max="9243" width="13.6640625" style="367" customWidth="1"/>
    <col min="9244" max="9244" width="14.6640625" style="367" customWidth="1"/>
    <col min="9245" max="9245" width="9.44140625" style="367" customWidth="1"/>
    <col min="9246" max="9246" width="11.33203125" style="367" customWidth="1"/>
    <col min="9247" max="9247" width="11.88671875" style="367" customWidth="1"/>
    <col min="9248" max="9248" width="11.109375" style="367" customWidth="1"/>
    <col min="9249" max="9249" width="11.88671875" style="367" customWidth="1"/>
    <col min="9250" max="9250" width="15.88671875" style="367" customWidth="1"/>
    <col min="9251" max="9251" width="9.88671875" style="367" customWidth="1"/>
    <col min="9252" max="9252" width="10.109375" style="367" customWidth="1"/>
    <col min="9253" max="9253" width="9.109375" style="367" customWidth="1"/>
    <col min="9254" max="9490" width="9" style="367"/>
    <col min="9491" max="9491" width="27.88671875" style="367" customWidth="1"/>
    <col min="9492" max="9492" width="10.109375" style="367" customWidth="1"/>
    <col min="9493" max="9493" width="12.109375" style="367" customWidth="1"/>
    <col min="9494" max="9494" width="8.88671875" style="367" customWidth="1"/>
    <col min="9495" max="9496" width="13.6640625" style="367" customWidth="1"/>
    <col min="9497" max="9497" width="11.88671875" style="367" customWidth="1"/>
    <col min="9498" max="9498" width="12.6640625" style="367" customWidth="1"/>
    <col min="9499" max="9499" width="13.6640625" style="367" customWidth="1"/>
    <col min="9500" max="9500" width="14.6640625" style="367" customWidth="1"/>
    <col min="9501" max="9501" width="9.44140625" style="367" customWidth="1"/>
    <col min="9502" max="9502" width="11.33203125" style="367" customWidth="1"/>
    <col min="9503" max="9503" width="11.88671875" style="367" customWidth="1"/>
    <col min="9504" max="9504" width="11.109375" style="367" customWidth="1"/>
    <col min="9505" max="9505" width="11.88671875" style="367" customWidth="1"/>
    <col min="9506" max="9506" width="15.88671875" style="367" customWidth="1"/>
    <col min="9507" max="9507" width="9.88671875" style="367" customWidth="1"/>
    <col min="9508" max="9508" width="10.109375" style="367" customWidth="1"/>
    <col min="9509" max="9509" width="9.109375" style="367" customWidth="1"/>
    <col min="9510" max="9746" width="9" style="367"/>
    <col min="9747" max="9747" width="27.88671875" style="367" customWidth="1"/>
    <col min="9748" max="9748" width="10.109375" style="367" customWidth="1"/>
    <col min="9749" max="9749" width="12.109375" style="367" customWidth="1"/>
    <col min="9750" max="9750" width="8.88671875" style="367" customWidth="1"/>
    <col min="9751" max="9752" width="13.6640625" style="367" customWidth="1"/>
    <col min="9753" max="9753" width="11.88671875" style="367" customWidth="1"/>
    <col min="9754" max="9754" width="12.6640625" style="367" customWidth="1"/>
    <col min="9755" max="9755" width="13.6640625" style="367" customWidth="1"/>
    <col min="9756" max="9756" width="14.6640625" style="367" customWidth="1"/>
    <col min="9757" max="9757" width="9.44140625" style="367" customWidth="1"/>
    <col min="9758" max="9758" width="11.33203125" style="367" customWidth="1"/>
    <col min="9759" max="9759" width="11.88671875" style="367" customWidth="1"/>
    <col min="9760" max="9760" width="11.109375" style="367" customWidth="1"/>
    <col min="9761" max="9761" width="11.88671875" style="367" customWidth="1"/>
    <col min="9762" max="9762" width="15.88671875" style="367" customWidth="1"/>
    <col min="9763" max="9763" width="9.88671875" style="367" customWidth="1"/>
    <col min="9764" max="9764" width="10.109375" style="367" customWidth="1"/>
    <col min="9765" max="9765" width="9.109375" style="367" customWidth="1"/>
    <col min="9766" max="10002" width="9" style="367"/>
    <col min="10003" max="10003" width="27.88671875" style="367" customWidth="1"/>
    <col min="10004" max="10004" width="10.109375" style="367" customWidth="1"/>
    <col min="10005" max="10005" width="12.109375" style="367" customWidth="1"/>
    <col min="10006" max="10006" width="8.88671875" style="367" customWidth="1"/>
    <col min="10007" max="10008" width="13.6640625" style="367" customWidth="1"/>
    <col min="10009" max="10009" width="11.88671875" style="367" customWidth="1"/>
    <col min="10010" max="10010" width="12.6640625" style="367" customWidth="1"/>
    <col min="10011" max="10011" width="13.6640625" style="367" customWidth="1"/>
    <col min="10012" max="10012" width="14.6640625" style="367" customWidth="1"/>
    <col min="10013" max="10013" width="9.44140625" style="367" customWidth="1"/>
    <col min="10014" max="10014" width="11.33203125" style="367" customWidth="1"/>
    <col min="10015" max="10015" width="11.88671875" style="367" customWidth="1"/>
    <col min="10016" max="10016" width="11.109375" style="367" customWidth="1"/>
    <col min="10017" max="10017" width="11.88671875" style="367" customWidth="1"/>
    <col min="10018" max="10018" width="15.88671875" style="367" customWidth="1"/>
    <col min="10019" max="10019" width="9.88671875" style="367" customWidth="1"/>
    <col min="10020" max="10020" width="10.109375" style="367" customWidth="1"/>
    <col min="10021" max="10021" width="9.109375" style="367" customWidth="1"/>
    <col min="10022" max="10258" width="9" style="367"/>
    <col min="10259" max="10259" width="27.88671875" style="367" customWidth="1"/>
    <col min="10260" max="10260" width="10.109375" style="367" customWidth="1"/>
    <col min="10261" max="10261" width="12.109375" style="367" customWidth="1"/>
    <col min="10262" max="10262" width="8.88671875" style="367" customWidth="1"/>
    <col min="10263" max="10264" width="13.6640625" style="367" customWidth="1"/>
    <col min="10265" max="10265" width="11.88671875" style="367" customWidth="1"/>
    <col min="10266" max="10266" width="12.6640625" style="367" customWidth="1"/>
    <col min="10267" max="10267" width="13.6640625" style="367" customWidth="1"/>
    <col min="10268" max="10268" width="14.6640625" style="367" customWidth="1"/>
    <col min="10269" max="10269" width="9.44140625" style="367" customWidth="1"/>
    <col min="10270" max="10270" width="11.33203125" style="367" customWidth="1"/>
    <col min="10271" max="10271" width="11.88671875" style="367" customWidth="1"/>
    <col min="10272" max="10272" width="11.109375" style="367" customWidth="1"/>
    <col min="10273" max="10273" width="11.88671875" style="367" customWidth="1"/>
    <col min="10274" max="10274" width="15.88671875" style="367" customWidth="1"/>
    <col min="10275" max="10275" width="9.88671875" style="367" customWidth="1"/>
    <col min="10276" max="10276" width="10.109375" style="367" customWidth="1"/>
    <col min="10277" max="10277" width="9.109375" style="367" customWidth="1"/>
    <col min="10278" max="10514" width="9" style="367"/>
    <col min="10515" max="10515" width="27.88671875" style="367" customWidth="1"/>
    <col min="10516" max="10516" width="10.109375" style="367" customWidth="1"/>
    <col min="10517" max="10517" width="12.109375" style="367" customWidth="1"/>
    <col min="10518" max="10518" width="8.88671875" style="367" customWidth="1"/>
    <col min="10519" max="10520" width="13.6640625" style="367" customWidth="1"/>
    <col min="10521" max="10521" width="11.88671875" style="367" customWidth="1"/>
    <col min="10522" max="10522" width="12.6640625" style="367" customWidth="1"/>
    <col min="10523" max="10523" width="13.6640625" style="367" customWidth="1"/>
    <col min="10524" max="10524" width="14.6640625" style="367" customWidth="1"/>
    <col min="10525" max="10525" width="9.44140625" style="367" customWidth="1"/>
    <col min="10526" max="10526" width="11.33203125" style="367" customWidth="1"/>
    <col min="10527" max="10527" width="11.88671875" style="367" customWidth="1"/>
    <col min="10528" max="10528" width="11.109375" style="367" customWidth="1"/>
    <col min="10529" max="10529" width="11.88671875" style="367" customWidth="1"/>
    <col min="10530" max="10530" width="15.88671875" style="367" customWidth="1"/>
    <col min="10531" max="10531" width="9.88671875" style="367" customWidth="1"/>
    <col min="10532" max="10532" width="10.109375" style="367" customWidth="1"/>
    <col min="10533" max="10533" width="9.109375" style="367" customWidth="1"/>
    <col min="10534" max="10770" width="9" style="367"/>
    <col min="10771" max="10771" width="27.88671875" style="367" customWidth="1"/>
    <col min="10772" max="10772" width="10.109375" style="367" customWidth="1"/>
    <col min="10773" max="10773" width="12.109375" style="367" customWidth="1"/>
    <col min="10774" max="10774" width="8.88671875" style="367" customWidth="1"/>
    <col min="10775" max="10776" width="13.6640625" style="367" customWidth="1"/>
    <col min="10777" max="10777" width="11.88671875" style="367" customWidth="1"/>
    <col min="10778" max="10778" width="12.6640625" style="367" customWidth="1"/>
    <col min="10779" max="10779" width="13.6640625" style="367" customWidth="1"/>
    <col min="10780" max="10780" width="14.6640625" style="367" customWidth="1"/>
    <col min="10781" max="10781" width="9.44140625" style="367" customWidth="1"/>
    <col min="10782" max="10782" width="11.33203125" style="367" customWidth="1"/>
    <col min="10783" max="10783" width="11.88671875" style="367" customWidth="1"/>
    <col min="10784" max="10784" width="11.109375" style="367" customWidth="1"/>
    <col min="10785" max="10785" width="11.88671875" style="367" customWidth="1"/>
    <col min="10786" max="10786" width="15.88671875" style="367" customWidth="1"/>
    <col min="10787" max="10787" width="9.88671875" style="367" customWidth="1"/>
    <col min="10788" max="10788" width="10.109375" style="367" customWidth="1"/>
    <col min="10789" max="10789" width="9.109375" style="367" customWidth="1"/>
    <col min="10790" max="11026" width="9" style="367"/>
    <col min="11027" max="11027" width="27.88671875" style="367" customWidth="1"/>
    <col min="11028" max="11028" width="10.109375" style="367" customWidth="1"/>
    <col min="11029" max="11029" width="12.109375" style="367" customWidth="1"/>
    <col min="11030" max="11030" width="8.88671875" style="367" customWidth="1"/>
    <col min="11031" max="11032" width="13.6640625" style="367" customWidth="1"/>
    <col min="11033" max="11033" width="11.88671875" style="367" customWidth="1"/>
    <col min="11034" max="11034" width="12.6640625" style="367" customWidth="1"/>
    <col min="11035" max="11035" width="13.6640625" style="367" customWidth="1"/>
    <col min="11036" max="11036" width="14.6640625" style="367" customWidth="1"/>
    <col min="11037" max="11037" width="9.44140625" style="367" customWidth="1"/>
    <col min="11038" max="11038" width="11.33203125" style="367" customWidth="1"/>
    <col min="11039" max="11039" width="11.88671875" style="367" customWidth="1"/>
    <col min="11040" max="11040" width="11.109375" style="367" customWidth="1"/>
    <col min="11041" max="11041" width="11.88671875" style="367" customWidth="1"/>
    <col min="11042" max="11042" width="15.88671875" style="367" customWidth="1"/>
    <col min="11043" max="11043" width="9.88671875" style="367" customWidth="1"/>
    <col min="11044" max="11044" width="10.109375" style="367" customWidth="1"/>
    <col min="11045" max="11045" width="9.109375" style="367" customWidth="1"/>
    <col min="11046" max="11282" width="9" style="367"/>
    <col min="11283" max="11283" width="27.88671875" style="367" customWidth="1"/>
    <col min="11284" max="11284" width="10.109375" style="367" customWidth="1"/>
    <col min="11285" max="11285" width="12.109375" style="367" customWidth="1"/>
    <col min="11286" max="11286" width="8.88671875" style="367" customWidth="1"/>
    <col min="11287" max="11288" width="13.6640625" style="367" customWidth="1"/>
    <col min="11289" max="11289" width="11.88671875" style="367" customWidth="1"/>
    <col min="11290" max="11290" width="12.6640625" style="367" customWidth="1"/>
    <col min="11291" max="11291" width="13.6640625" style="367" customWidth="1"/>
    <col min="11292" max="11292" width="14.6640625" style="367" customWidth="1"/>
    <col min="11293" max="11293" width="9.44140625" style="367" customWidth="1"/>
    <col min="11294" max="11294" width="11.33203125" style="367" customWidth="1"/>
    <col min="11295" max="11295" width="11.88671875" style="367" customWidth="1"/>
    <col min="11296" max="11296" width="11.109375" style="367" customWidth="1"/>
    <col min="11297" max="11297" width="11.88671875" style="367" customWidth="1"/>
    <col min="11298" max="11298" width="15.88671875" style="367" customWidth="1"/>
    <col min="11299" max="11299" width="9.88671875" style="367" customWidth="1"/>
    <col min="11300" max="11300" width="10.109375" style="367" customWidth="1"/>
    <col min="11301" max="11301" width="9.109375" style="367" customWidth="1"/>
    <col min="11302" max="11538" width="9" style="367"/>
    <col min="11539" max="11539" width="27.88671875" style="367" customWidth="1"/>
    <col min="11540" max="11540" width="10.109375" style="367" customWidth="1"/>
    <col min="11541" max="11541" width="12.109375" style="367" customWidth="1"/>
    <col min="11542" max="11542" width="8.88671875" style="367" customWidth="1"/>
    <col min="11543" max="11544" width="13.6640625" style="367" customWidth="1"/>
    <col min="11545" max="11545" width="11.88671875" style="367" customWidth="1"/>
    <col min="11546" max="11546" width="12.6640625" style="367" customWidth="1"/>
    <col min="11547" max="11547" width="13.6640625" style="367" customWidth="1"/>
    <col min="11548" max="11548" width="14.6640625" style="367" customWidth="1"/>
    <col min="11549" max="11549" width="9.44140625" style="367" customWidth="1"/>
    <col min="11550" max="11550" width="11.33203125" style="367" customWidth="1"/>
    <col min="11551" max="11551" width="11.88671875" style="367" customWidth="1"/>
    <col min="11552" max="11552" width="11.109375" style="367" customWidth="1"/>
    <col min="11553" max="11553" width="11.88671875" style="367" customWidth="1"/>
    <col min="11554" max="11554" width="15.88671875" style="367" customWidth="1"/>
    <col min="11555" max="11555" width="9.88671875" style="367" customWidth="1"/>
    <col min="11556" max="11556" width="10.109375" style="367" customWidth="1"/>
    <col min="11557" max="11557" width="9.109375" style="367" customWidth="1"/>
    <col min="11558" max="11794" width="9" style="367"/>
    <col min="11795" max="11795" width="27.88671875" style="367" customWidth="1"/>
    <col min="11796" max="11796" width="10.109375" style="367" customWidth="1"/>
    <col min="11797" max="11797" width="12.109375" style="367" customWidth="1"/>
    <col min="11798" max="11798" width="8.88671875" style="367" customWidth="1"/>
    <col min="11799" max="11800" width="13.6640625" style="367" customWidth="1"/>
    <col min="11801" max="11801" width="11.88671875" style="367" customWidth="1"/>
    <col min="11802" max="11802" width="12.6640625" style="367" customWidth="1"/>
    <col min="11803" max="11803" width="13.6640625" style="367" customWidth="1"/>
    <col min="11804" max="11804" width="14.6640625" style="367" customWidth="1"/>
    <col min="11805" max="11805" width="9.44140625" style="367" customWidth="1"/>
    <col min="11806" max="11806" width="11.33203125" style="367" customWidth="1"/>
    <col min="11807" max="11807" width="11.88671875" style="367" customWidth="1"/>
    <col min="11808" max="11808" width="11.109375" style="367" customWidth="1"/>
    <col min="11809" max="11809" width="11.88671875" style="367" customWidth="1"/>
    <col min="11810" max="11810" width="15.88671875" style="367" customWidth="1"/>
    <col min="11811" max="11811" width="9.88671875" style="367" customWidth="1"/>
    <col min="11812" max="11812" width="10.109375" style="367" customWidth="1"/>
    <col min="11813" max="11813" width="9.109375" style="367" customWidth="1"/>
    <col min="11814" max="12050" width="9" style="367"/>
    <col min="12051" max="12051" width="27.88671875" style="367" customWidth="1"/>
    <col min="12052" max="12052" width="10.109375" style="367" customWidth="1"/>
    <col min="12053" max="12053" width="12.109375" style="367" customWidth="1"/>
    <col min="12054" max="12054" width="8.88671875" style="367" customWidth="1"/>
    <col min="12055" max="12056" width="13.6640625" style="367" customWidth="1"/>
    <col min="12057" max="12057" width="11.88671875" style="367" customWidth="1"/>
    <col min="12058" max="12058" width="12.6640625" style="367" customWidth="1"/>
    <col min="12059" max="12059" width="13.6640625" style="367" customWidth="1"/>
    <col min="12060" max="12060" width="14.6640625" style="367" customWidth="1"/>
    <col min="12061" max="12061" width="9.44140625" style="367" customWidth="1"/>
    <col min="12062" max="12062" width="11.33203125" style="367" customWidth="1"/>
    <col min="12063" max="12063" width="11.88671875" style="367" customWidth="1"/>
    <col min="12064" max="12064" width="11.109375" style="367" customWidth="1"/>
    <col min="12065" max="12065" width="11.88671875" style="367" customWidth="1"/>
    <col min="12066" max="12066" width="15.88671875" style="367" customWidth="1"/>
    <col min="12067" max="12067" width="9.88671875" style="367" customWidth="1"/>
    <col min="12068" max="12068" width="10.109375" style="367" customWidth="1"/>
    <col min="12069" max="12069" width="9.109375" style="367" customWidth="1"/>
    <col min="12070" max="12306" width="9" style="367"/>
    <col min="12307" max="12307" width="27.88671875" style="367" customWidth="1"/>
    <col min="12308" max="12308" width="10.109375" style="367" customWidth="1"/>
    <col min="12309" max="12309" width="12.109375" style="367" customWidth="1"/>
    <col min="12310" max="12310" width="8.88671875" style="367" customWidth="1"/>
    <col min="12311" max="12312" width="13.6640625" style="367" customWidth="1"/>
    <col min="12313" max="12313" width="11.88671875" style="367" customWidth="1"/>
    <col min="12314" max="12314" width="12.6640625" style="367" customWidth="1"/>
    <col min="12315" max="12315" width="13.6640625" style="367" customWidth="1"/>
    <col min="12316" max="12316" width="14.6640625" style="367" customWidth="1"/>
    <col min="12317" max="12317" width="9.44140625" style="367" customWidth="1"/>
    <col min="12318" max="12318" width="11.33203125" style="367" customWidth="1"/>
    <col min="12319" max="12319" width="11.88671875" style="367" customWidth="1"/>
    <col min="12320" max="12320" width="11.109375" style="367" customWidth="1"/>
    <col min="12321" max="12321" width="11.88671875" style="367" customWidth="1"/>
    <col min="12322" max="12322" width="15.88671875" style="367" customWidth="1"/>
    <col min="12323" max="12323" width="9.88671875" style="367" customWidth="1"/>
    <col min="12324" max="12324" width="10.109375" style="367" customWidth="1"/>
    <col min="12325" max="12325" width="9.109375" style="367" customWidth="1"/>
    <col min="12326" max="12562" width="9" style="367"/>
    <col min="12563" max="12563" width="27.88671875" style="367" customWidth="1"/>
    <col min="12564" max="12564" width="10.109375" style="367" customWidth="1"/>
    <col min="12565" max="12565" width="12.109375" style="367" customWidth="1"/>
    <col min="12566" max="12566" width="8.88671875" style="367" customWidth="1"/>
    <col min="12567" max="12568" width="13.6640625" style="367" customWidth="1"/>
    <col min="12569" max="12569" width="11.88671875" style="367" customWidth="1"/>
    <col min="12570" max="12570" width="12.6640625" style="367" customWidth="1"/>
    <col min="12571" max="12571" width="13.6640625" style="367" customWidth="1"/>
    <col min="12572" max="12572" width="14.6640625" style="367" customWidth="1"/>
    <col min="12573" max="12573" width="9.44140625" style="367" customWidth="1"/>
    <col min="12574" max="12574" width="11.33203125" style="367" customWidth="1"/>
    <col min="12575" max="12575" width="11.88671875" style="367" customWidth="1"/>
    <col min="12576" max="12576" width="11.109375" style="367" customWidth="1"/>
    <col min="12577" max="12577" width="11.88671875" style="367" customWidth="1"/>
    <col min="12578" max="12578" width="15.88671875" style="367" customWidth="1"/>
    <col min="12579" max="12579" width="9.88671875" style="367" customWidth="1"/>
    <col min="12580" max="12580" width="10.109375" style="367" customWidth="1"/>
    <col min="12581" max="12581" width="9.109375" style="367" customWidth="1"/>
    <col min="12582" max="12818" width="9" style="367"/>
    <col min="12819" max="12819" width="27.88671875" style="367" customWidth="1"/>
    <col min="12820" max="12820" width="10.109375" style="367" customWidth="1"/>
    <col min="12821" max="12821" width="12.109375" style="367" customWidth="1"/>
    <col min="12822" max="12822" width="8.88671875" style="367" customWidth="1"/>
    <col min="12823" max="12824" width="13.6640625" style="367" customWidth="1"/>
    <col min="12825" max="12825" width="11.88671875" style="367" customWidth="1"/>
    <col min="12826" max="12826" width="12.6640625" style="367" customWidth="1"/>
    <col min="12827" max="12827" width="13.6640625" style="367" customWidth="1"/>
    <col min="12828" max="12828" width="14.6640625" style="367" customWidth="1"/>
    <col min="12829" max="12829" width="9.44140625" style="367" customWidth="1"/>
    <col min="12830" max="12830" width="11.33203125" style="367" customWidth="1"/>
    <col min="12831" max="12831" width="11.88671875" style="367" customWidth="1"/>
    <col min="12832" max="12832" width="11.109375" style="367" customWidth="1"/>
    <col min="12833" max="12833" width="11.88671875" style="367" customWidth="1"/>
    <col min="12834" max="12834" width="15.88671875" style="367" customWidth="1"/>
    <col min="12835" max="12835" width="9.88671875" style="367" customWidth="1"/>
    <col min="12836" max="12836" width="10.109375" style="367" customWidth="1"/>
    <col min="12837" max="12837" width="9.109375" style="367" customWidth="1"/>
    <col min="12838" max="13074" width="9" style="367"/>
    <col min="13075" max="13075" width="27.88671875" style="367" customWidth="1"/>
    <col min="13076" max="13076" width="10.109375" style="367" customWidth="1"/>
    <col min="13077" max="13077" width="12.109375" style="367" customWidth="1"/>
    <col min="13078" max="13078" width="8.88671875" style="367" customWidth="1"/>
    <col min="13079" max="13080" width="13.6640625" style="367" customWidth="1"/>
    <col min="13081" max="13081" width="11.88671875" style="367" customWidth="1"/>
    <col min="13082" max="13082" width="12.6640625" style="367" customWidth="1"/>
    <col min="13083" max="13083" width="13.6640625" style="367" customWidth="1"/>
    <col min="13084" max="13084" width="14.6640625" style="367" customWidth="1"/>
    <col min="13085" max="13085" width="9.44140625" style="367" customWidth="1"/>
    <col min="13086" max="13086" width="11.33203125" style="367" customWidth="1"/>
    <col min="13087" max="13087" width="11.88671875" style="367" customWidth="1"/>
    <col min="13088" max="13088" width="11.109375" style="367" customWidth="1"/>
    <col min="13089" max="13089" width="11.88671875" style="367" customWidth="1"/>
    <col min="13090" max="13090" width="15.88671875" style="367" customWidth="1"/>
    <col min="13091" max="13091" width="9.88671875" style="367" customWidth="1"/>
    <col min="13092" max="13092" width="10.109375" style="367" customWidth="1"/>
    <col min="13093" max="13093" width="9.109375" style="367" customWidth="1"/>
    <col min="13094" max="13330" width="9" style="367"/>
    <col min="13331" max="13331" width="27.88671875" style="367" customWidth="1"/>
    <col min="13332" max="13332" width="10.109375" style="367" customWidth="1"/>
    <col min="13333" max="13333" width="12.109375" style="367" customWidth="1"/>
    <col min="13334" max="13334" width="8.88671875" style="367" customWidth="1"/>
    <col min="13335" max="13336" width="13.6640625" style="367" customWidth="1"/>
    <col min="13337" max="13337" width="11.88671875" style="367" customWidth="1"/>
    <col min="13338" max="13338" width="12.6640625" style="367" customWidth="1"/>
    <col min="13339" max="13339" width="13.6640625" style="367" customWidth="1"/>
    <col min="13340" max="13340" width="14.6640625" style="367" customWidth="1"/>
    <col min="13341" max="13341" width="9.44140625" style="367" customWidth="1"/>
    <col min="13342" max="13342" width="11.33203125" style="367" customWidth="1"/>
    <col min="13343" max="13343" width="11.88671875" style="367" customWidth="1"/>
    <col min="13344" max="13344" width="11.109375" style="367" customWidth="1"/>
    <col min="13345" max="13345" width="11.88671875" style="367" customWidth="1"/>
    <col min="13346" max="13346" width="15.88671875" style="367" customWidth="1"/>
    <col min="13347" max="13347" width="9.88671875" style="367" customWidth="1"/>
    <col min="13348" max="13348" width="10.109375" style="367" customWidth="1"/>
    <col min="13349" max="13349" width="9.109375" style="367" customWidth="1"/>
    <col min="13350" max="13586" width="9" style="367"/>
    <col min="13587" max="13587" width="27.88671875" style="367" customWidth="1"/>
    <col min="13588" max="13588" width="10.109375" style="367" customWidth="1"/>
    <col min="13589" max="13589" width="12.109375" style="367" customWidth="1"/>
    <col min="13590" max="13590" width="8.88671875" style="367" customWidth="1"/>
    <col min="13591" max="13592" width="13.6640625" style="367" customWidth="1"/>
    <col min="13593" max="13593" width="11.88671875" style="367" customWidth="1"/>
    <col min="13594" max="13594" width="12.6640625" style="367" customWidth="1"/>
    <col min="13595" max="13595" width="13.6640625" style="367" customWidth="1"/>
    <col min="13596" max="13596" width="14.6640625" style="367" customWidth="1"/>
    <col min="13597" max="13597" width="9.44140625" style="367" customWidth="1"/>
    <col min="13598" max="13598" width="11.33203125" style="367" customWidth="1"/>
    <col min="13599" max="13599" width="11.88671875" style="367" customWidth="1"/>
    <col min="13600" max="13600" width="11.109375" style="367" customWidth="1"/>
    <col min="13601" max="13601" width="11.88671875" style="367" customWidth="1"/>
    <col min="13602" max="13602" width="15.88671875" style="367" customWidth="1"/>
    <col min="13603" max="13603" width="9.88671875" style="367" customWidth="1"/>
    <col min="13604" max="13604" width="10.109375" style="367" customWidth="1"/>
    <col min="13605" max="13605" width="9.109375" style="367" customWidth="1"/>
    <col min="13606" max="13842" width="9" style="367"/>
    <col min="13843" max="13843" width="27.88671875" style="367" customWidth="1"/>
    <col min="13844" max="13844" width="10.109375" style="367" customWidth="1"/>
    <col min="13845" max="13845" width="12.109375" style="367" customWidth="1"/>
    <col min="13846" max="13846" width="8.88671875" style="367" customWidth="1"/>
    <col min="13847" max="13848" width="13.6640625" style="367" customWidth="1"/>
    <col min="13849" max="13849" width="11.88671875" style="367" customWidth="1"/>
    <col min="13850" max="13850" width="12.6640625" style="367" customWidth="1"/>
    <col min="13851" max="13851" width="13.6640625" style="367" customWidth="1"/>
    <col min="13852" max="13852" width="14.6640625" style="367" customWidth="1"/>
    <col min="13853" max="13853" width="9.44140625" style="367" customWidth="1"/>
    <col min="13854" max="13854" width="11.33203125" style="367" customWidth="1"/>
    <col min="13855" max="13855" width="11.88671875" style="367" customWidth="1"/>
    <col min="13856" max="13856" width="11.109375" style="367" customWidth="1"/>
    <col min="13857" max="13857" width="11.88671875" style="367" customWidth="1"/>
    <col min="13858" max="13858" width="15.88671875" style="367" customWidth="1"/>
    <col min="13859" max="13859" width="9.88671875" style="367" customWidth="1"/>
    <col min="13860" max="13860" width="10.109375" style="367" customWidth="1"/>
    <col min="13861" max="13861" width="9.109375" style="367" customWidth="1"/>
    <col min="13862" max="14098" width="9" style="367"/>
    <col min="14099" max="14099" width="27.88671875" style="367" customWidth="1"/>
    <col min="14100" max="14100" width="10.109375" style="367" customWidth="1"/>
    <col min="14101" max="14101" width="12.109375" style="367" customWidth="1"/>
    <col min="14102" max="14102" width="8.88671875" style="367" customWidth="1"/>
    <col min="14103" max="14104" width="13.6640625" style="367" customWidth="1"/>
    <col min="14105" max="14105" width="11.88671875" style="367" customWidth="1"/>
    <col min="14106" max="14106" width="12.6640625" style="367" customWidth="1"/>
    <col min="14107" max="14107" width="13.6640625" style="367" customWidth="1"/>
    <col min="14108" max="14108" width="14.6640625" style="367" customWidth="1"/>
    <col min="14109" max="14109" width="9.44140625" style="367" customWidth="1"/>
    <col min="14110" max="14110" width="11.33203125" style="367" customWidth="1"/>
    <col min="14111" max="14111" width="11.88671875" style="367" customWidth="1"/>
    <col min="14112" max="14112" width="11.109375" style="367" customWidth="1"/>
    <col min="14113" max="14113" width="11.88671875" style="367" customWidth="1"/>
    <col min="14114" max="14114" width="15.88671875" style="367" customWidth="1"/>
    <col min="14115" max="14115" width="9.88671875" style="367" customWidth="1"/>
    <col min="14116" max="14116" width="10.109375" style="367" customWidth="1"/>
    <col min="14117" max="14117" width="9.109375" style="367" customWidth="1"/>
    <col min="14118" max="14354" width="9" style="367"/>
    <col min="14355" max="14355" width="27.88671875" style="367" customWidth="1"/>
    <col min="14356" max="14356" width="10.109375" style="367" customWidth="1"/>
    <col min="14357" max="14357" width="12.109375" style="367" customWidth="1"/>
    <col min="14358" max="14358" width="8.88671875" style="367" customWidth="1"/>
    <col min="14359" max="14360" width="13.6640625" style="367" customWidth="1"/>
    <col min="14361" max="14361" width="11.88671875" style="367" customWidth="1"/>
    <col min="14362" max="14362" width="12.6640625" style="367" customWidth="1"/>
    <col min="14363" max="14363" width="13.6640625" style="367" customWidth="1"/>
    <col min="14364" max="14364" width="14.6640625" style="367" customWidth="1"/>
    <col min="14365" max="14365" width="9.44140625" style="367" customWidth="1"/>
    <col min="14366" max="14366" width="11.33203125" style="367" customWidth="1"/>
    <col min="14367" max="14367" width="11.88671875" style="367" customWidth="1"/>
    <col min="14368" max="14368" width="11.109375" style="367" customWidth="1"/>
    <col min="14369" max="14369" width="11.88671875" style="367" customWidth="1"/>
    <col min="14370" max="14370" width="15.88671875" style="367" customWidth="1"/>
    <col min="14371" max="14371" width="9.88671875" style="367" customWidth="1"/>
    <col min="14372" max="14372" width="10.109375" style="367" customWidth="1"/>
    <col min="14373" max="14373" width="9.109375" style="367" customWidth="1"/>
    <col min="14374" max="14610" width="9" style="367"/>
    <col min="14611" max="14611" width="27.88671875" style="367" customWidth="1"/>
    <col min="14612" max="14612" width="10.109375" style="367" customWidth="1"/>
    <col min="14613" max="14613" width="12.109375" style="367" customWidth="1"/>
    <col min="14614" max="14614" width="8.88671875" style="367" customWidth="1"/>
    <col min="14615" max="14616" width="13.6640625" style="367" customWidth="1"/>
    <col min="14617" max="14617" width="11.88671875" style="367" customWidth="1"/>
    <col min="14618" max="14618" width="12.6640625" style="367" customWidth="1"/>
    <col min="14619" max="14619" width="13.6640625" style="367" customWidth="1"/>
    <col min="14620" max="14620" width="14.6640625" style="367" customWidth="1"/>
    <col min="14621" max="14621" width="9.44140625" style="367" customWidth="1"/>
    <col min="14622" max="14622" width="11.33203125" style="367" customWidth="1"/>
    <col min="14623" max="14623" width="11.88671875" style="367" customWidth="1"/>
    <col min="14624" max="14624" width="11.109375" style="367" customWidth="1"/>
    <col min="14625" max="14625" width="11.88671875" style="367" customWidth="1"/>
    <col min="14626" max="14626" width="15.88671875" style="367" customWidth="1"/>
    <col min="14627" max="14627" width="9.88671875" style="367" customWidth="1"/>
    <col min="14628" max="14628" width="10.109375" style="367" customWidth="1"/>
    <col min="14629" max="14629" width="9.109375" style="367" customWidth="1"/>
    <col min="14630" max="14866" width="9" style="367"/>
    <col min="14867" max="14867" width="27.88671875" style="367" customWidth="1"/>
    <col min="14868" max="14868" width="10.109375" style="367" customWidth="1"/>
    <col min="14869" max="14869" width="12.109375" style="367" customWidth="1"/>
    <col min="14870" max="14870" width="8.88671875" style="367" customWidth="1"/>
    <col min="14871" max="14872" width="13.6640625" style="367" customWidth="1"/>
    <col min="14873" max="14873" width="11.88671875" style="367" customWidth="1"/>
    <col min="14874" max="14874" width="12.6640625" style="367" customWidth="1"/>
    <col min="14875" max="14875" width="13.6640625" style="367" customWidth="1"/>
    <col min="14876" max="14876" width="14.6640625" style="367" customWidth="1"/>
    <col min="14877" max="14877" width="9.44140625" style="367" customWidth="1"/>
    <col min="14878" max="14878" width="11.33203125" style="367" customWidth="1"/>
    <col min="14879" max="14879" width="11.88671875" style="367" customWidth="1"/>
    <col min="14880" max="14880" width="11.109375" style="367" customWidth="1"/>
    <col min="14881" max="14881" width="11.88671875" style="367" customWidth="1"/>
    <col min="14882" max="14882" width="15.88671875" style="367" customWidth="1"/>
    <col min="14883" max="14883" width="9.88671875" style="367" customWidth="1"/>
    <col min="14884" max="14884" width="10.109375" style="367" customWidth="1"/>
    <col min="14885" max="14885" width="9.109375" style="367" customWidth="1"/>
    <col min="14886" max="15122" width="9" style="367"/>
    <col min="15123" max="15123" width="27.88671875" style="367" customWidth="1"/>
    <col min="15124" max="15124" width="10.109375" style="367" customWidth="1"/>
    <col min="15125" max="15125" width="12.109375" style="367" customWidth="1"/>
    <col min="15126" max="15126" width="8.88671875" style="367" customWidth="1"/>
    <col min="15127" max="15128" width="13.6640625" style="367" customWidth="1"/>
    <col min="15129" max="15129" width="11.88671875" style="367" customWidth="1"/>
    <col min="15130" max="15130" width="12.6640625" style="367" customWidth="1"/>
    <col min="15131" max="15131" width="13.6640625" style="367" customWidth="1"/>
    <col min="15132" max="15132" width="14.6640625" style="367" customWidth="1"/>
    <col min="15133" max="15133" width="9.44140625" style="367" customWidth="1"/>
    <col min="15134" max="15134" width="11.33203125" style="367" customWidth="1"/>
    <col min="15135" max="15135" width="11.88671875" style="367" customWidth="1"/>
    <col min="15136" max="15136" width="11.109375" style="367" customWidth="1"/>
    <col min="15137" max="15137" width="11.88671875" style="367" customWidth="1"/>
    <col min="15138" max="15138" width="15.88671875" style="367" customWidth="1"/>
    <col min="15139" max="15139" width="9.88671875" style="367" customWidth="1"/>
    <col min="15140" max="15140" width="10.109375" style="367" customWidth="1"/>
    <col min="15141" max="15141" width="9.109375" style="367" customWidth="1"/>
    <col min="15142" max="15378" width="9" style="367"/>
    <col min="15379" max="15379" width="27.88671875" style="367" customWidth="1"/>
    <col min="15380" max="15380" width="10.109375" style="367" customWidth="1"/>
    <col min="15381" max="15381" width="12.109375" style="367" customWidth="1"/>
    <col min="15382" max="15382" width="8.88671875" style="367" customWidth="1"/>
    <col min="15383" max="15384" width="13.6640625" style="367" customWidth="1"/>
    <col min="15385" max="15385" width="11.88671875" style="367" customWidth="1"/>
    <col min="15386" max="15386" width="12.6640625" style="367" customWidth="1"/>
    <col min="15387" max="15387" width="13.6640625" style="367" customWidth="1"/>
    <col min="15388" max="15388" width="14.6640625" style="367" customWidth="1"/>
    <col min="15389" max="15389" width="9.44140625" style="367" customWidth="1"/>
    <col min="15390" max="15390" width="11.33203125" style="367" customWidth="1"/>
    <col min="15391" max="15391" width="11.88671875" style="367" customWidth="1"/>
    <col min="15392" max="15392" width="11.109375" style="367" customWidth="1"/>
    <col min="15393" max="15393" width="11.88671875" style="367" customWidth="1"/>
    <col min="15394" max="15394" width="15.88671875" style="367" customWidth="1"/>
    <col min="15395" max="15395" width="9.88671875" style="367" customWidth="1"/>
    <col min="15396" max="15396" width="10.109375" style="367" customWidth="1"/>
    <col min="15397" max="15397" width="9.109375" style="367" customWidth="1"/>
    <col min="15398" max="15634" width="9" style="367"/>
    <col min="15635" max="15635" width="27.88671875" style="367" customWidth="1"/>
    <col min="15636" max="15636" width="10.109375" style="367" customWidth="1"/>
    <col min="15637" max="15637" width="12.109375" style="367" customWidth="1"/>
    <col min="15638" max="15638" width="8.88671875" style="367" customWidth="1"/>
    <col min="15639" max="15640" width="13.6640625" style="367" customWidth="1"/>
    <col min="15641" max="15641" width="11.88671875" style="367" customWidth="1"/>
    <col min="15642" max="15642" width="12.6640625" style="367" customWidth="1"/>
    <col min="15643" max="15643" width="13.6640625" style="367" customWidth="1"/>
    <col min="15644" max="15644" width="14.6640625" style="367" customWidth="1"/>
    <col min="15645" max="15645" width="9.44140625" style="367" customWidth="1"/>
    <col min="15646" max="15646" width="11.33203125" style="367" customWidth="1"/>
    <col min="15647" max="15647" width="11.88671875" style="367" customWidth="1"/>
    <col min="15648" max="15648" width="11.109375" style="367" customWidth="1"/>
    <col min="15649" max="15649" width="11.88671875" style="367" customWidth="1"/>
    <col min="15650" max="15650" width="15.88671875" style="367" customWidth="1"/>
    <col min="15651" max="15651" width="9.88671875" style="367" customWidth="1"/>
    <col min="15652" max="15652" width="10.109375" style="367" customWidth="1"/>
    <col min="15653" max="15653" width="9.109375" style="367" customWidth="1"/>
    <col min="15654" max="15890" width="9" style="367"/>
    <col min="15891" max="15891" width="27.88671875" style="367" customWidth="1"/>
    <col min="15892" max="15892" width="10.109375" style="367" customWidth="1"/>
    <col min="15893" max="15893" width="12.109375" style="367" customWidth="1"/>
    <col min="15894" max="15894" width="8.88671875" style="367" customWidth="1"/>
    <col min="15895" max="15896" width="13.6640625" style="367" customWidth="1"/>
    <col min="15897" max="15897" width="11.88671875" style="367" customWidth="1"/>
    <col min="15898" max="15898" width="12.6640625" style="367" customWidth="1"/>
    <col min="15899" max="15899" width="13.6640625" style="367" customWidth="1"/>
    <col min="15900" max="15900" width="14.6640625" style="367" customWidth="1"/>
    <col min="15901" max="15901" width="9.44140625" style="367" customWidth="1"/>
    <col min="15902" max="15902" width="11.33203125" style="367" customWidth="1"/>
    <col min="15903" max="15903" width="11.88671875" style="367" customWidth="1"/>
    <col min="15904" max="15904" width="11.109375" style="367" customWidth="1"/>
    <col min="15905" max="15905" width="11.88671875" style="367" customWidth="1"/>
    <col min="15906" max="15906" width="15.88671875" style="367" customWidth="1"/>
    <col min="15907" max="15907" width="9.88671875" style="367" customWidth="1"/>
    <col min="15908" max="15908" width="10.109375" style="367" customWidth="1"/>
    <col min="15909" max="15909" width="9.109375" style="367" customWidth="1"/>
    <col min="15910" max="16146" width="9" style="367"/>
    <col min="16147" max="16147" width="27.88671875" style="367" customWidth="1"/>
    <col min="16148" max="16148" width="10.109375" style="367" customWidth="1"/>
    <col min="16149" max="16149" width="12.109375" style="367" customWidth="1"/>
    <col min="16150" max="16150" width="8.88671875" style="367" customWidth="1"/>
    <col min="16151" max="16152" width="13.6640625" style="367" customWidth="1"/>
    <col min="16153" max="16153" width="11.88671875" style="367" customWidth="1"/>
    <col min="16154" max="16154" width="12.6640625" style="367" customWidth="1"/>
    <col min="16155" max="16155" width="13.6640625" style="367" customWidth="1"/>
    <col min="16156" max="16156" width="14.6640625" style="367" customWidth="1"/>
    <col min="16157" max="16157" width="9.44140625" style="367" customWidth="1"/>
    <col min="16158" max="16158" width="11.33203125" style="367" customWidth="1"/>
    <col min="16159" max="16159" width="11.88671875" style="367" customWidth="1"/>
    <col min="16160" max="16160" width="11.109375" style="367" customWidth="1"/>
    <col min="16161" max="16161" width="11.88671875" style="367" customWidth="1"/>
    <col min="16162" max="16162" width="15.88671875" style="367" customWidth="1"/>
    <col min="16163" max="16163" width="9.88671875" style="367" customWidth="1"/>
    <col min="16164" max="16164" width="10.109375" style="367" customWidth="1"/>
    <col min="16165" max="16165" width="9.109375" style="367" customWidth="1"/>
    <col min="16166" max="16384" width="9" style="367"/>
  </cols>
  <sheetData>
    <row r="1" spans="1:241" ht="16.149999999999999" customHeight="1">
      <c r="B1" s="573" t="s">
        <v>79</v>
      </c>
      <c r="C1" s="579"/>
      <c r="D1" s="579"/>
      <c r="E1" s="576"/>
      <c r="F1" s="576"/>
      <c r="G1" s="576"/>
      <c r="H1" s="576"/>
      <c r="I1" s="577"/>
      <c r="J1" s="579"/>
      <c r="K1" s="575"/>
      <c r="L1" s="575"/>
      <c r="M1" s="575"/>
      <c r="N1" s="576"/>
      <c r="O1" s="576"/>
      <c r="P1" s="576"/>
      <c r="Q1" s="576"/>
      <c r="R1" s="575"/>
      <c r="S1" s="576"/>
      <c r="T1" s="576"/>
      <c r="U1" s="576"/>
      <c r="V1" s="576"/>
      <c r="W1" s="575"/>
      <c r="X1" s="578"/>
      <c r="Y1" s="578"/>
      <c r="Z1" s="578"/>
      <c r="AA1" s="578"/>
      <c r="AB1" s="576"/>
      <c r="AC1" s="576"/>
      <c r="AD1" s="576"/>
      <c r="AE1" s="576"/>
      <c r="AF1" s="576"/>
      <c r="AG1" s="575"/>
      <c r="AH1" s="576"/>
      <c r="AI1" s="576"/>
      <c r="AJ1" s="576"/>
      <c r="AK1" s="576"/>
      <c r="AL1" s="577"/>
      <c r="AM1" s="576"/>
      <c r="AN1" s="576"/>
      <c r="AO1" s="575"/>
    </row>
    <row r="2" spans="1:241" ht="16.149999999999999" customHeight="1">
      <c r="B2" s="573" t="s">
        <v>20</v>
      </c>
      <c r="C2" s="579"/>
      <c r="D2" s="579"/>
      <c r="E2" s="576"/>
      <c r="F2" s="576"/>
      <c r="G2" s="576"/>
      <c r="H2" s="576"/>
      <c r="I2" s="577"/>
      <c r="J2" s="579"/>
      <c r="K2" s="575"/>
      <c r="L2" s="575"/>
      <c r="M2" s="575"/>
      <c r="N2" s="576"/>
      <c r="O2" s="576"/>
      <c r="P2" s="576"/>
      <c r="Q2" s="576"/>
      <c r="R2" s="575"/>
      <c r="S2" s="576"/>
      <c r="T2" s="576"/>
      <c r="U2" s="576"/>
      <c r="V2" s="576"/>
      <c r="W2" s="575"/>
      <c r="X2" s="578"/>
      <c r="Y2" s="578"/>
      <c r="Z2" s="578"/>
      <c r="AA2" s="578"/>
      <c r="AB2" s="576"/>
      <c r="AC2" s="576"/>
      <c r="AD2" s="576"/>
      <c r="AE2" s="576"/>
      <c r="AF2" s="576"/>
      <c r="AG2" s="575"/>
      <c r="AH2" s="576"/>
      <c r="AI2" s="576"/>
      <c r="AJ2" s="576"/>
      <c r="AK2" s="576"/>
      <c r="AL2" s="577"/>
      <c r="AM2" s="576"/>
      <c r="AN2" s="576"/>
      <c r="AO2" s="575"/>
    </row>
    <row r="3" spans="1:241" ht="16.149999999999999" customHeight="1">
      <c r="B3" s="574" t="s">
        <v>215</v>
      </c>
      <c r="C3" s="385"/>
      <c r="D3" s="385"/>
      <c r="E3" s="379"/>
      <c r="F3" s="379"/>
      <c r="G3" s="381"/>
      <c r="H3" s="381"/>
      <c r="I3" s="415"/>
      <c r="J3" s="384"/>
      <c r="K3" s="382"/>
      <c r="L3" s="382"/>
      <c r="M3" s="382"/>
      <c r="N3" s="381"/>
      <c r="O3" s="381"/>
      <c r="P3" s="380"/>
      <c r="Q3" s="381"/>
      <c r="R3" s="382"/>
      <c r="S3" s="380"/>
      <c r="T3" s="381"/>
      <c r="U3" s="381"/>
      <c r="V3" s="381"/>
      <c r="W3" s="382"/>
      <c r="X3" s="382"/>
      <c r="Y3" s="382"/>
      <c r="Z3" s="382"/>
      <c r="AA3" s="382"/>
      <c r="AB3" s="381"/>
      <c r="AC3" s="383"/>
      <c r="AD3" s="383"/>
      <c r="AE3" s="383"/>
      <c r="AF3" s="381"/>
      <c r="AG3" s="382"/>
      <c r="AH3" s="381"/>
      <c r="AI3" s="380"/>
      <c r="AJ3" s="380"/>
      <c r="AM3" s="379"/>
    </row>
    <row r="4" spans="1:241" ht="16.149999999999999" customHeight="1">
      <c r="B4" s="573" t="s">
        <v>146</v>
      </c>
      <c r="C4" s="385"/>
      <c r="D4" s="385"/>
      <c r="E4" s="385"/>
      <c r="F4" s="385"/>
      <c r="G4" s="568"/>
      <c r="H4" s="568"/>
      <c r="I4" s="571"/>
      <c r="J4" s="384"/>
      <c r="K4" s="569"/>
      <c r="L4" s="569"/>
      <c r="M4" s="569"/>
      <c r="N4" s="568"/>
      <c r="O4" s="568"/>
      <c r="P4" s="567"/>
      <c r="Q4" s="568"/>
      <c r="R4" s="569"/>
      <c r="S4" s="567"/>
      <c r="T4" s="568"/>
      <c r="U4" s="568"/>
      <c r="V4" s="568"/>
      <c r="W4" s="569"/>
      <c r="X4" s="569"/>
      <c r="Y4" s="569"/>
      <c r="Z4" s="569"/>
      <c r="AA4" s="569"/>
      <c r="AB4" s="568"/>
      <c r="AC4" s="570"/>
      <c r="AD4" s="570"/>
      <c r="AE4" s="570"/>
      <c r="AF4" s="568"/>
      <c r="AG4" s="569"/>
      <c r="AH4" s="568"/>
      <c r="AI4" s="567"/>
      <c r="AJ4" s="567"/>
      <c r="AM4" s="385"/>
    </row>
    <row r="5" spans="1:241" ht="16.149999999999999" customHeight="1">
      <c r="B5" s="573"/>
      <c r="C5" s="385"/>
      <c r="D5" s="385"/>
      <c r="E5" s="385"/>
      <c r="F5" s="385"/>
      <c r="G5" s="568"/>
      <c r="H5" s="568"/>
      <c r="I5" s="571"/>
      <c r="J5" s="384"/>
      <c r="K5" s="569"/>
      <c r="L5" s="569"/>
      <c r="M5" s="569"/>
      <c r="N5" s="568"/>
      <c r="O5" s="568"/>
      <c r="P5" s="567"/>
      <c r="Q5" s="568"/>
      <c r="R5" s="569"/>
      <c r="S5" s="567"/>
      <c r="T5" s="568"/>
      <c r="U5" s="568"/>
      <c r="V5" s="568"/>
      <c r="W5" s="569"/>
      <c r="X5" s="569"/>
      <c r="Y5" s="569"/>
      <c r="Z5" s="569"/>
      <c r="AA5" s="569"/>
      <c r="AB5" s="568"/>
      <c r="AC5" s="570"/>
      <c r="AD5" s="570"/>
      <c r="AE5" s="570"/>
      <c r="AF5" s="568"/>
      <c r="AG5" s="569"/>
      <c r="AH5" s="568"/>
      <c r="AI5" s="567"/>
      <c r="AJ5" s="567"/>
      <c r="AM5" s="385"/>
    </row>
    <row r="6" spans="1:241" ht="16.149999999999999" customHeight="1">
      <c r="B6" s="572"/>
      <c r="C6" s="385"/>
      <c r="D6" s="385"/>
      <c r="E6" s="385"/>
      <c r="F6" s="385"/>
      <c r="G6" s="568"/>
      <c r="H6" s="568"/>
      <c r="I6" s="571"/>
      <c r="J6" s="384"/>
      <c r="K6" s="569"/>
      <c r="L6" s="569"/>
      <c r="M6" s="569"/>
      <c r="N6" s="568"/>
      <c r="O6" s="568"/>
      <c r="P6" s="567"/>
      <c r="Q6" s="568"/>
      <c r="R6" s="569"/>
      <c r="S6" s="567"/>
      <c r="T6" s="568"/>
      <c r="U6" s="568"/>
      <c r="V6" s="568"/>
      <c r="W6" s="569"/>
      <c r="X6" s="569"/>
      <c r="Y6" s="569"/>
      <c r="Z6" s="569"/>
      <c r="AA6" s="569"/>
      <c r="AB6" s="568"/>
      <c r="AC6" s="570"/>
      <c r="AD6" s="570"/>
      <c r="AE6" s="570"/>
      <c r="AF6" s="568"/>
      <c r="AG6" s="569"/>
      <c r="AH6" s="568"/>
      <c r="AI6" s="567"/>
      <c r="AJ6" s="567"/>
      <c r="AM6" s="385"/>
    </row>
    <row r="7" spans="1:241" ht="16.149999999999999" customHeight="1" thickBot="1">
      <c r="B7" s="572"/>
      <c r="C7" s="385"/>
      <c r="D7" s="385"/>
      <c r="E7" s="385"/>
      <c r="F7" s="385"/>
      <c r="G7" s="568"/>
      <c r="H7" s="568"/>
      <c r="I7" s="571"/>
      <c r="J7" s="384"/>
      <c r="K7" s="569"/>
      <c r="L7" s="569"/>
      <c r="M7" s="569"/>
      <c r="N7" s="568"/>
      <c r="O7" s="568"/>
      <c r="P7" s="567"/>
      <c r="Q7" s="568"/>
      <c r="R7" s="569"/>
      <c r="S7" s="567"/>
      <c r="T7" s="568"/>
      <c r="U7" s="568"/>
      <c r="V7" s="568"/>
      <c r="W7" s="569"/>
      <c r="X7" s="569"/>
      <c r="Y7" s="569"/>
      <c r="Z7" s="569"/>
      <c r="AA7" s="569"/>
      <c r="AB7" s="568"/>
      <c r="AC7" s="570"/>
      <c r="AD7" s="570"/>
      <c r="AE7" s="570"/>
      <c r="AF7" s="568"/>
      <c r="AG7" s="569"/>
      <c r="AH7" s="568"/>
      <c r="AI7" s="567"/>
      <c r="AJ7" s="567"/>
      <c r="AM7" s="385"/>
    </row>
    <row r="8" spans="1:241" ht="16.149999999999999" customHeight="1" thickBot="1">
      <c r="B8" s="566"/>
      <c r="C8" s="385"/>
      <c r="D8" s="385"/>
      <c r="E8" s="379"/>
      <c r="F8" s="379"/>
      <c r="G8" s="665" t="s">
        <v>8</v>
      </c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7"/>
      <c r="U8" s="668" t="s">
        <v>4</v>
      </c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70"/>
      <c r="AI8" s="380"/>
      <c r="AJ8" s="380"/>
      <c r="AM8" s="671" t="s">
        <v>25</v>
      </c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1"/>
      <c r="BG8" s="671"/>
      <c r="BH8" s="671"/>
      <c r="BI8" s="671"/>
    </row>
    <row r="9" spans="1:241" s="538" customFormat="1" ht="51">
      <c r="A9" s="565" t="s">
        <v>40</v>
      </c>
      <c r="B9" s="564" t="s">
        <v>15</v>
      </c>
      <c r="C9" s="563" t="s">
        <v>0</v>
      </c>
      <c r="D9" s="563" t="s">
        <v>7</v>
      </c>
      <c r="E9" s="562" t="s">
        <v>9</v>
      </c>
      <c r="F9" s="561" t="s">
        <v>212</v>
      </c>
      <c r="G9" s="560" t="s">
        <v>47</v>
      </c>
      <c r="H9" s="552" t="s">
        <v>16</v>
      </c>
      <c r="I9" s="559" t="s">
        <v>49</v>
      </c>
      <c r="J9" s="558" t="s">
        <v>1</v>
      </c>
      <c r="K9" s="556" t="s">
        <v>211</v>
      </c>
      <c r="L9" s="556" t="s">
        <v>210</v>
      </c>
      <c r="M9" s="556" t="s">
        <v>13</v>
      </c>
      <c r="N9" s="552" t="s">
        <v>17</v>
      </c>
      <c r="O9" s="552" t="s">
        <v>26</v>
      </c>
      <c r="P9" s="552" t="s">
        <v>11</v>
      </c>
      <c r="Q9" s="552" t="s">
        <v>18</v>
      </c>
      <c r="R9" s="556" t="s">
        <v>42</v>
      </c>
      <c r="S9" s="552" t="s">
        <v>48</v>
      </c>
      <c r="T9" s="550" t="s">
        <v>21</v>
      </c>
      <c r="U9" s="557" t="s">
        <v>23</v>
      </c>
      <c r="V9" s="552" t="s">
        <v>10</v>
      </c>
      <c r="W9" s="556" t="s">
        <v>204</v>
      </c>
      <c r="X9" s="555" t="s">
        <v>209</v>
      </c>
      <c r="Y9" s="555" t="s">
        <v>208</v>
      </c>
      <c r="Z9" s="555" t="s">
        <v>201</v>
      </c>
      <c r="AA9" s="555" t="s">
        <v>200</v>
      </c>
      <c r="AB9" s="552" t="s">
        <v>4</v>
      </c>
      <c r="AC9" s="554" t="s">
        <v>19</v>
      </c>
      <c r="AD9" s="553" t="s">
        <v>207</v>
      </c>
      <c r="AE9" s="553" t="s">
        <v>206</v>
      </c>
      <c r="AF9" s="552" t="s">
        <v>205</v>
      </c>
      <c r="AG9" s="551" t="s">
        <v>43</v>
      </c>
      <c r="AH9" s="550" t="s">
        <v>22</v>
      </c>
      <c r="AI9" s="549" t="s">
        <v>45</v>
      </c>
      <c r="AJ9" s="549" t="s">
        <v>46</v>
      </c>
      <c r="AK9" s="548"/>
      <c r="AL9" s="463" t="s">
        <v>47</v>
      </c>
      <c r="AM9" s="541" t="s">
        <v>50</v>
      </c>
      <c r="AN9" s="541" t="s">
        <v>16</v>
      </c>
      <c r="AO9" s="547" t="s">
        <v>51</v>
      </c>
      <c r="AP9" s="545" t="s">
        <v>24</v>
      </c>
      <c r="AQ9" s="545" t="s">
        <v>13</v>
      </c>
      <c r="AR9" s="546" t="s">
        <v>17</v>
      </c>
      <c r="AS9" s="546" t="s">
        <v>26</v>
      </c>
      <c r="AT9" s="546" t="s">
        <v>11</v>
      </c>
      <c r="AU9" s="546" t="s">
        <v>18</v>
      </c>
      <c r="AV9" s="546" t="s">
        <v>44</v>
      </c>
      <c r="AW9" s="544" t="s">
        <v>23</v>
      </c>
      <c r="AX9" s="545" t="s">
        <v>204</v>
      </c>
      <c r="AY9" s="545" t="s">
        <v>203</v>
      </c>
      <c r="AZ9" s="545" t="s">
        <v>202</v>
      </c>
      <c r="BA9" s="545" t="s">
        <v>201</v>
      </c>
      <c r="BB9" s="545" t="s">
        <v>200</v>
      </c>
      <c r="BC9" s="544" t="s">
        <v>4</v>
      </c>
      <c r="BD9" s="543" t="s">
        <v>19</v>
      </c>
      <c r="BE9" s="543" t="s">
        <v>14</v>
      </c>
      <c r="BF9" s="542" t="s">
        <v>43</v>
      </c>
      <c r="BG9" s="541" t="s">
        <v>199</v>
      </c>
      <c r="BH9" s="540" t="s">
        <v>198</v>
      </c>
      <c r="BI9" s="539" t="s">
        <v>197</v>
      </c>
    </row>
    <row r="10" spans="1:241" s="516" customFormat="1" ht="37.15" hidden="1" customHeight="1">
      <c r="A10" s="516" t="s">
        <v>41</v>
      </c>
      <c r="B10" s="537" t="s">
        <v>27</v>
      </c>
      <c r="C10" s="532" t="s">
        <v>28</v>
      </c>
      <c r="D10" s="516" t="s">
        <v>29</v>
      </c>
      <c r="E10" s="536" t="s">
        <v>30</v>
      </c>
      <c r="G10" s="535"/>
      <c r="I10" s="534"/>
      <c r="J10" s="533"/>
      <c r="K10" s="520"/>
      <c r="L10" s="520"/>
      <c r="M10" s="520"/>
      <c r="N10" s="520"/>
      <c r="O10" s="520"/>
      <c r="P10" s="520"/>
      <c r="Q10" s="532"/>
      <c r="R10" s="531"/>
      <c r="S10" s="520"/>
      <c r="T10" s="518"/>
      <c r="U10" s="530"/>
      <c r="V10" s="520"/>
      <c r="W10" s="520"/>
      <c r="X10" s="529"/>
      <c r="Y10" s="529"/>
      <c r="Z10" s="529"/>
      <c r="AA10" s="529"/>
      <c r="AB10" s="520"/>
      <c r="AC10" s="528"/>
      <c r="AD10" s="527"/>
      <c r="AE10" s="527"/>
      <c r="AF10" s="520"/>
      <c r="AG10" s="526"/>
      <c r="AH10" s="525"/>
      <c r="AI10" s="524"/>
      <c r="AJ10" s="524"/>
      <c r="AM10" s="523" t="s">
        <v>31</v>
      </c>
      <c r="AN10" s="522" t="s">
        <v>32</v>
      </c>
      <c r="AO10" s="520" t="s">
        <v>33</v>
      </c>
      <c r="AP10" s="520"/>
      <c r="AQ10" s="520"/>
      <c r="AR10" s="520" t="s">
        <v>34</v>
      </c>
      <c r="AS10" s="520" t="s">
        <v>35</v>
      </c>
      <c r="AT10" s="520"/>
      <c r="AV10" s="520" t="s">
        <v>36</v>
      </c>
      <c r="AW10" s="521" t="s">
        <v>37</v>
      </c>
      <c r="AX10" s="520"/>
      <c r="AY10" s="520"/>
      <c r="AZ10" s="520"/>
      <c r="BA10" s="520"/>
      <c r="BB10" s="520"/>
      <c r="BC10" s="519" t="s">
        <v>38</v>
      </c>
      <c r="BD10" s="519"/>
      <c r="BE10" s="519"/>
      <c r="BF10" s="518" t="s">
        <v>39</v>
      </c>
      <c r="BG10" s="517"/>
      <c r="BH10" s="517"/>
      <c r="BI10" s="517"/>
    </row>
    <row r="11" spans="1:241" ht="16.149999999999999" customHeight="1">
      <c r="B11" s="515"/>
      <c r="C11" s="493"/>
      <c r="D11" s="385"/>
      <c r="E11" s="514"/>
      <c r="F11" s="513"/>
      <c r="G11" s="512"/>
      <c r="H11" s="485"/>
      <c r="I11" s="511"/>
      <c r="J11" s="510"/>
      <c r="K11" s="484"/>
      <c r="L11" s="484"/>
      <c r="M11" s="484"/>
      <c r="N11" s="485"/>
      <c r="O11" s="485"/>
      <c r="P11" s="485"/>
      <c r="Q11" s="485"/>
      <c r="R11" s="484"/>
      <c r="S11" s="485"/>
      <c r="T11" s="488"/>
      <c r="U11" s="509"/>
      <c r="V11" s="485"/>
      <c r="W11" s="484"/>
      <c r="X11" s="484"/>
      <c r="Y11" s="484"/>
      <c r="Z11" s="484"/>
      <c r="AA11" s="484"/>
      <c r="AB11" s="485"/>
      <c r="AC11" s="508"/>
      <c r="AD11" s="507"/>
      <c r="AE11" s="507"/>
      <c r="AF11" s="485"/>
      <c r="AG11" s="484"/>
      <c r="AH11" s="506"/>
      <c r="AI11" s="483"/>
      <c r="AJ11" s="483"/>
      <c r="AL11" s="505"/>
      <c r="AN11" s="461"/>
      <c r="AO11" s="459"/>
      <c r="AP11" s="504"/>
      <c r="AQ11" s="504"/>
      <c r="AR11" s="458"/>
      <c r="AS11" s="458"/>
      <c r="AT11" s="458"/>
      <c r="AU11" s="458"/>
      <c r="AV11" s="460"/>
      <c r="AW11" s="460"/>
      <c r="AX11" s="459"/>
      <c r="AY11" s="459"/>
      <c r="AZ11" s="459"/>
      <c r="BA11" s="459"/>
      <c r="BB11" s="459"/>
      <c r="BC11" s="458"/>
      <c r="BD11" s="458"/>
      <c r="BE11" s="458"/>
      <c r="BF11" s="457"/>
      <c r="BG11" s="503"/>
      <c r="BH11" s="503"/>
      <c r="BI11" s="503"/>
    </row>
    <row r="12" spans="1:241" s="480" customFormat="1" ht="16.149999999999999" customHeight="1">
      <c r="A12" s="495" t="s">
        <v>214</v>
      </c>
      <c r="B12" s="494" t="s">
        <v>386</v>
      </c>
      <c r="C12" s="493" t="s">
        <v>63</v>
      </c>
      <c r="D12" s="385" t="s">
        <v>12</v>
      </c>
      <c r="E12" s="314">
        <v>8767</v>
      </c>
      <c r="F12" s="500">
        <v>10</v>
      </c>
      <c r="G12" s="491">
        <v>1108.29</v>
      </c>
      <c r="H12" s="485">
        <v>0</v>
      </c>
      <c r="I12" s="490">
        <f t="shared" ref="I12:I43" si="0">G12+H12</f>
        <v>1108.29</v>
      </c>
      <c r="J12" s="489">
        <f t="shared" ref="J12:J20" si="1">(I12/(I$89))</f>
        <v>1.7014689999999999E-2</v>
      </c>
      <c r="K12" s="484">
        <f t="shared" ref="K12:K20" si="2">J12*K$89</f>
        <v>-105.12</v>
      </c>
      <c r="L12" s="484">
        <f t="shared" ref="L12:M20" si="3">$J12*L$89</f>
        <v>0</v>
      </c>
      <c r="M12" s="484">
        <f t="shared" si="3"/>
        <v>26.1</v>
      </c>
      <c r="N12" s="485">
        <f t="shared" ref="N12:N43" si="4">L12+M12</f>
        <v>26.1</v>
      </c>
      <c r="O12" s="485">
        <f t="shared" ref="O12:P31" si="5">$J12*O$89</f>
        <v>0</v>
      </c>
      <c r="P12" s="485">
        <f t="shared" si="5"/>
        <v>0</v>
      </c>
      <c r="Q12" s="485">
        <f t="shared" ref="Q12:Q43" si="6">Q$89*J12</f>
        <v>0</v>
      </c>
      <c r="R12" s="484">
        <f t="shared" ref="R12:R43" si="7">P12+Q12</f>
        <v>0</v>
      </c>
      <c r="S12" s="485">
        <f t="shared" ref="S12:S43" si="8">G12+H12+N12+O12+R12</f>
        <v>1134.3900000000001</v>
      </c>
      <c r="T12" s="488">
        <f t="shared" ref="T12:T20" si="9">((S12/S$89)*T$89)</f>
        <v>1354.98</v>
      </c>
      <c r="U12" s="487">
        <v>402.35</v>
      </c>
      <c r="V12" s="486">
        <f t="shared" ref="V12:V43" si="10">J12</f>
        <v>1.7014689999999999E-2</v>
      </c>
      <c r="W12" s="484">
        <f t="shared" ref="W12:W20" si="11">($V12*W$89)</f>
        <v>58.26</v>
      </c>
      <c r="X12" s="484">
        <v>0</v>
      </c>
      <c r="Y12" s="484">
        <f t="shared" ref="Y12:AA20" si="12">$V12*Y$89</f>
        <v>34.96</v>
      </c>
      <c r="Z12" s="484">
        <f t="shared" si="12"/>
        <v>-2.11</v>
      </c>
      <c r="AA12" s="484">
        <f t="shared" si="12"/>
        <v>-0.78</v>
      </c>
      <c r="AB12" s="485">
        <f t="shared" ref="AB12:AB43" si="13">SUM(W12:AA12)</f>
        <v>90.33</v>
      </c>
      <c r="AC12" s="485">
        <f t="shared" ref="AC12:AC20" si="14">(V12*AC$89)</f>
        <v>-16.260000000000002</v>
      </c>
      <c r="AD12" s="498">
        <f t="shared" ref="AD12:AD43" si="15">(F12/F$89)*AD$89</f>
        <v>-133.6</v>
      </c>
      <c r="AE12" s="498">
        <v>0</v>
      </c>
      <c r="AF12" s="485">
        <f t="shared" ref="AF12:AF43" si="16">AD12+AE12</f>
        <v>-133.6</v>
      </c>
      <c r="AG12" s="484">
        <f t="shared" ref="AG12:AG43" si="17">AC12+AF12</f>
        <v>-149.86000000000001</v>
      </c>
      <c r="AH12" s="381">
        <f t="shared" ref="AH12:AH43" si="18">U12+AB12+AG12</f>
        <v>342.82</v>
      </c>
      <c r="AI12" s="483">
        <f t="shared" ref="AI12:AI43" si="19">S12+AH12</f>
        <v>1477.21</v>
      </c>
      <c r="AJ12" s="483">
        <f t="shared" ref="AJ12:AJ20" si="20">(AI12/AI$89)*AJ$89</f>
        <v>1757.77</v>
      </c>
      <c r="AK12" s="83"/>
      <c r="AL12" s="114">
        <v>1108.29</v>
      </c>
      <c r="AM12" s="497">
        <f t="shared" ref="AM12:AM20" si="21">(AL12/AL$89)*AM$89</f>
        <v>1510.25</v>
      </c>
      <c r="AN12" s="192">
        <f t="shared" ref="AN12:AN43" si="22">H12</f>
        <v>0</v>
      </c>
      <c r="AO12" s="114">
        <f t="shared" ref="AO12:AO43" si="23">K12</f>
        <v>-105.12</v>
      </c>
      <c r="AP12" s="137">
        <f t="shared" ref="AP12:AP43" si="24">L12</f>
        <v>0</v>
      </c>
      <c r="AQ12" s="137">
        <f t="shared" ref="AQ12:AQ43" si="25">M12</f>
        <v>26.1</v>
      </c>
      <c r="AR12" s="84">
        <f t="shared" ref="AR12:AR43" si="26">AP12+AQ12</f>
        <v>26.1</v>
      </c>
      <c r="AS12" s="84">
        <f t="shared" ref="AS12:AS43" si="27">O12</f>
        <v>0</v>
      </c>
      <c r="AT12" s="84">
        <f t="shared" ref="AT12:AT43" si="28">P12</f>
        <v>0</v>
      </c>
      <c r="AU12" s="84">
        <f t="shared" ref="AU12:AU43" si="29">Q12</f>
        <v>0</v>
      </c>
      <c r="AV12" s="84">
        <f t="shared" ref="AV12:AV43" si="30">AT12+AU12</f>
        <v>0</v>
      </c>
      <c r="AW12" s="487">
        <v>402.35</v>
      </c>
      <c r="AX12" s="137">
        <f t="shared" ref="AX12:AX43" si="31">W12</f>
        <v>58.26</v>
      </c>
      <c r="AY12" s="137">
        <f t="shared" ref="AY12:AY43" si="32">X12</f>
        <v>0</v>
      </c>
      <c r="AZ12" s="137">
        <f t="shared" ref="AZ12:AZ43" si="33">Y12</f>
        <v>34.96</v>
      </c>
      <c r="BA12" s="137">
        <f t="shared" ref="BA12:BA43" si="34">Z12</f>
        <v>-2.11</v>
      </c>
      <c r="BB12" s="137">
        <f t="shared" ref="BB12:BB43" si="35">AA12</f>
        <v>-0.78</v>
      </c>
      <c r="BC12" s="84">
        <f t="shared" ref="BC12:BC43" si="36">SUM(AX12:BB12)</f>
        <v>90.33</v>
      </c>
      <c r="BD12" s="84">
        <f t="shared" ref="BD12:BD43" si="37">AC12</f>
        <v>-16.260000000000002</v>
      </c>
      <c r="BE12" s="84">
        <f t="shared" ref="BE12:BE43" si="38">AF12</f>
        <v>-133.6</v>
      </c>
      <c r="BF12" s="116">
        <f t="shared" ref="BF12:BF43" si="39">BD12+BE12</f>
        <v>-149.86000000000001</v>
      </c>
      <c r="BG12" s="502">
        <f t="shared" ref="BG12:BG43" si="40">AM12+AN12+AO12+AR12+AS12+AV12</f>
        <v>1431.23</v>
      </c>
      <c r="BH12" s="502">
        <f t="shared" ref="BH12:BH43" si="41">AW12+BC12+BF12</f>
        <v>342.82</v>
      </c>
      <c r="BI12" s="502">
        <f t="shared" ref="BI12:BI43" si="42">AM12+AN12+AO12+AR12+AS12+AV12+AW12+BC12+BF12</f>
        <v>1774.05</v>
      </c>
    </row>
    <row r="13" spans="1:241" s="480" customFormat="1" ht="16.149999999999999" customHeight="1">
      <c r="A13" s="495" t="s">
        <v>214</v>
      </c>
      <c r="B13" s="599" t="s">
        <v>391</v>
      </c>
      <c r="C13" s="600" t="s">
        <v>62</v>
      </c>
      <c r="D13" s="601" t="s">
        <v>12</v>
      </c>
      <c r="E13" s="314">
        <v>2193</v>
      </c>
      <c r="F13" s="500">
        <v>10</v>
      </c>
      <c r="G13" s="602">
        <v>1108.29</v>
      </c>
      <c r="H13" s="603">
        <v>0</v>
      </c>
      <c r="I13" s="490">
        <f t="shared" si="0"/>
        <v>1108.29</v>
      </c>
      <c r="J13" s="604">
        <f t="shared" si="1"/>
        <v>1.7014689999999999E-2</v>
      </c>
      <c r="K13" s="484">
        <f t="shared" si="2"/>
        <v>-105.12</v>
      </c>
      <c r="L13" s="484">
        <f t="shared" si="3"/>
        <v>0</v>
      </c>
      <c r="M13" s="484">
        <f t="shared" si="3"/>
        <v>26.1</v>
      </c>
      <c r="N13" s="603">
        <f t="shared" si="4"/>
        <v>26.1</v>
      </c>
      <c r="O13" s="603">
        <f t="shared" si="5"/>
        <v>0</v>
      </c>
      <c r="P13" s="603">
        <f t="shared" si="5"/>
        <v>0</v>
      </c>
      <c r="Q13" s="603">
        <f t="shared" si="6"/>
        <v>0</v>
      </c>
      <c r="R13" s="484">
        <f t="shared" si="7"/>
        <v>0</v>
      </c>
      <c r="S13" s="603">
        <f t="shared" si="8"/>
        <v>1134.3900000000001</v>
      </c>
      <c r="T13" s="605">
        <f t="shared" si="9"/>
        <v>1354.98</v>
      </c>
      <c r="U13" s="606">
        <v>402.35</v>
      </c>
      <c r="V13" s="607">
        <f t="shared" si="10"/>
        <v>1.7014689999999999E-2</v>
      </c>
      <c r="W13" s="484">
        <f t="shared" si="11"/>
        <v>58.26</v>
      </c>
      <c r="X13" s="484">
        <v>0</v>
      </c>
      <c r="Y13" s="484">
        <f t="shared" si="12"/>
        <v>34.96</v>
      </c>
      <c r="Z13" s="484">
        <f t="shared" si="12"/>
        <v>-2.11</v>
      </c>
      <c r="AA13" s="484">
        <f t="shared" si="12"/>
        <v>-0.78</v>
      </c>
      <c r="AB13" s="603">
        <f t="shared" si="13"/>
        <v>90.33</v>
      </c>
      <c r="AC13" s="603">
        <f t="shared" si="14"/>
        <v>-16.260000000000002</v>
      </c>
      <c r="AD13" s="608">
        <f t="shared" si="15"/>
        <v>-133.6</v>
      </c>
      <c r="AE13" s="608">
        <v>0</v>
      </c>
      <c r="AF13" s="603">
        <f t="shared" si="16"/>
        <v>-133.6</v>
      </c>
      <c r="AG13" s="484">
        <f t="shared" si="17"/>
        <v>-149.86000000000001</v>
      </c>
      <c r="AH13" s="609">
        <f t="shared" si="18"/>
        <v>342.82</v>
      </c>
      <c r="AI13" s="610">
        <f t="shared" si="19"/>
        <v>1477.21</v>
      </c>
      <c r="AJ13" s="610">
        <f t="shared" si="20"/>
        <v>1757.77</v>
      </c>
      <c r="AK13" s="83"/>
      <c r="AL13" s="114">
        <v>1108.29</v>
      </c>
      <c r="AM13" s="497">
        <f t="shared" si="21"/>
        <v>1510.25</v>
      </c>
      <c r="AN13" s="192">
        <f t="shared" si="22"/>
        <v>0</v>
      </c>
      <c r="AO13" s="114">
        <f t="shared" si="23"/>
        <v>-105.12</v>
      </c>
      <c r="AP13" s="137">
        <f t="shared" si="24"/>
        <v>0</v>
      </c>
      <c r="AQ13" s="137">
        <f t="shared" si="25"/>
        <v>26.1</v>
      </c>
      <c r="AR13" s="84">
        <f t="shared" si="26"/>
        <v>26.1</v>
      </c>
      <c r="AS13" s="84">
        <f t="shared" si="27"/>
        <v>0</v>
      </c>
      <c r="AT13" s="84">
        <f t="shared" si="28"/>
        <v>0</v>
      </c>
      <c r="AU13" s="84">
        <f t="shared" si="29"/>
        <v>0</v>
      </c>
      <c r="AV13" s="84">
        <f t="shared" si="30"/>
        <v>0</v>
      </c>
      <c r="AW13" s="606">
        <v>402.35</v>
      </c>
      <c r="AX13" s="137">
        <f t="shared" si="31"/>
        <v>58.26</v>
      </c>
      <c r="AY13" s="137">
        <f t="shared" si="32"/>
        <v>0</v>
      </c>
      <c r="AZ13" s="137">
        <f t="shared" si="33"/>
        <v>34.96</v>
      </c>
      <c r="BA13" s="137">
        <f t="shared" si="34"/>
        <v>-2.11</v>
      </c>
      <c r="BB13" s="137">
        <f t="shared" si="35"/>
        <v>-0.78</v>
      </c>
      <c r="BC13" s="84">
        <f t="shared" si="36"/>
        <v>90.33</v>
      </c>
      <c r="BD13" s="84">
        <f t="shared" si="37"/>
        <v>-16.260000000000002</v>
      </c>
      <c r="BE13" s="84">
        <f t="shared" si="38"/>
        <v>-133.6</v>
      </c>
      <c r="BF13" s="116">
        <f t="shared" si="39"/>
        <v>-149.86000000000001</v>
      </c>
      <c r="BG13" s="496">
        <f t="shared" si="40"/>
        <v>1431.23</v>
      </c>
      <c r="BH13" s="496">
        <f t="shared" si="41"/>
        <v>342.82</v>
      </c>
      <c r="BI13" s="496">
        <f t="shared" si="42"/>
        <v>1774.05</v>
      </c>
    </row>
    <row r="14" spans="1:241" s="581" customFormat="1" ht="16.149999999999999" customHeight="1">
      <c r="A14" s="495" t="s">
        <v>214</v>
      </c>
      <c r="B14" s="494" t="s">
        <v>446</v>
      </c>
      <c r="C14" s="493" t="s">
        <v>62</v>
      </c>
      <c r="D14" s="385" t="s">
        <v>12</v>
      </c>
      <c r="E14" s="314">
        <v>3654</v>
      </c>
      <c r="F14" s="500">
        <v>5</v>
      </c>
      <c r="G14" s="491">
        <v>794.74</v>
      </c>
      <c r="H14" s="485">
        <v>0</v>
      </c>
      <c r="I14" s="490">
        <f t="shared" si="0"/>
        <v>794.74</v>
      </c>
      <c r="J14" s="489">
        <f t="shared" si="1"/>
        <v>1.220101E-2</v>
      </c>
      <c r="K14" s="484">
        <f t="shared" si="2"/>
        <v>-75.38</v>
      </c>
      <c r="L14" s="484">
        <f t="shared" si="3"/>
        <v>0</v>
      </c>
      <c r="M14" s="484">
        <f t="shared" si="3"/>
        <v>18.71</v>
      </c>
      <c r="N14" s="485">
        <f t="shared" si="4"/>
        <v>18.71</v>
      </c>
      <c r="O14" s="485">
        <f t="shared" si="5"/>
        <v>0</v>
      </c>
      <c r="P14" s="485">
        <f t="shared" si="5"/>
        <v>0</v>
      </c>
      <c r="Q14" s="485">
        <f t="shared" si="6"/>
        <v>0</v>
      </c>
      <c r="R14" s="484">
        <f t="shared" si="7"/>
        <v>0</v>
      </c>
      <c r="S14" s="485">
        <f t="shared" si="8"/>
        <v>813.45</v>
      </c>
      <c r="T14" s="488">
        <f t="shared" si="9"/>
        <v>971.63</v>
      </c>
      <c r="U14" s="487">
        <v>376.24</v>
      </c>
      <c r="V14" s="486">
        <f t="shared" si="10"/>
        <v>1.220101E-2</v>
      </c>
      <c r="W14" s="484">
        <f t="shared" si="11"/>
        <v>41.78</v>
      </c>
      <c r="X14" s="484">
        <v>0</v>
      </c>
      <c r="Y14" s="484">
        <f t="shared" si="12"/>
        <v>25.07</v>
      </c>
      <c r="Z14" s="484">
        <f t="shared" si="12"/>
        <v>-1.51</v>
      </c>
      <c r="AA14" s="484">
        <f t="shared" si="12"/>
        <v>-0.56000000000000005</v>
      </c>
      <c r="AB14" s="485">
        <f t="shared" si="13"/>
        <v>64.78</v>
      </c>
      <c r="AC14" s="485">
        <f t="shared" si="14"/>
        <v>-11.66</v>
      </c>
      <c r="AD14" s="498">
        <f t="shared" si="15"/>
        <v>-66.8</v>
      </c>
      <c r="AE14" s="498">
        <v>0</v>
      </c>
      <c r="AF14" s="485">
        <f t="shared" si="16"/>
        <v>-66.8</v>
      </c>
      <c r="AG14" s="484">
        <f t="shared" si="17"/>
        <v>-78.459999999999994</v>
      </c>
      <c r="AH14" s="381">
        <f t="shared" si="18"/>
        <v>362.56</v>
      </c>
      <c r="AI14" s="483">
        <f t="shared" si="19"/>
        <v>1176.01</v>
      </c>
      <c r="AJ14" s="483">
        <f t="shared" si="20"/>
        <v>1399.36</v>
      </c>
      <c r="AK14" s="83"/>
      <c r="AL14" s="114">
        <v>794.74</v>
      </c>
      <c r="AM14" s="497">
        <f t="shared" si="21"/>
        <v>1082.98</v>
      </c>
      <c r="AN14" s="192">
        <f t="shared" si="22"/>
        <v>0</v>
      </c>
      <c r="AO14" s="114">
        <f t="shared" si="23"/>
        <v>-75.38</v>
      </c>
      <c r="AP14" s="137">
        <f t="shared" si="24"/>
        <v>0</v>
      </c>
      <c r="AQ14" s="137">
        <f t="shared" si="25"/>
        <v>18.71</v>
      </c>
      <c r="AR14" s="84">
        <f t="shared" si="26"/>
        <v>18.71</v>
      </c>
      <c r="AS14" s="84">
        <f t="shared" si="27"/>
        <v>0</v>
      </c>
      <c r="AT14" s="84">
        <f t="shared" si="28"/>
        <v>0</v>
      </c>
      <c r="AU14" s="84">
        <f t="shared" si="29"/>
        <v>0</v>
      </c>
      <c r="AV14" s="84">
        <f t="shared" si="30"/>
        <v>0</v>
      </c>
      <c r="AW14" s="487">
        <v>376.24</v>
      </c>
      <c r="AX14" s="137">
        <f t="shared" si="31"/>
        <v>41.78</v>
      </c>
      <c r="AY14" s="137">
        <f t="shared" si="32"/>
        <v>0</v>
      </c>
      <c r="AZ14" s="137">
        <f t="shared" si="33"/>
        <v>25.07</v>
      </c>
      <c r="BA14" s="137">
        <f t="shared" si="34"/>
        <v>-1.51</v>
      </c>
      <c r="BB14" s="137">
        <f t="shared" si="35"/>
        <v>-0.56000000000000005</v>
      </c>
      <c r="BC14" s="84">
        <f t="shared" si="36"/>
        <v>64.78</v>
      </c>
      <c r="BD14" s="84">
        <f t="shared" si="37"/>
        <v>-11.66</v>
      </c>
      <c r="BE14" s="84">
        <f t="shared" si="38"/>
        <v>-66.8</v>
      </c>
      <c r="BF14" s="116">
        <f t="shared" si="39"/>
        <v>-78.459999999999994</v>
      </c>
      <c r="BG14" s="496">
        <f t="shared" si="40"/>
        <v>1026.31</v>
      </c>
      <c r="BH14" s="496">
        <f t="shared" si="41"/>
        <v>362.56</v>
      </c>
      <c r="BI14" s="496">
        <f t="shared" si="42"/>
        <v>1388.87</v>
      </c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  <c r="EK14" s="480"/>
      <c r="EL14" s="480"/>
      <c r="EM14" s="480"/>
      <c r="EN14" s="480"/>
      <c r="EO14" s="480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80"/>
      <c r="FG14" s="480"/>
      <c r="FH14" s="480"/>
      <c r="FI14" s="480"/>
      <c r="FJ14" s="480"/>
      <c r="FK14" s="480"/>
      <c r="FL14" s="480"/>
      <c r="FM14" s="480"/>
      <c r="FN14" s="480"/>
      <c r="FO14" s="480"/>
      <c r="FP14" s="480"/>
      <c r="FQ14" s="480"/>
      <c r="FR14" s="480"/>
      <c r="FS14" s="480"/>
      <c r="FT14" s="480"/>
      <c r="FU14" s="480"/>
      <c r="FV14" s="480"/>
      <c r="FW14" s="480"/>
      <c r="FX14" s="480"/>
      <c r="FY14" s="480"/>
      <c r="FZ14" s="480"/>
      <c r="GA14" s="480"/>
      <c r="GB14" s="480"/>
      <c r="GC14" s="480"/>
      <c r="GD14" s="480"/>
      <c r="GE14" s="480"/>
      <c r="GF14" s="480"/>
      <c r="GG14" s="480"/>
      <c r="GH14" s="480"/>
      <c r="GI14" s="480"/>
      <c r="GJ14" s="480"/>
      <c r="GK14" s="480"/>
      <c r="GL14" s="480"/>
      <c r="GM14" s="480"/>
      <c r="GN14" s="480"/>
      <c r="GO14" s="480"/>
      <c r="GP14" s="480"/>
      <c r="GQ14" s="480"/>
      <c r="GR14" s="480"/>
      <c r="GS14" s="480"/>
      <c r="GT14" s="480"/>
      <c r="GU14" s="480"/>
      <c r="GV14" s="480"/>
      <c r="GW14" s="480"/>
      <c r="GX14" s="480"/>
      <c r="GY14" s="480"/>
      <c r="GZ14" s="480"/>
      <c r="HA14" s="480"/>
      <c r="HB14" s="480"/>
      <c r="HC14" s="480"/>
      <c r="HD14" s="480"/>
      <c r="HE14" s="480"/>
      <c r="HF14" s="480"/>
      <c r="HG14" s="480"/>
      <c r="HH14" s="480"/>
      <c r="HI14" s="480"/>
      <c r="HJ14" s="480"/>
      <c r="HK14" s="480"/>
      <c r="HL14" s="480"/>
      <c r="HM14" s="480"/>
      <c r="HN14" s="480"/>
      <c r="HO14" s="480"/>
      <c r="HP14" s="480"/>
      <c r="HQ14" s="480"/>
      <c r="HR14" s="480"/>
      <c r="HS14" s="480"/>
      <c r="HT14" s="480"/>
      <c r="HU14" s="480"/>
      <c r="HV14" s="480"/>
      <c r="HW14" s="480"/>
      <c r="HX14" s="480"/>
      <c r="HY14" s="480"/>
      <c r="HZ14" s="480"/>
      <c r="IA14" s="480"/>
      <c r="IB14" s="480"/>
      <c r="IC14" s="480"/>
      <c r="ID14" s="480"/>
      <c r="IE14" s="480"/>
      <c r="IF14" s="480"/>
      <c r="IG14" s="480"/>
    </row>
    <row r="15" spans="1:241" s="480" customFormat="1" ht="16.149999999999999" customHeight="1">
      <c r="A15" s="495" t="s">
        <v>214</v>
      </c>
      <c r="B15" s="599" t="s">
        <v>394</v>
      </c>
      <c r="C15" s="600" t="s">
        <v>62</v>
      </c>
      <c r="D15" s="601" t="s">
        <v>12</v>
      </c>
      <c r="E15" s="158" t="s">
        <v>196</v>
      </c>
      <c r="F15" s="500">
        <v>10</v>
      </c>
      <c r="G15" s="602">
        <v>1108.29</v>
      </c>
      <c r="H15" s="603">
        <v>0</v>
      </c>
      <c r="I15" s="490">
        <f t="shared" si="0"/>
        <v>1108.29</v>
      </c>
      <c r="J15" s="604">
        <f t="shared" si="1"/>
        <v>1.7014689999999999E-2</v>
      </c>
      <c r="K15" s="484">
        <f t="shared" si="2"/>
        <v>-105.12</v>
      </c>
      <c r="L15" s="484">
        <f t="shared" si="3"/>
        <v>0</v>
      </c>
      <c r="M15" s="484">
        <f t="shared" si="3"/>
        <v>26.1</v>
      </c>
      <c r="N15" s="603">
        <f t="shared" si="4"/>
        <v>26.1</v>
      </c>
      <c r="O15" s="603">
        <f t="shared" si="5"/>
        <v>0</v>
      </c>
      <c r="P15" s="603">
        <f t="shared" si="5"/>
        <v>0</v>
      </c>
      <c r="Q15" s="603">
        <f t="shared" si="6"/>
        <v>0</v>
      </c>
      <c r="R15" s="484">
        <f t="shared" si="7"/>
        <v>0</v>
      </c>
      <c r="S15" s="603">
        <f t="shared" si="8"/>
        <v>1134.3900000000001</v>
      </c>
      <c r="T15" s="605">
        <f t="shared" si="9"/>
        <v>1354.98</v>
      </c>
      <c r="U15" s="606">
        <v>402.35</v>
      </c>
      <c r="V15" s="607">
        <f t="shared" si="10"/>
        <v>1.7014689999999999E-2</v>
      </c>
      <c r="W15" s="484">
        <f t="shared" si="11"/>
        <v>58.26</v>
      </c>
      <c r="X15" s="484">
        <v>0</v>
      </c>
      <c r="Y15" s="484">
        <f t="shared" si="12"/>
        <v>34.96</v>
      </c>
      <c r="Z15" s="484">
        <f t="shared" si="12"/>
        <v>-2.11</v>
      </c>
      <c r="AA15" s="484">
        <f t="shared" si="12"/>
        <v>-0.78</v>
      </c>
      <c r="AB15" s="603">
        <f t="shared" si="13"/>
        <v>90.33</v>
      </c>
      <c r="AC15" s="603">
        <f t="shared" si="14"/>
        <v>-16.260000000000002</v>
      </c>
      <c r="AD15" s="608">
        <f t="shared" si="15"/>
        <v>-133.6</v>
      </c>
      <c r="AE15" s="608">
        <v>0</v>
      </c>
      <c r="AF15" s="603">
        <f t="shared" si="16"/>
        <v>-133.6</v>
      </c>
      <c r="AG15" s="484">
        <f t="shared" si="17"/>
        <v>-149.86000000000001</v>
      </c>
      <c r="AH15" s="609">
        <f t="shared" si="18"/>
        <v>342.82</v>
      </c>
      <c r="AI15" s="610">
        <f t="shared" si="19"/>
        <v>1477.21</v>
      </c>
      <c r="AJ15" s="610">
        <f t="shared" si="20"/>
        <v>1757.77</v>
      </c>
      <c r="AK15" s="83"/>
      <c r="AL15" s="114">
        <v>1108.29</v>
      </c>
      <c r="AM15" s="497">
        <f t="shared" si="21"/>
        <v>1510.25</v>
      </c>
      <c r="AN15" s="192">
        <f t="shared" si="22"/>
        <v>0</v>
      </c>
      <c r="AO15" s="114">
        <f t="shared" si="23"/>
        <v>-105.12</v>
      </c>
      <c r="AP15" s="137">
        <f t="shared" si="24"/>
        <v>0</v>
      </c>
      <c r="AQ15" s="137">
        <f t="shared" si="25"/>
        <v>26.1</v>
      </c>
      <c r="AR15" s="84">
        <f t="shared" si="26"/>
        <v>26.1</v>
      </c>
      <c r="AS15" s="84">
        <f t="shared" si="27"/>
        <v>0</v>
      </c>
      <c r="AT15" s="84">
        <f t="shared" si="28"/>
        <v>0</v>
      </c>
      <c r="AU15" s="84">
        <f t="shared" si="29"/>
        <v>0</v>
      </c>
      <c r="AV15" s="84">
        <f t="shared" si="30"/>
        <v>0</v>
      </c>
      <c r="AW15" s="606">
        <v>402.35</v>
      </c>
      <c r="AX15" s="137">
        <f t="shared" si="31"/>
        <v>58.26</v>
      </c>
      <c r="AY15" s="137">
        <f t="shared" si="32"/>
        <v>0</v>
      </c>
      <c r="AZ15" s="137">
        <f t="shared" si="33"/>
        <v>34.96</v>
      </c>
      <c r="BA15" s="137">
        <f t="shared" si="34"/>
        <v>-2.11</v>
      </c>
      <c r="BB15" s="137">
        <f t="shared" si="35"/>
        <v>-0.78</v>
      </c>
      <c r="BC15" s="84">
        <f t="shared" si="36"/>
        <v>90.33</v>
      </c>
      <c r="BD15" s="84">
        <f t="shared" si="37"/>
        <v>-16.260000000000002</v>
      </c>
      <c r="BE15" s="84">
        <f t="shared" si="38"/>
        <v>-133.6</v>
      </c>
      <c r="BF15" s="116">
        <f t="shared" si="39"/>
        <v>-149.86000000000001</v>
      </c>
      <c r="BG15" s="496">
        <f t="shared" si="40"/>
        <v>1431.23</v>
      </c>
      <c r="BH15" s="496">
        <f t="shared" si="41"/>
        <v>342.82</v>
      </c>
      <c r="BI15" s="496">
        <f t="shared" si="42"/>
        <v>1774.05</v>
      </c>
    </row>
    <row r="16" spans="1:241" s="480" customFormat="1" ht="16.149999999999999" customHeight="1">
      <c r="A16" s="495" t="s">
        <v>214</v>
      </c>
      <c r="B16" s="599" t="s">
        <v>390</v>
      </c>
      <c r="C16" s="600" t="s">
        <v>62</v>
      </c>
      <c r="D16" s="601" t="s">
        <v>12</v>
      </c>
      <c r="E16" s="314">
        <v>17168</v>
      </c>
      <c r="F16" s="500">
        <v>10</v>
      </c>
      <c r="G16" s="602">
        <v>1108.29</v>
      </c>
      <c r="H16" s="603">
        <v>0</v>
      </c>
      <c r="I16" s="490">
        <f t="shared" si="0"/>
        <v>1108.29</v>
      </c>
      <c r="J16" s="604">
        <f t="shared" si="1"/>
        <v>1.7014689999999999E-2</v>
      </c>
      <c r="K16" s="484">
        <f t="shared" si="2"/>
        <v>-105.12</v>
      </c>
      <c r="L16" s="484">
        <f t="shared" si="3"/>
        <v>0</v>
      </c>
      <c r="M16" s="484">
        <f t="shared" si="3"/>
        <v>26.1</v>
      </c>
      <c r="N16" s="603">
        <f t="shared" si="4"/>
        <v>26.1</v>
      </c>
      <c r="O16" s="603">
        <f t="shared" si="5"/>
        <v>0</v>
      </c>
      <c r="P16" s="603">
        <f t="shared" si="5"/>
        <v>0</v>
      </c>
      <c r="Q16" s="603">
        <f t="shared" si="6"/>
        <v>0</v>
      </c>
      <c r="R16" s="484">
        <f t="shared" si="7"/>
        <v>0</v>
      </c>
      <c r="S16" s="603">
        <f t="shared" si="8"/>
        <v>1134.3900000000001</v>
      </c>
      <c r="T16" s="605">
        <f t="shared" si="9"/>
        <v>1354.98</v>
      </c>
      <c r="U16" s="606">
        <v>402.35</v>
      </c>
      <c r="V16" s="607">
        <f t="shared" si="10"/>
        <v>1.7014689999999999E-2</v>
      </c>
      <c r="W16" s="484">
        <f t="shared" si="11"/>
        <v>58.26</v>
      </c>
      <c r="X16" s="484">
        <v>0</v>
      </c>
      <c r="Y16" s="484">
        <f t="shared" si="12"/>
        <v>34.96</v>
      </c>
      <c r="Z16" s="484">
        <f t="shared" si="12"/>
        <v>-2.11</v>
      </c>
      <c r="AA16" s="484">
        <f t="shared" si="12"/>
        <v>-0.78</v>
      </c>
      <c r="AB16" s="603">
        <f t="shared" si="13"/>
        <v>90.33</v>
      </c>
      <c r="AC16" s="603">
        <f t="shared" si="14"/>
        <v>-16.260000000000002</v>
      </c>
      <c r="AD16" s="608">
        <f t="shared" si="15"/>
        <v>-133.6</v>
      </c>
      <c r="AE16" s="608">
        <v>0</v>
      </c>
      <c r="AF16" s="603">
        <f t="shared" si="16"/>
        <v>-133.6</v>
      </c>
      <c r="AG16" s="484">
        <f t="shared" si="17"/>
        <v>-149.86000000000001</v>
      </c>
      <c r="AH16" s="609">
        <f t="shared" si="18"/>
        <v>342.82</v>
      </c>
      <c r="AI16" s="610">
        <f t="shared" si="19"/>
        <v>1477.21</v>
      </c>
      <c r="AJ16" s="610">
        <f t="shared" si="20"/>
        <v>1757.77</v>
      </c>
      <c r="AK16" s="83"/>
      <c r="AL16" s="114">
        <v>1108.29</v>
      </c>
      <c r="AM16" s="497">
        <f t="shared" si="21"/>
        <v>1510.25</v>
      </c>
      <c r="AN16" s="192">
        <f t="shared" si="22"/>
        <v>0</v>
      </c>
      <c r="AO16" s="114">
        <f t="shared" si="23"/>
        <v>-105.12</v>
      </c>
      <c r="AP16" s="137">
        <f t="shared" si="24"/>
        <v>0</v>
      </c>
      <c r="AQ16" s="137">
        <f t="shared" si="25"/>
        <v>26.1</v>
      </c>
      <c r="AR16" s="84">
        <f t="shared" si="26"/>
        <v>26.1</v>
      </c>
      <c r="AS16" s="84">
        <f t="shared" si="27"/>
        <v>0</v>
      </c>
      <c r="AT16" s="84">
        <f t="shared" si="28"/>
        <v>0</v>
      </c>
      <c r="AU16" s="84">
        <f t="shared" si="29"/>
        <v>0</v>
      </c>
      <c r="AV16" s="84">
        <f t="shared" si="30"/>
        <v>0</v>
      </c>
      <c r="AW16" s="606">
        <v>402.35</v>
      </c>
      <c r="AX16" s="137">
        <f t="shared" si="31"/>
        <v>58.26</v>
      </c>
      <c r="AY16" s="137">
        <f t="shared" si="32"/>
        <v>0</v>
      </c>
      <c r="AZ16" s="137">
        <f t="shared" si="33"/>
        <v>34.96</v>
      </c>
      <c r="BA16" s="137">
        <f t="shared" si="34"/>
        <v>-2.11</v>
      </c>
      <c r="BB16" s="137">
        <f t="shared" si="35"/>
        <v>-0.78</v>
      </c>
      <c r="BC16" s="84">
        <f t="shared" si="36"/>
        <v>90.33</v>
      </c>
      <c r="BD16" s="84">
        <f t="shared" si="37"/>
        <v>-16.260000000000002</v>
      </c>
      <c r="BE16" s="84">
        <f t="shared" si="38"/>
        <v>-133.6</v>
      </c>
      <c r="BF16" s="116">
        <f t="shared" si="39"/>
        <v>-149.86000000000001</v>
      </c>
      <c r="BG16" s="496">
        <f t="shared" si="40"/>
        <v>1431.23</v>
      </c>
      <c r="BH16" s="496">
        <f t="shared" si="41"/>
        <v>342.82</v>
      </c>
      <c r="BI16" s="496">
        <f t="shared" si="42"/>
        <v>1774.05</v>
      </c>
    </row>
    <row r="17" spans="1:62" s="480" customFormat="1" ht="16.149999999999999" customHeight="1">
      <c r="A17" s="495" t="s">
        <v>214</v>
      </c>
      <c r="B17" s="599" t="s">
        <v>392</v>
      </c>
      <c r="C17" s="600" t="s">
        <v>62</v>
      </c>
      <c r="D17" s="601" t="s">
        <v>12</v>
      </c>
      <c r="E17" s="314">
        <v>8767</v>
      </c>
      <c r="F17" s="500">
        <v>10</v>
      </c>
      <c r="G17" s="602">
        <v>1108.29</v>
      </c>
      <c r="H17" s="603">
        <v>0</v>
      </c>
      <c r="I17" s="490">
        <f t="shared" si="0"/>
        <v>1108.29</v>
      </c>
      <c r="J17" s="604">
        <f t="shared" si="1"/>
        <v>1.7014689999999999E-2</v>
      </c>
      <c r="K17" s="484">
        <f t="shared" si="2"/>
        <v>-105.12</v>
      </c>
      <c r="L17" s="484">
        <f t="shared" si="3"/>
        <v>0</v>
      </c>
      <c r="M17" s="484">
        <f t="shared" si="3"/>
        <v>26.1</v>
      </c>
      <c r="N17" s="603">
        <f t="shared" si="4"/>
        <v>26.1</v>
      </c>
      <c r="O17" s="603">
        <f t="shared" si="5"/>
        <v>0</v>
      </c>
      <c r="P17" s="603">
        <f t="shared" si="5"/>
        <v>0</v>
      </c>
      <c r="Q17" s="603">
        <f t="shared" si="6"/>
        <v>0</v>
      </c>
      <c r="R17" s="484">
        <f t="shared" si="7"/>
        <v>0</v>
      </c>
      <c r="S17" s="603">
        <f t="shared" si="8"/>
        <v>1134.3900000000001</v>
      </c>
      <c r="T17" s="605">
        <f t="shared" si="9"/>
        <v>1354.98</v>
      </c>
      <c r="U17" s="606">
        <v>402.35</v>
      </c>
      <c r="V17" s="607">
        <f t="shared" si="10"/>
        <v>1.7014689999999999E-2</v>
      </c>
      <c r="W17" s="484">
        <f t="shared" si="11"/>
        <v>58.26</v>
      </c>
      <c r="X17" s="484">
        <v>0</v>
      </c>
      <c r="Y17" s="484">
        <f t="shared" si="12"/>
        <v>34.96</v>
      </c>
      <c r="Z17" s="484">
        <f t="shared" si="12"/>
        <v>-2.11</v>
      </c>
      <c r="AA17" s="484">
        <f t="shared" si="12"/>
        <v>-0.78</v>
      </c>
      <c r="AB17" s="603">
        <f t="shared" si="13"/>
        <v>90.33</v>
      </c>
      <c r="AC17" s="603">
        <f t="shared" si="14"/>
        <v>-16.260000000000002</v>
      </c>
      <c r="AD17" s="608">
        <f t="shared" si="15"/>
        <v>-133.6</v>
      </c>
      <c r="AE17" s="608">
        <v>0</v>
      </c>
      <c r="AF17" s="603">
        <f t="shared" si="16"/>
        <v>-133.6</v>
      </c>
      <c r="AG17" s="484">
        <f t="shared" si="17"/>
        <v>-149.86000000000001</v>
      </c>
      <c r="AH17" s="609">
        <f t="shared" si="18"/>
        <v>342.82</v>
      </c>
      <c r="AI17" s="610">
        <f t="shared" si="19"/>
        <v>1477.21</v>
      </c>
      <c r="AJ17" s="610">
        <f t="shared" si="20"/>
        <v>1757.77</v>
      </c>
      <c r="AK17" s="83"/>
      <c r="AL17" s="114">
        <v>1108.29</v>
      </c>
      <c r="AM17" s="497">
        <f t="shared" si="21"/>
        <v>1510.25</v>
      </c>
      <c r="AN17" s="192">
        <f t="shared" si="22"/>
        <v>0</v>
      </c>
      <c r="AO17" s="114">
        <f t="shared" si="23"/>
        <v>-105.12</v>
      </c>
      <c r="AP17" s="137">
        <f t="shared" si="24"/>
        <v>0</v>
      </c>
      <c r="AQ17" s="137">
        <f t="shared" si="25"/>
        <v>26.1</v>
      </c>
      <c r="AR17" s="84">
        <f t="shared" si="26"/>
        <v>26.1</v>
      </c>
      <c r="AS17" s="84">
        <f t="shared" si="27"/>
        <v>0</v>
      </c>
      <c r="AT17" s="84">
        <f t="shared" si="28"/>
        <v>0</v>
      </c>
      <c r="AU17" s="84">
        <f t="shared" si="29"/>
        <v>0</v>
      </c>
      <c r="AV17" s="84">
        <f t="shared" si="30"/>
        <v>0</v>
      </c>
      <c r="AW17" s="606">
        <v>402.35</v>
      </c>
      <c r="AX17" s="137">
        <f t="shared" si="31"/>
        <v>58.26</v>
      </c>
      <c r="AY17" s="137">
        <f t="shared" si="32"/>
        <v>0</v>
      </c>
      <c r="AZ17" s="137">
        <f t="shared" si="33"/>
        <v>34.96</v>
      </c>
      <c r="BA17" s="137">
        <f t="shared" si="34"/>
        <v>-2.11</v>
      </c>
      <c r="BB17" s="137">
        <f t="shared" si="35"/>
        <v>-0.78</v>
      </c>
      <c r="BC17" s="84">
        <f t="shared" si="36"/>
        <v>90.33</v>
      </c>
      <c r="BD17" s="84">
        <f t="shared" si="37"/>
        <v>-16.260000000000002</v>
      </c>
      <c r="BE17" s="84">
        <f t="shared" si="38"/>
        <v>-133.6</v>
      </c>
      <c r="BF17" s="116">
        <f t="shared" si="39"/>
        <v>-149.86000000000001</v>
      </c>
      <c r="BG17" s="496">
        <f t="shared" si="40"/>
        <v>1431.23</v>
      </c>
      <c r="BH17" s="496">
        <f t="shared" si="41"/>
        <v>342.82</v>
      </c>
      <c r="BI17" s="496">
        <f t="shared" si="42"/>
        <v>1774.05</v>
      </c>
    </row>
    <row r="18" spans="1:62" s="480" customFormat="1" ht="16.149999999999999" customHeight="1">
      <c r="A18" s="495" t="s">
        <v>214</v>
      </c>
      <c r="B18" s="599" t="s">
        <v>393</v>
      </c>
      <c r="C18" s="600" t="s">
        <v>62</v>
      </c>
      <c r="D18" s="601" t="s">
        <v>12</v>
      </c>
      <c r="E18" s="314">
        <v>8767</v>
      </c>
      <c r="F18" s="500">
        <v>10</v>
      </c>
      <c r="G18" s="602">
        <v>1108.29</v>
      </c>
      <c r="H18" s="603">
        <v>0</v>
      </c>
      <c r="I18" s="490">
        <f t="shared" si="0"/>
        <v>1108.29</v>
      </c>
      <c r="J18" s="604">
        <f t="shared" si="1"/>
        <v>1.7014689999999999E-2</v>
      </c>
      <c r="K18" s="484">
        <f t="shared" si="2"/>
        <v>-105.12</v>
      </c>
      <c r="L18" s="484">
        <f t="shared" si="3"/>
        <v>0</v>
      </c>
      <c r="M18" s="484">
        <f t="shared" si="3"/>
        <v>26.1</v>
      </c>
      <c r="N18" s="603">
        <f t="shared" si="4"/>
        <v>26.1</v>
      </c>
      <c r="O18" s="603">
        <f t="shared" si="5"/>
        <v>0</v>
      </c>
      <c r="P18" s="603">
        <f t="shared" si="5"/>
        <v>0</v>
      </c>
      <c r="Q18" s="603">
        <f t="shared" si="6"/>
        <v>0</v>
      </c>
      <c r="R18" s="484">
        <f t="shared" si="7"/>
        <v>0</v>
      </c>
      <c r="S18" s="603">
        <f t="shared" si="8"/>
        <v>1134.3900000000001</v>
      </c>
      <c r="T18" s="605">
        <f t="shared" si="9"/>
        <v>1354.98</v>
      </c>
      <c r="U18" s="606">
        <v>402.35</v>
      </c>
      <c r="V18" s="607">
        <f t="shared" si="10"/>
        <v>1.7014689999999999E-2</v>
      </c>
      <c r="W18" s="484">
        <f t="shared" si="11"/>
        <v>58.26</v>
      </c>
      <c r="X18" s="484">
        <v>0</v>
      </c>
      <c r="Y18" s="484">
        <f t="shared" si="12"/>
        <v>34.96</v>
      </c>
      <c r="Z18" s="484">
        <f t="shared" si="12"/>
        <v>-2.11</v>
      </c>
      <c r="AA18" s="484">
        <f t="shared" si="12"/>
        <v>-0.78</v>
      </c>
      <c r="AB18" s="603">
        <f t="shared" si="13"/>
        <v>90.33</v>
      </c>
      <c r="AC18" s="603">
        <f t="shared" si="14"/>
        <v>-16.260000000000002</v>
      </c>
      <c r="AD18" s="608">
        <f t="shared" si="15"/>
        <v>-133.6</v>
      </c>
      <c r="AE18" s="608">
        <v>0</v>
      </c>
      <c r="AF18" s="603">
        <f t="shared" si="16"/>
        <v>-133.6</v>
      </c>
      <c r="AG18" s="484">
        <f t="shared" si="17"/>
        <v>-149.86000000000001</v>
      </c>
      <c r="AH18" s="609">
        <f t="shared" si="18"/>
        <v>342.82</v>
      </c>
      <c r="AI18" s="610">
        <f t="shared" si="19"/>
        <v>1477.21</v>
      </c>
      <c r="AJ18" s="610">
        <f t="shared" si="20"/>
        <v>1757.77</v>
      </c>
      <c r="AK18" s="83"/>
      <c r="AL18" s="114">
        <v>1108.29</v>
      </c>
      <c r="AM18" s="497">
        <f t="shared" si="21"/>
        <v>1510.25</v>
      </c>
      <c r="AN18" s="192">
        <f t="shared" si="22"/>
        <v>0</v>
      </c>
      <c r="AO18" s="114">
        <f t="shared" si="23"/>
        <v>-105.12</v>
      </c>
      <c r="AP18" s="137">
        <f t="shared" si="24"/>
        <v>0</v>
      </c>
      <c r="AQ18" s="137">
        <f t="shared" si="25"/>
        <v>26.1</v>
      </c>
      <c r="AR18" s="84">
        <f t="shared" si="26"/>
        <v>26.1</v>
      </c>
      <c r="AS18" s="84">
        <f t="shared" si="27"/>
        <v>0</v>
      </c>
      <c r="AT18" s="84">
        <f t="shared" si="28"/>
        <v>0</v>
      </c>
      <c r="AU18" s="84">
        <f t="shared" si="29"/>
        <v>0</v>
      </c>
      <c r="AV18" s="84">
        <f t="shared" si="30"/>
        <v>0</v>
      </c>
      <c r="AW18" s="606">
        <v>402.35</v>
      </c>
      <c r="AX18" s="137">
        <f t="shared" si="31"/>
        <v>58.26</v>
      </c>
      <c r="AY18" s="137">
        <f t="shared" si="32"/>
        <v>0</v>
      </c>
      <c r="AZ18" s="137">
        <f t="shared" si="33"/>
        <v>34.96</v>
      </c>
      <c r="BA18" s="137">
        <f t="shared" si="34"/>
        <v>-2.11</v>
      </c>
      <c r="BB18" s="137">
        <f t="shared" si="35"/>
        <v>-0.78</v>
      </c>
      <c r="BC18" s="84">
        <f t="shared" si="36"/>
        <v>90.33</v>
      </c>
      <c r="BD18" s="84">
        <f t="shared" si="37"/>
        <v>-16.260000000000002</v>
      </c>
      <c r="BE18" s="84">
        <f t="shared" si="38"/>
        <v>-133.6</v>
      </c>
      <c r="BF18" s="116">
        <f t="shared" si="39"/>
        <v>-149.86000000000001</v>
      </c>
      <c r="BG18" s="496">
        <f t="shared" si="40"/>
        <v>1431.23</v>
      </c>
      <c r="BH18" s="496">
        <f t="shared" si="41"/>
        <v>342.82</v>
      </c>
      <c r="BI18" s="496">
        <f t="shared" si="42"/>
        <v>1774.05</v>
      </c>
    </row>
    <row r="19" spans="1:62" s="480" customFormat="1" ht="16.149999999999999" customHeight="1">
      <c r="A19" s="495" t="s">
        <v>214</v>
      </c>
      <c r="B19" s="599" t="s">
        <v>387</v>
      </c>
      <c r="C19" s="600" t="s">
        <v>63</v>
      </c>
      <c r="D19" s="601" t="s">
        <v>12</v>
      </c>
      <c r="E19" s="314">
        <v>10594</v>
      </c>
      <c r="F19" s="500">
        <v>10</v>
      </c>
      <c r="G19" s="602">
        <v>1108.29</v>
      </c>
      <c r="H19" s="603">
        <v>0</v>
      </c>
      <c r="I19" s="490">
        <f t="shared" si="0"/>
        <v>1108.29</v>
      </c>
      <c r="J19" s="604">
        <f t="shared" si="1"/>
        <v>1.7014689999999999E-2</v>
      </c>
      <c r="K19" s="484">
        <f t="shared" si="2"/>
        <v>-105.12</v>
      </c>
      <c r="L19" s="484">
        <f t="shared" si="3"/>
        <v>0</v>
      </c>
      <c r="M19" s="484">
        <f t="shared" si="3"/>
        <v>26.1</v>
      </c>
      <c r="N19" s="603">
        <f t="shared" si="4"/>
        <v>26.1</v>
      </c>
      <c r="O19" s="603">
        <f t="shared" si="5"/>
        <v>0</v>
      </c>
      <c r="P19" s="603">
        <f t="shared" si="5"/>
        <v>0</v>
      </c>
      <c r="Q19" s="603">
        <f t="shared" si="6"/>
        <v>0</v>
      </c>
      <c r="R19" s="484">
        <f t="shared" si="7"/>
        <v>0</v>
      </c>
      <c r="S19" s="603">
        <f t="shared" si="8"/>
        <v>1134.3900000000001</v>
      </c>
      <c r="T19" s="605">
        <f t="shared" si="9"/>
        <v>1354.98</v>
      </c>
      <c r="U19" s="606">
        <v>402.35</v>
      </c>
      <c r="V19" s="607">
        <f t="shared" si="10"/>
        <v>1.7014689999999999E-2</v>
      </c>
      <c r="W19" s="484">
        <f t="shared" si="11"/>
        <v>58.26</v>
      </c>
      <c r="X19" s="484">
        <v>0</v>
      </c>
      <c r="Y19" s="484">
        <f t="shared" si="12"/>
        <v>34.96</v>
      </c>
      <c r="Z19" s="484">
        <f t="shared" si="12"/>
        <v>-2.11</v>
      </c>
      <c r="AA19" s="484">
        <f t="shared" si="12"/>
        <v>-0.78</v>
      </c>
      <c r="AB19" s="603">
        <f t="shared" si="13"/>
        <v>90.33</v>
      </c>
      <c r="AC19" s="603">
        <f t="shared" si="14"/>
        <v>-16.260000000000002</v>
      </c>
      <c r="AD19" s="608">
        <f t="shared" si="15"/>
        <v>-133.6</v>
      </c>
      <c r="AE19" s="608">
        <v>0</v>
      </c>
      <c r="AF19" s="603">
        <f t="shared" si="16"/>
        <v>-133.6</v>
      </c>
      <c r="AG19" s="484">
        <f t="shared" si="17"/>
        <v>-149.86000000000001</v>
      </c>
      <c r="AH19" s="609">
        <f t="shared" si="18"/>
        <v>342.82</v>
      </c>
      <c r="AI19" s="610">
        <f t="shared" si="19"/>
        <v>1477.21</v>
      </c>
      <c r="AJ19" s="610">
        <f t="shared" si="20"/>
        <v>1757.77</v>
      </c>
      <c r="AK19" s="83"/>
      <c r="AL19" s="114">
        <v>1108.29</v>
      </c>
      <c r="AM19" s="497">
        <f t="shared" si="21"/>
        <v>1510.25</v>
      </c>
      <c r="AN19" s="192">
        <f t="shared" si="22"/>
        <v>0</v>
      </c>
      <c r="AO19" s="114">
        <f t="shared" si="23"/>
        <v>-105.12</v>
      </c>
      <c r="AP19" s="137">
        <f t="shared" si="24"/>
        <v>0</v>
      </c>
      <c r="AQ19" s="137">
        <f t="shared" si="25"/>
        <v>26.1</v>
      </c>
      <c r="AR19" s="84">
        <f t="shared" si="26"/>
        <v>26.1</v>
      </c>
      <c r="AS19" s="84">
        <f t="shared" si="27"/>
        <v>0</v>
      </c>
      <c r="AT19" s="84">
        <f t="shared" si="28"/>
        <v>0</v>
      </c>
      <c r="AU19" s="84">
        <f t="shared" si="29"/>
        <v>0</v>
      </c>
      <c r="AV19" s="84">
        <f t="shared" si="30"/>
        <v>0</v>
      </c>
      <c r="AW19" s="606">
        <v>402.35</v>
      </c>
      <c r="AX19" s="137">
        <f t="shared" si="31"/>
        <v>58.26</v>
      </c>
      <c r="AY19" s="137">
        <f t="shared" si="32"/>
        <v>0</v>
      </c>
      <c r="AZ19" s="137">
        <f t="shared" si="33"/>
        <v>34.96</v>
      </c>
      <c r="BA19" s="137">
        <f t="shared" si="34"/>
        <v>-2.11</v>
      </c>
      <c r="BB19" s="137">
        <f t="shared" si="35"/>
        <v>-0.78</v>
      </c>
      <c r="BC19" s="84">
        <f t="shared" si="36"/>
        <v>90.33</v>
      </c>
      <c r="BD19" s="84">
        <f t="shared" si="37"/>
        <v>-16.260000000000002</v>
      </c>
      <c r="BE19" s="84">
        <f t="shared" si="38"/>
        <v>-133.6</v>
      </c>
      <c r="BF19" s="116">
        <f t="shared" si="39"/>
        <v>-149.86000000000001</v>
      </c>
      <c r="BG19" s="496">
        <f t="shared" si="40"/>
        <v>1431.23</v>
      </c>
      <c r="BH19" s="496">
        <f t="shared" si="41"/>
        <v>342.82</v>
      </c>
      <c r="BI19" s="496">
        <f t="shared" si="42"/>
        <v>1774.05</v>
      </c>
      <c r="BJ19" s="611"/>
    </row>
    <row r="20" spans="1:62" s="480" customFormat="1" ht="16.149999999999999" customHeight="1">
      <c r="A20" s="495" t="s">
        <v>214</v>
      </c>
      <c r="B20" s="599" t="s">
        <v>395</v>
      </c>
      <c r="C20" s="600" t="s">
        <v>62</v>
      </c>
      <c r="D20" s="601" t="s">
        <v>12</v>
      </c>
      <c r="E20" s="314">
        <v>4384</v>
      </c>
      <c r="F20" s="500">
        <v>10</v>
      </c>
      <c r="G20" s="602">
        <v>1108.29</v>
      </c>
      <c r="H20" s="603">
        <v>0</v>
      </c>
      <c r="I20" s="490">
        <f t="shared" si="0"/>
        <v>1108.29</v>
      </c>
      <c r="J20" s="604">
        <f t="shared" si="1"/>
        <v>1.7014689999999999E-2</v>
      </c>
      <c r="K20" s="484">
        <f t="shared" si="2"/>
        <v>-105.12</v>
      </c>
      <c r="L20" s="484">
        <f t="shared" si="3"/>
        <v>0</v>
      </c>
      <c r="M20" s="484">
        <f t="shared" si="3"/>
        <v>26.1</v>
      </c>
      <c r="N20" s="603">
        <f t="shared" si="4"/>
        <v>26.1</v>
      </c>
      <c r="O20" s="603">
        <f t="shared" si="5"/>
        <v>0</v>
      </c>
      <c r="P20" s="603">
        <f t="shared" si="5"/>
        <v>0</v>
      </c>
      <c r="Q20" s="603">
        <f t="shared" si="6"/>
        <v>0</v>
      </c>
      <c r="R20" s="484">
        <f t="shared" si="7"/>
        <v>0</v>
      </c>
      <c r="S20" s="603">
        <f t="shared" si="8"/>
        <v>1134.3900000000001</v>
      </c>
      <c r="T20" s="605">
        <f t="shared" si="9"/>
        <v>1354.98</v>
      </c>
      <c r="U20" s="606">
        <v>402.35</v>
      </c>
      <c r="V20" s="607">
        <f t="shared" si="10"/>
        <v>1.7014689999999999E-2</v>
      </c>
      <c r="W20" s="484">
        <f t="shared" si="11"/>
        <v>58.26</v>
      </c>
      <c r="X20" s="484">
        <v>0</v>
      </c>
      <c r="Y20" s="484">
        <f t="shared" si="12"/>
        <v>34.96</v>
      </c>
      <c r="Z20" s="484">
        <f t="shared" si="12"/>
        <v>-2.11</v>
      </c>
      <c r="AA20" s="484">
        <f t="shared" si="12"/>
        <v>-0.78</v>
      </c>
      <c r="AB20" s="603">
        <f t="shared" si="13"/>
        <v>90.33</v>
      </c>
      <c r="AC20" s="603">
        <f t="shared" si="14"/>
        <v>-16.260000000000002</v>
      </c>
      <c r="AD20" s="608">
        <f t="shared" si="15"/>
        <v>-133.6</v>
      </c>
      <c r="AE20" s="608">
        <v>0</v>
      </c>
      <c r="AF20" s="603">
        <f t="shared" si="16"/>
        <v>-133.6</v>
      </c>
      <c r="AG20" s="484">
        <f t="shared" si="17"/>
        <v>-149.86000000000001</v>
      </c>
      <c r="AH20" s="609">
        <f t="shared" si="18"/>
        <v>342.82</v>
      </c>
      <c r="AI20" s="610">
        <f t="shared" si="19"/>
        <v>1477.21</v>
      </c>
      <c r="AJ20" s="610">
        <f t="shared" si="20"/>
        <v>1757.77</v>
      </c>
      <c r="AK20" s="83"/>
      <c r="AL20" s="114">
        <v>1108.29</v>
      </c>
      <c r="AM20" s="497">
        <f t="shared" si="21"/>
        <v>1510.25</v>
      </c>
      <c r="AN20" s="192">
        <f t="shared" si="22"/>
        <v>0</v>
      </c>
      <c r="AO20" s="114">
        <f t="shared" si="23"/>
        <v>-105.12</v>
      </c>
      <c r="AP20" s="137">
        <f t="shared" si="24"/>
        <v>0</v>
      </c>
      <c r="AQ20" s="137">
        <f t="shared" si="25"/>
        <v>26.1</v>
      </c>
      <c r="AR20" s="84">
        <f t="shared" si="26"/>
        <v>26.1</v>
      </c>
      <c r="AS20" s="84">
        <f t="shared" si="27"/>
        <v>0</v>
      </c>
      <c r="AT20" s="84">
        <f t="shared" si="28"/>
        <v>0</v>
      </c>
      <c r="AU20" s="84">
        <f t="shared" si="29"/>
        <v>0</v>
      </c>
      <c r="AV20" s="84">
        <f t="shared" si="30"/>
        <v>0</v>
      </c>
      <c r="AW20" s="606">
        <v>402.35</v>
      </c>
      <c r="AX20" s="137">
        <f t="shared" si="31"/>
        <v>58.26</v>
      </c>
      <c r="AY20" s="137">
        <f t="shared" si="32"/>
        <v>0</v>
      </c>
      <c r="AZ20" s="137">
        <f t="shared" si="33"/>
        <v>34.96</v>
      </c>
      <c r="BA20" s="137">
        <f t="shared" si="34"/>
        <v>-2.11</v>
      </c>
      <c r="BB20" s="137">
        <f t="shared" si="35"/>
        <v>-0.78</v>
      </c>
      <c r="BC20" s="84">
        <f t="shared" si="36"/>
        <v>90.33</v>
      </c>
      <c r="BD20" s="84">
        <f t="shared" si="37"/>
        <v>-16.260000000000002</v>
      </c>
      <c r="BE20" s="84">
        <f t="shared" si="38"/>
        <v>-133.6</v>
      </c>
      <c r="BF20" s="116">
        <f t="shared" si="39"/>
        <v>-149.86000000000001</v>
      </c>
      <c r="BG20" s="496">
        <f t="shared" si="40"/>
        <v>1431.23</v>
      </c>
      <c r="BH20" s="496">
        <f t="shared" si="41"/>
        <v>342.82</v>
      </c>
      <c r="BI20" s="496">
        <f t="shared" si="42"/>
        <v>1774.05</v>
      </c>
    </row>
    <row r="21" spans="1:62" s="480" customFormat="1" ht="16.149999999999999" customHeight="1">
      <c r="A21" s="495" t="s">
        <v>214</v>
      </c>
      <c r="B21" s="599" t="s">
        <v>388</v>
      </c>
      <c r="C21" s="600" t="s">
        <v>62</v>
      </c>
      <c r="D21" s="601" t="s">
        <v>12</v>
      </c>
      <c r="E21" s="314">
        <v>6941</v>
      </c>
      <c r="F21" s="500">
        <v>10</v>
      </c>
      <c r="G21" s="602">
        <f>1662.66-0.02</f>
        <v>1662.64</v>
      </c>
      <c r="H21" s="603">
        <v>0</v>
      </c>
      <c r="I21" s="490">
        <f t="shared" si="0"/>
        <v>1662.64</v>
      </c>
      <c r="J21" s="604">
        <f>(I21/(I$89))+0.00000004</f>
        <v>2.5525229999999999E-2</v>
      </c>
      <c r="K21" s="484">
        <f>(J21*K$89)-0.05</f>
        <v>-157.75</v>
      </c>
      <c r="L21" s="484">
        <f t="shared" ref="L21:L52" si="43">$J21*L$89</f>
        <v>0</v>
      </c>
      <c r="M21" s="484">
        <f>($J21*M$89)-0.05</f>
        <v>39.1</v>
      </c>
      <c r="N21" s="603">
        <f t="shared" si="4"/>
        <v>39.1</v>
      </c>
      <c r="O21" s="603">
        <f t="shared" si="5"/>
        <v>0</v>
      </c>
      <c r="P21" s="603">
        <f t="shared" si="5"/>
        <v>0</v>
      </c>
      <c r="Q21" s="603">
        <f t="shared" si="6"/>
        <v>0</v>
      </c>
      <c r="R21" s="484">
        <f t="shared" si="7"/>
        <v>0</v>
      </c>
      <c r="S21" s="603">
        <f t="shared" si="8"/>
        <v>1701.74</v>
      </c>
      <c r="T21" s="605">
        <f>((S21/S$89)*T$89)+0.05</f>
        <v>2032.71</v>
      </c>
      <c r="U21" s="606">
        <f>805.78+0.02</f>
        <v>805.8</v>
      </c>
      <c r="V21" s="607">
        <f t="shared" si="10"/>
        <v>2.5525229999999999E-2</v>
      </c>
      <c r="W21" s="484">
        <f>($V21*W$89)+0.04</f>
        <v>87.45</v>
      </c>
      <c r="X21" s="484">
        <v>0</v>
      </c>
      <c r="Y21" s="484">
        <f>($V21*Y$89)-0.01</f>
        <v>52.43</v>
      </c>
      <c r="Z21" s="484">
        <f>($V21*Z$89)+0.04</f>
        <v>-3.12</v>
      </c>
      <c r="AA21" s="484">
        <f t="shared" ref="AA21:AA55" si="44">$V21*AA$89</f>
        <v>-1.17</v>
      </c>
      <c r="AB21" s="603">
        <f t="shared" si="13"/>
        <v>135.59</v>
      </c>
      <c r="AC21" s="603">
        <f>(V21*AC$89)-0.07</f>
        <v>-24.47</v>
      </c>
      <c r="AD21" s="608">
        <f t="shared" si="15"/>
        <v>-133.6</v>
      </c>
      <c r="AE21" s="608">
        <v>0</v>
      </c>
      <c r="AF21" s="603">
        <f t="shared" si="16"/>
        <v>-133.6</v>
      </c>
      <c r="AG21" s="484">
        <f t="shared" si="17"/>
        <v>-158.07</v>
      </c>
      <c r="AH21" s="609">
        <f t="shared" si="18"/>
        <v>783.32</v>
      </c>
      <c r="AI21" s="610">
        <f t="shared" si="19"/>
        <v>2485.06</v>
      </c>
      <c r="AJ21" s="610">
        <f>((AI21/AI$89)*AJ$89)-0.02</f>
        <v>2957.01</v>
      </c>
      <c r="AK21" s="83"/>
      <c r="AL21" s="114">
        <v>1662.64</v>
      </c>
      <c r="AM21" s="497">
        <f>((AL21/AL$89)*AM$89)+0.02</f>
        <v>2265.6799999999998</v>
      </c>
      <c r="AN21" s="192">
        <f t="shared" si="22"/>
        <v>0</v>
      </c>
      <c r="AO21" s="114">
        <f t="shared" si="23"/>
        <v>-157.75</v>
      </c>
      <c r="AP21" s="137">
        <f t="shared" si="24"/>
        <v>0</v>
      </c>
      <c r="AQ21" s="137">
        <f t="shared" si="25"/>
        <v>39.1</v>
      </c>
      <c r="AR21" s="84">
        <f t="shared" si="26"/>
        <v>39.1</v>
      </c>
      <c r="AS21" s="84">
        <f t="shared" si="27"/>
        <v>0</v>
      </c>
      <c r="AT21" s="84">
        <f t="shared" si="28"/>
        <v>0</v>
      </c>
      <c r="AU21" s="84">
        <f t="shared" si="29"/>
        <v>0</v>
      </c>
      <c r="AV21" s="84">
        <f t="shared" si="30"/>
        <v>0</v>
      </c>
      <c r="AW21" s="606">
        <v>805.8</v>
      </c>
      <c r="AX21" s="137">
        <f t="shared" si="31"/>
        <v>87.45</v>
      </c>
      <c r="AY21" s="137">
        <f t="shared" si="32"/>
        <v>0</v>
      </c>
      <c r="AZ21" s="137">
        <f t="shared" si="33"/>
        <v>52.43</v>
      </c>
      <c r="BA21" s="137">
        <f t="shared" si="34"/>
        <v>-3.12</v>
      </c>
      <c r="BB21" s="137">
        <f t="shared" si="35"/>
        <v>-1.17</v>
      </c>
      <c r="BC21" s="84">
        <f t="shared" si="36"/>
        <v>135.59</v>
      </c>
      <c r="BD21" s="84">
        <f t="shared" si="37"/>
        <v>-24.47</v>
      </c>
      <c r="BE21" s="84">
        <f t="shared" si="38"/>
        <v>-133.6</v>
      </c>
      <c r="BF21" s="116">
        <f t="shared" si="39"/>
        <v>-158.07</v>
      </c>
      <c r="BG21" s="496">
        <f t="shared" si="40"/>
        <v>2147.0300000000002</v>
      </c>
      <c r="BH21" s="496">
        <f t="shared" si="41"/>
        <v>783.32</v>
      </c>
      <c r="BI21" s="496">
        <f t="shared" si="42"/>
        <v>2930.35</v>
      </c>
    </row>
    <row r="22" spans="1:62" s="480" customFormat="1" ht="16.149999999999999" customHeight="1">
      <c r="A22" s="495" t="s">
        <v>214</v>
      </c>
      <c r="B22" s="494" t="s">
        <v>445</v>
      </c>
      <c r="C22" s="493" t="s">
        <v>62</v>
      </c>
      <c r="D22" s="385" t="s">
        <v>12</v>
      </c>
      <c r="E22" s="314">
        <v>20090</v>
      </c>
      <c r="F22" s="500">
        <v>3</v>
      </c>
      <c r="G22" s="491">
        <v>476.83</v>
      </c>
      <c r="H22" s="485">
        <v>0</v>
      </c>
      <c r="I22" s="490">
        <f t="shared" si="0"/>
        <v>476.83</v>
      </c>
      <c r="J22" s="489">
        <f t="shared" ref="J22:J51" si="45">(I22/(I$89))</f>
        <v>7.3203900000000004E-3</v>
      </c>
      <c r="K22" s="484">
        <f t="shared" ref="K22:K51" si="46">J22*K$89</f>
        <v>-45.23</v>
      </c>
      <c r="L22" s="484">
        <f t="shared" si="43"/>
        <v>0</v>
      </c>
      <c r="M22" s="484">
        <f t="shared" ref="M22:M51" si="47">$J22*M$89</f>
        <v>11.23</v>
      </c>
      <c r="N22" s="485">
        <f t="shared" si="4"/>
        <v>11.23</v>
      </c>
      <c r="O22" s="485">
        <f t="shared" si="5"/>
        <v>0</v>
      </c>
      <c r="P22" s="485">
        <f t="shared" si="5"/>
        <v>0</v>
      </c>
      <c r="Q22" s="485">
        <f t="shared" si="6"/>
        <v>0</v>
      </c>
      <c r="R22" s="484">
        <f t="shared" si="7"/>
        <v>0</v>
      </c>
      <c r="S22" s="485">
        <f t="shared" si="8"/>
        <v>488.06</v>
      </c>
      <c r="T22" s="488">
        <f t="shared" ref="T22:T51" si="48">((S22/S$89)*T$89)</f>
        <v>582.97</v>
      </c>
      <c r="U22" s="487">
        <v>225.73</v>
      </c>
      <c r="V22" s="486">
        <f t="shared" si="10"/>
        <v>7.3203900000000004E-3</v>
      </c>
      <c r="W22" s="484">
        <f t="shared" ref="W22:W51" si="49">($V22*W$89)</f>
        <v>25.07</v>
      </c>
      <c r="X22" s="484">
        <v>0</v>
      </c>
      <c r="Y22" s="484">
        <f t="shared" ref="Y22:Z51" si="50">$V22*Y$89</f>
        <v>15.04</v>
      </c>
      <c r="Z22" s="484">
        <f t="shared" si="50"/>
        <v>-0.91</v>
      </c>
      <c r="AA22" s="484">
        <f t="shared" si="44"/>
        <v>-0.34</v>
      </c>
      <c r="AB22" s="485">
        <f t="shared" si="13"/>
        <v>38.86</v>
      </c>
      <c r="AC22" s="485">
        <f t="shared" ref="AC22:AC51" si="51">(V22*AC$89)</f>
        <v>-7</v>
      </c>
      <c r="AD22" s="498">
        <f t="shared" si="15"/>
        <v>-40.08</v>
      </c>
      <c r="AE22" s="498">
        <v>0</v>
      </c>
      <c r="AF22" s="485">
        <f t="shared" si="16"/>
        <v>-40.08</v>
      </c>
      <c r="AG22" s="484">
        <f t="shared" si="17"/>
        <v>-47.08</v>
      </c>
      <c r="AH22" s="381">
        <f t="shared" si="18"/>
        <v>217.51</v>
      </c>
      <c r="AI22" s="483">
        <f t="shared" si="19"/>
        <v>705.57</v>
      </c>
      <c r="AJ22" s="483">
        <f t="shared" ref="AJ22:AJ51" si="52">(AI22/AI$89)*AJ$89</f>
        <v>839.57</v>
      </c>
      <c r="AK22" s="83"/>
      <c r="AL22" s="114">
        <v>476.83</v>
      </c>
      <c r="AM22" s="497">
        <f t="shared" ref="AM22:AM51" si="53">(AL22/AL$89)*AM$89</f>
        <v>649.77</v>
      </c>
      <c r="AN22" s="192">
        <f t="shared" si="22"/>
        <v>0</v>
      </c>
      <c r="AO22" s="114">
        <f t="shared" si="23"/>
        <v>-45.23</v>
      </c>
      <c r="AP22" s="137">
        <f t="shared" si="24"/>
        <v>0</v>
      </c>
      <c r="AQ22" s="137">
        <f t="shared" si="25"/>
        <v>11.23</v>
      </c>
      <c r="AR22" s="84">
        <f t="shared" si="26"/>
        <v>11.23</v>
      </c>
      <c r="AS22" s="84">
        <f t="shared" si="27"/>
        <v>0</v>
      </c>
      <c r="AT22" s="84">
        <f t="shared" si="28"/>
        <v>0</v>
      </c>
      <c r="AU22" s="84">
        <f t="shared" si="29"/>
        <v>0</v>
      </c>
      <c r="AV22" s="84">
        <f t="shared" si="30"/>
        <v>0</v>
      </c>
      <c r="AW22" s="487">
        <v>225.73</v>
      </c>
      <c r="AX22" s="137">
        <f t="shared" si="31"/>
        <v>25.07</v>
      </c>
      <c r="AY22" s="137">
        <f t="shared" si="32"/>
        <v>0</v>
      </c>
      <c r="AZ22" s="137">
        <f t="shared" si="33"/>
        <v>15.04</v>
      </c>
      <c r="BA22" s="137">
        <f t="shared" si="34"/>
        <v>-0.91</v>
      </c>
      <c r="BB22" s="137">
        <f t="shared" si="35"/>
        <v>-0.34</v>
      </c>
      <c r="BC22" s="84">
        <f t="shared" si="36"/>
        <v>38.86</v>
      </c>
      <c r="BD22" s="84">
        <f t="shared" si="37"/>
        <v>-7</v>
      </c>
      <c r="BE22" s="84">
        <f t="shared" si="38"/>
        <v>-40.08</v>
      </c>
      <c r="BF22" s="116">
        <f t="shared" si="39"/>
        <v>-47.08</v>
      </c>
      <c r="BG22" s="496">
        <f t="shared" si="40"/>
        <v>615.77</v>
      </c>
      <c r="BH22" s="496">
        <f t="shared" si="41"/>
        <v>217.51</v>
      </c>
      <c r="BI22" s="496">
        <f t="shared" si="42"/>
        <v>833.28</v>
      </c>
    </row>
    <row r="23" spans="1:62" s="480" customFormat="1" ht="16.149999999999999" customHeight="1">
      <c r="A23" s="495" t="s">
        <v>214</v>
      </c>
      <c r="B23" s="599" t="s">
        <v>398</v>
      </c>
      <c r="C23" s="600" t="s">
        <v>62</v>
      </c>
      <c r="D23" s="601" t="s">
        <v>12</v>
      </c>
      <c r="E23" s="314">
        <v>17168</v>
      </c>
      <c r="F23" s="500">
        <v>5</v>
      </c>
      <c r="G23" s="602">
        <v>554.29</v>
      </c>
      <c r="H23" s="603">
        <v>0</v>
      </c>
      <c r="I23" s="490">
        <f t="shared" si="0"/>
        <v>554.29</v>
      </c>
      <c r="J23" s="604">
        <f t="shared" si="45"/>
        <v>8.5095699999999993E-3</v>
      </c>
      <c r="K23" s="484">
        <f t="shared" si="46"/>
        <v>-52.57</v>
      </c>
      <c r="L23" s="484">
        <f t="shared" si="43"/>
        <v>0</v>
      </c>
      <c r="M23" s="484">
        <f t="shared" si="47"/>
        <v>13.05</v>
      </c>
      <c r="N23" s="603">
        <f t="shared" si="4"/>
        <v>13.05</v>
      </c>
      <c r="O23" s="603">
        <f t="shared" si="5"/>
        <v>0</v>
      </c>
      <c r="P23" s="603">
        <f t="shared" si="5"/>
        <v>0</v>
      </c>
      <c r="Q23" s="603">
        <f t="shared" si="6"/>
        <v>0</v>
      </c>
      <c r="R23" s="484">
        <f t="shared" si="7"/>
        <v>0</v>
      </c>
      <c r="S23" s="603">
        <f t="shared" si="8"/>
        <v>567.34</v>
      </c>
      <c r="T23" s="605">
        <f t="shared" si="48"/>
        <v>677.66</v>
      </c>
      <c r="U23" s="606">
        <v>201.25</v>
      </c>
      <c r="V23" s="607">
        <f t="shared" si="10"/>
        <v>8.5095699999999993E-3</v>
      </c>
      <c r="W23" s="484">
        <f t="shared" si="49"/>
        <v>29.14</v>
      </c>
      <c r="X23" s="484">
        <v>0</v>
      </c>
      <c r="Y23" s="484">
        <f t="shared" si="50"/>
        <v>17.48</v>
      </c>
      <c r="Z23" s="484">
        <f t="shared" si="50"/>
        <v>-1.05</v>
      </c>
      <c r="AA23" s="484">
        <f t="shared" si="44"/>
        <v>-0.39</v>
      </c>
      <c r="AB23" s="603">
        <f t="shared" si="13"/>
        <v>45.18</v>
      </c>
      <c r="AC23" s="603">
        <f t="shared" si="51"/>
        <v>-8.1300000000000008</v>
      </c>
      <c r="AD23" s="608">
        <f t="shared" si="15"/>
        <v>-66.8</v>
      </c>
      <c r="AE23" s="608">
        <v>0</v>
      </c>
      <c r="AF23" s="603">
        <f t="shared" si="16"/>
        <v>-66.8</v>
      </c>
      <c r="AG23" s="484">
        <f t="shared" si="17"/>
        <v>-74.930000000000007</v>
      </c>
      <c r="AH23" s="609">
        <f t="shared" si="18"/>
        <v>171.5</v>
      </c>
      <c r="AI23" s="610">
        <f t="shared" si="19"/>
        <v>738.84</v>
      </c>
      <c r="AJ23" s="610">
        <f t="shared" si="52"/>
        <v>879.16</v>
      </c>
      <c r="AK23" s="83"/>
      <c r="AL23" s="114">
        <v>554.29</v>
      </c>
      <c r="AM23" s="497">
        <f t="shared" si="53"/>
        <v>755.32</v>
      </c>
      <c r="AN23" s="192">
        <f t="shared" si="22"/>
        <v>0</v>
      </c>
      <c r="AO23" s="114">
        <f t="shared" si="23"/>
        <v>-52.57</v>
      </c>
      <c r="AP23" s="137">
        <f t="shared" si="24"/>
        <v>0</v>
      </c>
      <c r="AQ23" s="137">
        <f t="shared" si="25"/>
        <v>13.05</v>
      </c>
      <c r="AR23" s="84">
        <f t="shared" si="26"/>
        <v>13.05</v>
      </c>
      <c r="AS23" s="84">
        <f t="shared" si="27"/>
        <v>0</v>
      </c>
      <c r="AT23" s="84">
        <f t="shared" si="28"/>
        <v>0</v>
      </c>
      <c r="AU23" s="84">
        <f t="shared" si="29"/>
        <v>0</v>
      </c>
      <c r="AV23" s="84">
        <f t="shared" si="30"/>
        <v>0</v>
      </c>
      <c r="AW23" s="606">
        <v>201.25</v>
      </c>
      <c r="AX23" s="137">
        <f t="shared" si="31"/>
        <v>29.14</v>
      </c>
      <c r="AY23" s="137">
        <f t="shared" si="32"/>
        <v>0</v>
      </c>
      <c r="AZ23" s="137">
        <f t="shared" si="33"/>
        <v>17.48</v>
      </c>
      <c r="BA23" s="137">
        <f t="shared" si="34"/>
        <v>-1.05</v>
      </c>
      <c r="BB23" s="137">
        <f t="shared" si="35"/>
        <v>-0.39</v>
      </c>
      <c r="BC23" s="84">
        <f t="shared" si="36"/>
        <v>45.18</v>
      </c>
      <c r="BD23" s="84">
        <f t="shared" si="37"/>
        <v>-8.1300000000000008</v>
      </c>
      <c r="BE23" s="84">
        <f t="shared" si="38"/>
        <v>-66.8</v>
      </c>
      <c r="BF23" s="116">
        <f t="shared" si="39"/>
        <v>-74.930000000000007</v>
      </c>
      <c r="BG23" s="496">
        <f t="shared" si="40"/>
        <v>715.8</v>
      </c>
      <c r="BH23" s="496">
        <f t="shared" si="41"/>
        <v>171.5</v>
      </c>
      <c r="BI23" s="496">
        <f t="shared" si="42"/>
        <v>887.3</v>
      </c>
    </row>
    <row r="24" spans="1:62" s="480" customFormat="1" ht="16.149999999999999" customHeight="1">
      <c r="A24" s="495" t="s">
        <v>214</v>
      </c>
      <c r="B24" s="599" t="s">
        <v>397</v>
      </c>
      <c r="C24" s="600" t="s">
        <v>62</v>
      </c>
      <c r="D24" s="601" t="s">
        <v>12</v>
      </c>
      <c r="E24" s="314">
        <v>16803</v>
      </c>
      <c r="F24" s="500">
        <v>2</v>
      </c>
      <c r="G24" s="602">
        <v>277.14</v>
      </c>
      <c r="H24" s="603">
        <v>0</v>
      </c>
      <c r="I24" s="490">
        <f t="shared" si="0"/>
        <v>277.14</v>
      </c>
      <c r="J24" s="604">
        <f t="shared" si="45"/>
        <v>4.2547100000000001E-3</v>
      </c>
      <c r="K24" s="484">
        <f t="shared" si="46"/>
        <v>-26.29</v>
      </c>
      <c r="L24" s="484">
        <f t="shared" si="43"/>
        <v>0</v>
      </c>
      <c r="M24" s="484">
        <f t="shared" si="47"/>
        <v>6.53</v>
      </c>
      <c r="N24" s="603">
        <f t="shared" si="4"/>
        <v>6.53</v>
      </c>
      <c r="O24" s="603">
        <f t="shared" si="5"/>
        <v>0</v>
      </c>
      <c r="P24" s="603">
        <f t="shared" si="5"/>
        <v>0</v>
      </c>
      <c r="Q24" s="603">
        <f t="shared" si="6"/>
        <v>0</v>
      </c>
      <c r="R24" s="484">
        <f t="shared" si="7"/>
        <v>0</v>
      </c>
      <c r="S24" s="603">
        <f t="shared" si="8"/>
        <v>283.67</v>
      </c>
      <c r="T24" s="605">
        <f t="shared" si="48"/>
        <v>338.83</v>
      </c>
      <c r="U24" s="606">
        <v>120.85</v>
      </c>
      <c r="V24" s="607">
        <f t="shared" si="10"/>
        <v>4.2547100000000001E-3</v>
      </c>
      <c r="W24" s="484">
        <f t="shared" si="49"/>
        <v>14.57</v>
      </c>
      <c r="X24" s="484">
        <v>0</v>
      </c>
      <c r="Y24" s="484">
        <f t="shared" si="50"/>
        <v>8.74</v>
      </c>
      <c r="Z24" s="484">
        <f t="shared" si="50"/>
        <v>-0.53</v>
      </c>
      <c r="AA24" s="484">
        <f t="shared" si="44"/>
        <v>-0.2</v>
      </c>
      <c r="AB24" s="603">
        <f t="shared" si="13"/>
        <v>22.58</v>
      </c>
      <c r="AC24" s="603">
        <f t="shared" si="51"/>
        <v>-4.07</v>
      </c>
      <c r="AD24" s="608">
        <f t="shared" si="15"/>
        <v>-26.72</v>
      </c>
      <c r="AE24" s="608">
        <v>0</v>
      </c>
      <c r="AF24" s="603">
        <f t="shared" si="16"/>
        <v>-26.72</v>
      </c>
      <c r="AG24" s="484">
        <f t="shared" si="17"/>
        <v>-30.79</v>
      </c>
      <c r="AH24" s="609">
        <f t="shared" si="18"/>
        <v>112.64</v>
      </c>
      <c r="AI24" s="610">
        <f t="shared" si="19"/>
        <v>396.31</v>
      </c>
      <c r="AJ24" s="610">
        <f t="shared" si="52"/>
        <v>471.58</v>
      </c>
      <c r="AK24" s="83"/>
      <c r="AL24" s="114">
        <v>277.14</v>
      </c>
      <c r="AM24" s="497">
        <f t="shared" si="53"/>
        <v>377.65</v>
      </c>
      <c r="AN24" s="192">
        <f t="shared" si="22"/>
        <v>0</v>
      </c>
      <c r="AO24" s="114">
        <f t="shared" si="23"/>
        <v>-26.29</v>
      </c>
      <c r="AP24" s="137">
        <f t="shared" si="24"/>
        <v>0</v>
      </c>
      <c r="AQ24" s="137">
        <f t="shared" si="25"/>
        <v>6.53</v>
      </c>
      <c r="AR24" s="84">
        <f t="shared" si="26"/>
        <v>6.53</v>
      </c>
      <c r="AS24" s="84">
        <f t="shared" si="27"/>
        <v>0</v>
      </c>
      <c r="AT24" s="84">
        <f t="shared" si="28"/>
        <v>0</v>
      </c>
      <c r="AU24" s="84">
        <f t="shared" si="29"/>
        <v>0</v>
      </c>
      <c r="AV24" s="84">
        <f t="shared" si="30"/>
        <v>0</v>
      </c>
      <c r="AW24" s="606">
        <v>120.85</v>
      </c>
      <c r="AX24" s="137">
        <f t="shared" si="31"/>
        <v>14.57</v>
      </c>
      <c r="AY24" s="137">
        <f t="shared" si="32"/>
        <v>0</v>
      </c>
      <c r="AZ24" s="137">
        <f t="shared" si="33"/>
        <v>8.74</v>
      </c>
      <c r="BA24" s="137">
        <f t="shared" si="34"/>
        <v>-0.53</v>
      </c>
      <c r="BB24" s="137">
        <f t="shared" si="35"/>
        <v>-0.2</v>
      </c>
      <c r="BC24" s="84">
        <f t="shared" si="36"/>
        <v>22.58</v>
      </c>
      <c r="BD24" s="84">
        <f t="shared" si="37"/>
        <v>-4.07</v>
      </c>
      <c r="BE24" s="84">
        <f t="shared" si="38"/>
        <v>-26.72</v>
      </c>
      <c r="BF24" s="116">
        <f t="shared" si="39"/>
        <v>-30.79</v>
      </c>
      <c r="BG24" s="496">
        <f t="shared" si="40"/>
        <v>357.89</v>
      </c>
      <c r="BH24" s="496">
        <f t="shared" si="41"/>
        <v>112.64</v>
      </c>
      <c r="BI24" s="496">
        <f t="shared" si="42"/>
        <v>470.53</v>
      </c>
    </row>
    <row r="25" spans="1:62" s="480" customFormat="1" ht="16.149999999999999" customHeight="1">
      <c r="A25" s="495" t="s">
        <v>214</v>
      </c>
      <c r="B25" s="599" t="s">
        <v>396</v>
      </c>
      <c r="C25" s="600" t="s">
        <v>62</v>
      </c>
      <c r="D25" s="601" t="s">
        <v>12</v>
      </c>
      <c r="E25" s="314">
        <v>14611</v>
      </c>
      <c r="F25" s="500">
        <v>5</v>
      </c>
      <c r="G25" s="602">
        <v>554.29</v>
      </c>
      <c r="H25" s="603">
        <v>0</v>
      </c>
      <c r="I25" s="490">
        <f t="shared" si="0"/>
        <v>554.29</v>
      </c>
      <c r="J25" s="604">
        <f t="shared" si="45"/>
        <v>8.5095699999999993E-3</v>
      </c>
      <c r="K25" s="484">
        <f t="shared" si="46"/>
        <v>-52.57</v>
      </c>
      <c r="L25" s="484">
        <f t="shared" si="43"/>
        <v>0</v>
      </c>
      <c r="M25" s="484">
        <f t="shared" si="47"/>
        <v>13.05</v>
      </c>
      <c r="N25" s="603">
        <f t="shared" si="4"/>
        <v>13.05</v>
      </c>
      <c r="O25" s="603">
        <f t="shared" si="5"/>
        <v>0</v>
      </c>
      <c r="P25" s="603">
        <f t="shared" si="5"/>
        <v>0</v>
      </c>
      <c r="Q25" s="603">
        <f t="shared" si="6"/>
        <v>0</v>
      </c>
      <c r="R25" s="484">
        <f t="shared" si="7"/>
        <v>0</v>
      </c>
      <c r="S25" s="603">
        <f t="shared" si="8"/>
        <v>567.34</v>
      </c>
      <c r="T25" s="605">
        <f t="shared" si="48"/>
        <v>677.66</v>
      </c>
      <c r="U25" s="606">
        <v>201.25</v>
      </c>
      <c r="V25" s="607">
        <f t="shared" si="10"/>
        <v>8.5095699999999993E-3</v>
      </c>
      <c r="W25" s="484">
        <f t="shared" si="49"/>
        <v>29.14</v>
      </c>
      <c r="X25" s="484">
        <v>0</v>
      </c>
      <c r="Y25" s="484">
        <f t="shared" si="50"/>
        <v>17.48</v>
      </c>
      <c r="Z25" s="484">
        <f t="shared" si="50"/>
        <v>-1.05</v>
      </c>
      <c r="AA25" s="484">
        <f t="shared" si="44"/>
        <v>-0.39</v>
      </c>
      <c r="AB25" s="603">
        <f t="shared" si="13"/>
        <v>45.18</v>
      </c>
      <c r="AC25" s="603">
        <f t="shared" si="51"/>
        <v>-8.1300000000000008</v>
      </c>
      <c r="AD25" s="608">
        <f t="shared" si="15"/>
        <v>-66.8</v>
      </c>
      <c r="AE25" s="608">
        <v>0</v>
      </c>
      <c r="AF25" s="603">
        <f t="shared" si="16"/>
        <v>-66.8</v>
      </c>
      <c r="AG25" s="484">
        <f t="shared" si="17"/>
        <v>-74.930000000000007</v>
      </c>
      <c r="AH25" s="609">
        <f t="shared" si="18"/>
        <v>171.5</v>
      </c>
      <c r="AI25" s="610">
        <f t="shared" si="19"/>
        <v>738.84</v>
      </c>
      <c r="AJ25" s="610">
        <f t="shared" si="52"/>
        <v>879.16</v>
      </c>
      <c r="AK25" s="83"/>
      <c r="AL25" s="114">
        <v>554.29</v>
      </c>
      <c r="AM25" s="497">
        <f t="shared" si="53"/>
        <v>755.32</v>
      </c>
      <c r="AN25" s="192">
        <f t="shared" si="22"/>
        <v>0</v>
      </c>
      <c r="AO25" s="114">
        <f t="shared" si="23"/>
        <v>-52.57</v>
      </c>
      <c r="AP25" s="137">
        <f t="shared" si="24"/>
        <v>0</v>
      </c>
      <c r="AQ25" s="137">
        <f t="shared" si="25"/>
        <v>13.05</v>
      </c>
      <c r="AR25" s="84">
        <f t="shared" si="26"/>
        <v>13.05</v>
      </c>
      <c r="AS25" s="84">
        <f t="shared" si="27"/>
        <v>0</v>
      </c>
      <c r="AT25" s="84">
        <f t="shared" si="28"/>
        <v>0</v>
      </c>
      <c r="AU25" s="84">
        <f t="shared" si="29"/>
        <v>0</v>
      </c>
      <c r="AV25" s="84">
        <f t="shared" si="30"/>
        <v>0</v>
      </c>
      <c r="AW25" s="606">
        <v>201.25</v>
      </c>
      <c r="AX25" s="137">
        <f t="shared" si="31"/>
        <v>29.14</v>
      </c>
      <c r="AY25" s="137">
        <f t="shared" si="32"/>
        <v>0</v>
      </c>
      <c r="AZ25" s="137">
        <f t="shared" si="33"/>
        <v>17.48</v>
      </c>
      <c r="BA25" s="137">
        <f t="shared" si="34"/>
        <v>-1.05</v>
      </c>
      <c r="BB25" s="137">
        <f t="shared" si="35"/>
        <v>-0.39</v>
      </c>
      <c r="BC25" s="84">
        <f t="shared" si="36"/>
        <v>45.18</v>
      </c>
      <c r="BD25" s="84">
        <f t="shared" si="37"/>
        <v>-8.1300000000000008</v>
      </c>
      <c r="BE25" s="84">
        <f t="shared" si="38"/>
        <v>-66.8</v>
      </c>
      <c r="BF25" s="116">
        <f t="shared" si="39"/>
        <v>-74.930000000000007</v>
      </c>
      <c r="BG25" s="496">
        <f t="shared" si="40"/>
        <v>715.8</v>
      </c>
      <c r="BH25" s="496">
        <f t="shared" si="41"/>
        <v>171.5</v>
      </c>
      <c r="BI25" s="496">
        <f t="shared" si="42"/>
        <v>887.3</v>
      </c>
    </row>
    <row r="26" spans="1:62" s="480" customFormat="1" ht="16.149999999999999" customHeight="1">
      <c r="A26" s="495" t="s">
        <v>214</v>
      </c>
      <c r="B26" s="494" t="s">
        <v>447</v>
      </c>
      <c r="C26" s="493" t="s">
        <v>62</v>
      </c>
      <c r="D26" s="385" t="s">
        <v>12</v>
      </c>
      <c r="E26" s="314">
        <v>8037</v>
      </c>
      <c r="F26" s="500">
        <v>2</v>
      </c>
      <c r="G26" s="491">
        <v>317.89999999999998</v>
      </c>
      <c r="H26" s="485">
        <v>0</v>
      </c>
      <c r="I26" s="490">
        <f t="shared" si="0"/>
        <v>317.89999999999998</v>
      </c>
      <c r="J26" s="489">
        <f t="shared" si="45"/>
        <v>4.8804699999999996E-3</v>
      </c>
      <c r="K26" s="484">
        <f t="shared" si="46"/>
        <v>-30.15</v>
      </c>
      <c r="L26" s="484">
        <f t="shared" si="43"/>
        <v>0</v>
      </c>
      <c r="M26" s="484">
        <f t="shared" si="47"/>
        <v>7.49</v>
      </c>
      <c r="N26" s="485">
        <f t="shared" si="4"/>
        <v>7.49</v>
      </c>
      <c r="O26" s="485">
        <f t="shared" si="5"/>
        <v>0</v>
      </c>
      <c r="P26" s="485">
        <f t="shared" si="5"/>
        <v>0</v>
      </c>
      <c r="Q26" s="485">
        <f t="shared" si="6"/>
        <v>0</v>
      </c>
      <c r="R26" s="484">
        <f t="shared" si="7"/>
        <v>0</v>
      </c>
      <c r="S26" s="485">
        <f t="shared" si="8"/>
        <v>325.39</v>
      </c>
      <c r="T26" s="488">
        <f t="shared" si="48"/>
        <v>388.66</v>
      </c>
      <c r="U26" s="487">
        <v>150.51</v>
      </c>
      <c r="V26" s="486">
        <f t="shared" si="10"/>
        <v>4.8804699999999996E-3</v>
      </c>
      <c r="W26" s="484">
        <f t="shared" si="49"/>
        <v>16.71</v>
      </c>
      <c r="X26" s="484">
        <v>0</v>
      </c>
      <c r="Y26" s="484">
        <f t="shared" si="50"/>
        <v>10.029999999999999</v>
      </c>
      <c r="Z26" s="484">
        <f t="shared" si="50"/>
        <v>-0.6</v>
      </c>
      <c r="AA26" s="484">
        <f t="shared" si="44"/>
        <v>-0.22</v>
      </c>
      <c r="AB26" s="485">
        <f t="shared" si="13"/>
        <v>25.92</v>
      </c>
      <c r="AC26" s="485">
        <f t="shared" si="51"/>
        <v>-4.66</v>
      </c>
      <c r="AD26" s="498">
        <f t="shared" si="15"/>
        <v>-26.72</v>
      </c>
      <c r="AE26" s="498">
        <v>0</v>
      </c>
      <c r="AF26" s="485">
        <f t="shared" si="16"/>
        <v>-26.72</v>
      </c>
      <c r="AG26" s="484">
        <f t="shared" si="17"/>
        <v>-31.38</v>
      </c>
      <c r="AH26" s="381">
        <f t="shared" si="18"/>
        <v>145.05000000000001</v>
      </c>
      <c r="AI26" s="483">
        <f t="shared" si="19"/>
        <v>470.44</v>
      </c>
      <c r="AJ26" s="483">
        <f t="shared" si="52"/>
        <v>559.79</v>
      </c>
      <c r="AK26" s="83"/>
      <c r="AL26" s="114">
        <v>317.89999999999998</v>
      </c>
      <c r="AM26" s="497">
        <f t="shared" si="53"/>
        <v>433.2</v>
      </c>
      <c r="AN26" s="192">
        <f t="shared" si="22"/>
        <v>0</v>
      </c>
      <c r="AO26" s="114">
        <f t="shared" si="23"/>
        <v>-30.15</v>
      </c>
      <c r="AP26" s="137">
        <f t="shared" si="24"/>
        <v>0</v>
      </c>
      <c r="AQ26" s="137">
        <f t="shared" si="25"/>
        <v>7.49</v>
      </c>
      <c r="AR26" s="84">
        <f t="shared" si="26"/>
        <v>7.49</v>
      </c>
      <c r="AS26" s="84">
        <f t="shared" si="27"/>
        <v>0</v>
      </c>
      <c r="AT26" s="84">
        <f t="shared" si="28"/>
        <v>0</v>
      </c>
      <c r="AU26" s="84">
        <f t="shared" si="29"/>
        <v>0</v>
      </c>
      <c r="AV26" s="84">
        <f t="shared" si="30"/>
        <v>0</v>
      </c>
      <c r="AW26" s="487">
        <v>150.51</v>
      </c>
      <c r="AX26" s="137">
        <f t="shared" si="31"/>
        <v>16.71</v>
      </c>
      <c r="AY26" s="137">
        <f t="shared" si="32"/>
        <v>0</v>
      </c>
      <c r="AZ26" s="137">
        <f t="shared" si="33"/>
        <v>10.029999999999999</v>
      </c>
      <c r="BA26" s="137">
        <f t="shared" si="34"/>
        <v>-0.6</v>
      </c>
      <c r="BB26" s="137">
        <f t="shared" si="35"/>
        <v>-0.22</v>
      </c>
      <c r="BC26" s="84">
        <f t="shared" si="36"/>
        <v>25.92</v>
      </c>
      <c r="BD26" s="84">
        <f t="shared" si="37"/>
        <v>-4.66</v>
      </c>
      <c r="BE26" s="84">
        <f t="shared" si="38"/>
        <v>-26.72</v>
      </c>
      <c r="BF26" s="116">
        <f t="shared" si="39"/>
        <v>-31.38</v>
      </c>
      <c r="BG26" s="496">
        <f t="shared" si="40"/>
        <v>410.54</v>
      </c>
      <c r="BH26" s="496">
        <f t="shared" si="41"/>
        <v>145.05000000000001</v>
      </c>
      <c r="BI26" s="496">
        <f t="shared" si="42"/>
        <v>555.59</v>
      </c>
    </row>
    <row r="27" spans="1:62" s="480" customFormat="1" ht="16.149999999999999" customHeight="1">
      <c r="A27" s="495" t="s">
        <v>214</v>
      </c>
      <c r="B27" s="599" t="s">
        <v>389</v>
      </c>
      <c r="C27" s="600" t="s">
        <v>62</v>
      </c>
      <c r="D27" s="601" t="s">
        <v>12</v>
      </c>
      <c r="E27" s="314">
        <v>7672</v>
      </c>
      <c r="F27" s="500">
        <v>10</v>
      </c>
      <c r="G27" s="602">
        <v>1108.29</v>
      </c>
      <c r="H27" s="603">
        <v>0</v>
      </c>
      <c r="I27" s="490">
        <f t="shared" si="0"/>
        <v>1108.29</v>
      </c>
      <c r="J27" s="604">
        <f t="shared" si="45"/>
        <v>1.7014689999999999E-2</v>
      </c>
      <c r="K27" s="484">
        <f t="shared" si="46"/>
        <v>-105.12</v>
      </c>
      <c r="L27" s="484">
        <f t="shared" si="43"/>
        <v>0</v>
      </c>
      <c r="M27" s="484">
        <f t="shared" si="47"/>
        <v>26.1</v>
      </c>
      <c r="N27" s="603">
        <f t="shared" si="4"/>
        <v>26.1</v>
      </c>
      <c r="O27" s="603">
        <f t="shared" si="5"/>
        <v>0</v>
      </c>
      <c r="P27" s="603">
        <f t="shared" si="5"/>
        <v>0</v>
      </c>
      <c r="Q27" s="603">
        <f t="shared" si="6"/>
        <v>0</v>
      </c>
      <c r="R27" s="484">
        <f t="shared" si="7"/>
        <v>0</v>
      </c>
      <c r="S27" s="603">
        <f t="shared" si="8"/>
        <v>1134.3900000000001</v>
      </c>
      <c r="T27" s="605">
        <f t="shared" si="48"/>
        <v>1354.98</v>
      </c>
      <c r="U27" s="606">
        <v>402.36</v>
      </c>
      <c r="V27" s="607">
        <f t="shared" si="10"/>
        <v>1.7014689999999999E-2</v>
      </c>
      <c r="W27" s="484">
        <f t="shared" si="49"/>
        <v>58.26</v>
      </c>
      <c r="X27" s="484">
        <v>0</v>
      </c>
      <c r="Y27" s="484">
        <f t="shared" si="50"/>
        <v>34.96</v>
      </c>
      <c r="Z27" s="484">
        <f t="shared" si="50"/>
        <v>-2.11</v>
      </c>
      <c r="AA27" s="484">
        <f t="shared" si="44"/>
        <v>-0.78</v>
      </c>
      <c r="AB27" s="603">
        <f t="shared" si="13"/>
        <v>90.33</v>
      </c>
      <c r="AC27" s="603">
        <f t="shared" si="51"/>
        <v>-16.260000000000002</v>
      </c>
      <c r="AD27" s="608">
        <f t="shared" si="15"/>
        <v>-133.6</v>
      </c>
      <c r="AE27" s="608">
        <v>0</v>
      </c>
      <c r="AF27" s="603">
        <f t="shared" si="16"/>
        <v>-133.6</v>
      </c>
      <c r="AG27" s="484">
        <f t="shared" si="17"/>
        <v>-149.86000000000001</v>
      </c>
      <c r="AH27" s="609">
        <f t="shared" si="18"/>
        <v>342.83</v>
      </c>
      <c r="AI27" s="610">
        <f t="shared" si="19"/>
        <v>1477.22</v>
      </c>
      <c r="AJ27" s="610">
        <f t="shared" si="52"/>
        <v>1757.78</v>
      </c>
      <c r="AK27" s="83"/>
      <c r="AL27" s="114">
        <v>1108.29</v>
      </c>
      <c r="AM27" s="497">
        <f t="shared" si="53"/>
        <v>1510.25</v>
      </c>
      <c r="AN27" s="192">
        <f t="shared" si="22"/>
        <v>0</v>
      </c>
      <c r="AO27" s="114">
        <f t="shared" si="23"/>
        <v>-105.12</v>
      </c>
      <c r="AP27" s="137">
        <f t="shared" si="24"/>
        <v>0</v>
      </c>
      <c r="AQ27" s="137">
        <f t="shared" si="25"/>
        <v>26.1</v>
      </c>
      <c r="AR27" s="84">
        <f t="shared" si="26"/>
        <v>26.1</v>
      </c>
      <c r="AS27" s="84">
        <f t="shared" si="27"/>
        <v>0</v>
      </c>
      <c r="AT27" s="84">
        <f t="shared" si="28"/>
        <v>0</v>
      </c>
      <c r="AU27" s="84">
        <f t="shared" si="29"/>
        <v>0</v>
      </c>
      <c r="AV27" s="84">
        <f t="shared" si="30"/>
        <v>0</v>
      </c>
      <c r="AW27" s="606">
        <v>402.36</v>
      </c>
      <c r="AX27" s="137">
        <f t="shared" si="31"/>
        <v>58.26</v>
      </c>
      <c r="AY27" s="137">
        <f t="shared" si="32"/>
        <v>0</v>
      </c>
      <c r="AZ27" s="137">
        <f t="shared" si="33"/>
        <v>34.96</v>
      </c>
      <c r="BA27" s="137">
        <f t="shared" si="34"/>
        <v>-2.11</v>
      </c>
      <c r="BB27" s="137">
        <f t="shared" si="35"/>
        <v>-0.78</v>
      </c>
      <c r="BC27" s="84">
        <f t="shared" si="36"/>
        <v>90.33</v>
      </c>
      <c r="BD27" s="84">
        <f t="shared" si="37"/>
        <v>-16.260000000000002</v>
      </c>
      <c r="BE27" s="84">
        <f t="shared" si="38"/>
        <v>-133.6</v>
      </c>
      <c r="BF27" s="116">
        <f t="shared" si="39"/>
        <v>-149.86000000000001</v>
      </c>
      <c r="BG27" s="496">
        <f t="shared" si="40"/>
        <v>1431.23</v>
      </c>
      <c r="BH27" s="496">
        <f t="shared" si="41"/>
        <v>342.83</v>
      </c>
      <c r="BI27" s="496">
        <f t="shared" si="42"/>
        <v>1774.06</v>
      </c>
      <c r="BJ27" s="611"/>
    </row>
    <row r="28" spans="1:62" s="480" customFormat="1" ht="16.149999999999999" customHeight="1">
      <c r="A28" s="495" t="s">
        <v>214</v>
      </c>
      <c r="B28" s="599" t="s">
        <v>401</v>
      </c>
      <c r="C28" s="600" t="s">
        <v>62</v>
      </c>
      <c r="D28" s="601" t="s">
        <v>12</v>
      </c>
      <c r="E28" s="314">
        <v>17899</v>
      </c>
      <c r="F28" s="500">
        <v>5</v>
      </c>
      <c r="G28" s="602">
        <v>554.29</v>
      </c>
      <c r="H28" s="603">
        <v>0</v>
      </c>
      <c r="I28" s="490">
        <f t="shared" si="0"/>
        <v>554.29</v>
      </c>
      <c r="J28" s="604">
        <f t="shared" si="45"/>
        <v>8.5095699999999993E-3</v>
      </c>
      <c r="K28" s="484">
        <f t="shared" si="46"/>
        <v>-52.57</v>
      </c>
      <c r="L28" s="484">
        <f t="shared" si="43"/>
        <v>0</v>
      </c>
      <c r="M28" s="484">
        <f t="shared" si="47"/>
        <v>13.05</v>
      </c>
      <c r="N28" s="603">
        <f t="shared" si="4"/>
        <v>13.05</v>
      </c>
      <c r="O28" s="603">
        <f t="shared" si="5"/>
        <v>0</v>
      </c>
      <c r="P28" s="603">
        <f t="shared" si="5"/>
        <v>0</v>
      </c>
      <c r="Q28" s="603">
        <f t="shared" si="6"/>
        <v>0</v>
      </c>
      <c r="R28" s="484">
        <f t="shared" si="7"/>
        <v>0</v>
      </c>
      <c r="S28" s="603">
        <f t="shared" si="8"/>
        <v>567.34</v>
      </c>
      <c r="T28" s="605">
        <f t="shared" si="48"/>
        <v>677.66</v>
      </c>
      <c r="U28" s="606">
        <v>201.25</v>
      </c>
      <c r="V28" s="607">
        <f t="shared" si="10"/>
        <v>8.5095699999999993E-3</v>
      </c>
      <c r="W28" s="484">
        <f t="shared" si="49"/>
        <v>29.14</v>
      </c>
      <c r="X28" s="484">
        <v>0</v>
      </c>
      <c r="Y28" s="484">
        <f t="shared" si="50"/>
        <v>17.48</v>
      </c>
      <c r="Z28" s="484">
        <f t="shared" si="50"/>
        <v>-1.05</v>
      </c>
      <c r="AA28" s="484">
        <f t="shared" si="44"/>
        <v>-0.39</v>
      </c>
      <c r="AB28" s="603">
        <f t="shared" si="13"/>
        <v>45.18</v>
      </c>
      <c r="AC28" s="603">
        <f t="shared" si="51"/>
        <v>-8.1300000000000008</v>
      </c>
      <c r="AD28" s="608">
        <f t="shared" si="15"/>
        <v>-66.8</v>
      </c>
      <c r="AE28" s="608">
        <v>0</v>
      </c>
      <c r="AF28" s="603">
        <f t="shared" si="16"/>
        <v>-66.8</v>
      </c>
      <c r="AG28" s="484">
        <f t="shared" si="17"/>
        <v>-74.930000000000007</v>
      </c>
      <c r="AH28" s="609">
        <f t="shared" si="18"/>
        <v>171.5</v>
      </c>
      <c r="AI28" s="610">
        <f t="shared" si="19"/>
        <v>738.84</v>
      </c>
      <c r="AJ28" s="610">
        <f t="shared" si="52"/>
        <v>879.16</v>
      </c>
      <c r="AK28" s="83"/>
      <c r="AL28" s="114">
        <v>554.29</v>
      </c>
      <c r="AM28" s="497">
        <f t="shared" si="53"/>
        <v>755.32</v>
      </c>
      <c r="AN28" s="192">
        <f t="shared" si="22"/>
        <v>0</v>
      </c>
      <c r="AO28" s="114">
        <f t="shared" si="23"/>
        <v>-52.57</v>
      </c>
      <c r="AP28" s="137">
        <f t="shared" si="24"/>
        <v>0</v>
      </c>
      <c r="AQ28" s="137">
        <f t="shared" si="25"/>
        <v>13.05</v>
      </c>
      <c r="AR28" s="84">
        <f t="shared" si="26"/>
        <v>13.05</v>
      </c>
      <c r="AS28" s="84">
        <f t="shared" si="27"/>
        <v>0</v>
      </c>
      <c r="AT28" s="84">
        <f t="shared" si="28"/>
        <v>0</v>
      </c>
      <c r="AU28" s="84">
        <f t="shared" si="29"/>
        <v>0</v>
      </c>
      <c r="AV28" s="84">
        <f t="shared" si="30"/>
        <v>0</v>
      </c>
      <c r="AW28" s="606">
        <v>201.25</v>
      </c>
      <c r="AX28" s="137">
        <f t="shared" si="31"/>
        <v>29.14</v>
      </c>
      <c r="AY28" s="137">
        <f t="shared" si="32"/>
        <v>0</v>
      </c>
      <c r="AZ28" s="137">
        <f t="shared" si="33"/>
        <v>17.48</v>
      </c>
      <c r="BA28" s="137">
        <f t="shared" si="34"/>
        <v>-1.05</v>
      </c>
      <c r="BB28" s="137">
        <f t="shared" si="35"/>
        <v>-0.39</v>
      </c>
      <c r="BC28" s="84">
        <f t="shared" si="36"/>
        <v>45.18</v>
      </c>
      <c r="BD28" s="84">
        <f t="shared" si="37"/>
        <v>-8.1300000000000008</v>
      </c>
      <c r="BE28" s="84">
        <f t="shared" si="38"/>
        <v>-66.8</v>
      </c>
      <c r="BF28" s="116">
        <f t="shared" si="39"/>
        <v>-74.930000000000007</v>
      </c>
      <c r="BG28" s="496">
        <f t="shared" si="40"/>
        <v>715.8</v>
      </c>
      <c r="BH28" s="496">
        <f t="shared" si="41"/>
        <v>171.5</v>
      </c>
      <c r="BI28" s="496">
        <f t="shared" si="42"/>
        <v>887.3</v>
      </c>
    </row>
    <row r="29" spans="1:62" s="480" customFormat="1" ht="16.149999999999999" customHeight="1">
      <c r="A29" s="495" t="s">
        <v>214</v>
      </c>
      <c r="B29" s="599" t="s">
        <v>399</v>
      </c>
      <c r="C29" s="600" t="s">
        <v>62</v>
      </c>
      <c r="D29" s="601" t="s">
        <v>12</v>
      </c>
      <c r="E29" s="314">
        <v>4384</v>
      </c>
      <c r="F29" s="500">
        <v>10</v>
      </c>
      <c r="G29" s="602">
        <v>1108.29</v>
      </c>
      <c r="H29" s="603">
        <v>0</v>
      </c>
      <c r="I29" s="490">
        <f t="shared" si="0"/>
        <v>1108.29</v>
      </c>
      <c r="J29" s="604">
        <f t="shared" si="45"/>
        <v>1.7014689999999999E-2</v>
      </c>
      <c r="K29" s="484">
        <f t="shared" si="46"/>
        <v>-105.12</v>
      </c>
      <c r="L29" s="484">
        <f t="shared" si="43"/>
        <v>0</v>
      </c>
      <c r="M29" s="484">
        <f t="shared" si="47"/>
        <v>26.1</v>
      </c>
      <c r="N29" s="603">
        <f t="shared" si="4"/>
        <v>26.1</v>
      </c>
      <c r="O29" s="603">
        <f t="shared" si="5"/>
        <v>0</v>
      </c>
      <c r="P29" s="603">
        <f t="shared" si="5"/>
        <v>0</v>
      </c>
      <c r="Q29" s="603">
        <f t="shared" si="6"/>
        <v>0</v>
      </c>
      <c r="R29" s="484">
        <f t="shared" si="7"/>
        <v>0</v>
      </c>
      <c r="S29" s="603">
        <f t="shared" si="8"/>
        <v>1134.3900000000001</v>
      </c>
      <c r="T29" s="605">
        <f t="shared" si="48"/>
        <v>1354.98</v>
      </c>
      <c r="U29" s="606">
        <v>402.36</v>
      </c>
      <c r="V29" s="607">
        <f t="shared" si="10"/>
        <v>1.7014689999999999E-2</v>
      </c>
      <c r="W29" s="484">
        <f t="shared" si="49"/>
        <v>58.26</v>
      </c>
      <c r="X29" s="484">
        <v>0</v>
      </c>
      <c r="Y29" s="484">
        <f t="shared" si="50"/>
        <v>34.96</v>
      </c>
      <c r="Z29" s="484">
        <f t="shared" si="50"/>
        <v>-2.11</v>
      </c>
      <c r="AA29" s="484">
        <f t="shared" si="44"/>
        <v>-0.78</v>
      </c>
      <c r="AB29" s="603">
        <f t="shared" si="13"/>
        <v>90.33</v>
      </c>
      <c r="AC29" s="603">
        <f t="shared" si="51"/>
        <v>-16.260000000000002</v>
      </c>
      <c r="AD29" s="608">
        <f t="shared" si="15"/>
        <v>-133.6</v>
      </c>
      <c r="AE29" s="608">
        <v>0</v>
      </c>
      <c r="AF29" s="603">
        <f t="shared" si="16"/>
        <v>-133.6</v>
      </c>
      <c r="AG29" s="484">
        <f t="shared" si="17"/>
        <v>-149.86000000000001</v>
      </c>
      <c r="AH29" s="609">
        <f t="shared" si="18"/>
        <v>342.83</v>
      </c>
      <c r="AI29" s="610">
        <f t="shared" si="19"/>
        <v>1477.22</v>
      </c>
      <c r="AJ29" s="610">
        <f t="shared" si="52"/>
        <v>1757.78</v>
      </c>
      <c r="AK29" s="83"/>
      <c r="AL29" s="114">
        <v>1108.29</v>
      </c>
      <c r="AM29" s="497">
        <f t="shared" si="53"/>
        <v>1510.25</v>
      </c>
      <c r="AN29" s="192">
        <f t="shared" si="22"/>
        <v>0</v>
      </c>
      <c r="AO29" s="114">
        <f t="shared" si="23"/>
        <v>-105.12</v>
      </c>
      <c r="AP29" s="137">
        <f t="shared" si="24"/>
        <v>0</v>
      </c>
      <c r="AQ29" s="137">
        <f t="shared" si="25"/>
        <v>26.1</v>
      </c>
      <c r="AR29" s="84">
        <f t="shared" si="26"/>
        <v>26.1</v>
      </c>
      <c r="AS29" s="84">
        <f t="shared" si="27"/>
        <v>0</v>
      </c>
      <c r="AT29" s="84">
        <f t="shared" si="28"/>
        <v>0</v>
      </c>
      <c r="AU29" s="84">
        <f t="shared" si="29"/>
        <v>0</v>
      </c>
      <c r="AV29" s="84">
        <f t="shared" si="30"/>
        <v>0</v>
      </c>
      <c r="AW29" s="606">
        <v>402.36</v>
      </c>
      <c r="AX29" s="137">
        <f t="shared" si="31"/>
        <v>58.26</v>
      </c>
      <c r="AY29" s="137">
        <f t="shared" si="32"/>
        <v>0</v>
      </c>
      <c r="AZ29" s="137">
        <f t="shared" si="33"/>
        <v>34.96</v>
      </c>
      <c r="BA29" s="137">
        <f t="shared" si="34"/>
        <v>-2.11</v>
      </c>
      <c r="BB29" s="137">
        <f t="shared" si="35"/>
        <v>-0.78</v>
      </c>
      <c r="BC29" s="84">
        <f t="shared" si="36"/>
        <v>90.33</v>
      </c>
      <c r="BD29" s="84">
        <f t="shared" si="37"/>
        <v>-16.260000000000002</v>
      </c>
      <c r="BE29" s="84">
        <f t="shared" si="38"/>
        <v>-133.6</v>
      </c>
      <c r="BF29" s="116">
        <f t="shared" si="39"/>
        <v>-149.86000000000001</v>
      </c>
      <c r="BG29" s="496">
        <f t="shared" si="40"/>
        <v>1431.23</v>
      </c>
      <c r="BH29" s="496">
        <f t="shared" si="41"/>
        <v>342.83</v>
      </c>
      <c r="BI29" s="496">
        <f t="shared" si="42"/>
        <v>1774.06</v>
      </c>
    </row>
    <row r="30" spans="1:62" s="480" customFormat="1" ht="16.149999999999999" customHeight="1">
      <c r="A30" s="495" t="s">
        <v>214</v>
      </c>
      <c r="B30" s="599" t="s">
        <v>402</v>
      </c>
      <c r="C30" s="600" t="s">
        <v>62</v>
      </c>
      <c r="D30" s="601" t="s">
        <v>12</v>
      </c>
      <c r="E30" s="314">
        <v>10594</v>
      </c>
      <c r="F30" s="500">
        <v>4</v>
      </c>
      <c r="G30" s="602">
        <v>554.29</v>
      </c>
      <c r="H30" s="603">
        <v>0</v>
      </c>
      <c r="I30" s="490">
        <f t="shared" si="0"/>
        <v>554.29</v>
      </c>
      <c r="J30" s="604">
        <f t="shared" si="45"/>
        <v>8.5095699999999993E-3</v>
      </c>
      <c r="K30" s="484">
        <f t="shared" si="46"/>
        <v>-52.57</v>
      </c>
      <c r="L30" s="484">
        <f t="shared" si="43"/>
        <v>0</v>
      </c>
      <c r="M30" s="484">
        <f t="shared" si="47"/>
        <v>13.05</v>
      </c>
      <c r="N30" s="603">
        <f t="shared" si="4"/>
        <v>13.05</v>
      </c>
      <c r="O30" s="603">
        <f t="shared" si="5"/>
        <v>0</v>
      </c>
      <c r="P30" s="603">
        <f t="shared" si="5"/>
        <v>0</v>
      </c>
      <c r="Q30" s="603">
        <f t="shared" si="6"/>
        <v>0</v>
      </c>
      <c r="R30" s="484">
        <f t="shared" si="7"/>
        <v>0</v>
      </c>
      <c r="S30" s="603">
        <f t="shared" si="8"/>
        <v>567.34</v>
      </c>
      <c r="T30" s="605">
        <f t="shared" si="48"/>
        <v>677.66</v>
      </c>
      <c r="U30" s="606">
        <v>241.66</v>
      </c>
      <c r="V30" s="607">
        <f t="shared" si="10"/>
        <v>8.5095699999999993E-3</v>
      </c>
      <c r="W30" s="484">
        <f t="shared" si="49"/>
        <v>29.14</v>
      </c>
      <c r="X30" s="484">
        <v>0</v>
      </c>
      <c r="Y30" s="484">
        <f t="shared" si="50"/>
        <v>17.48</v>
      </c>
      <c r="Z30" s="484">
        <f t="shared" si="50"/>
        <v>-1.05</v>
      </c>
      <c r="AA30" s="484">
        <f t="shared" si="44"/>
        <v>-0.39</v>
      </c>
      <c r="AB30" s="603">
        <f t="shared" si="13"/>
        <v>45.18</v>
      </c>
      <c r="AC30" s="603">
        <f t="shared" si="51"/>
        <v>-8.1300000000000008</v>
      </c>
      <c r="AD30" s="608">
        <f t="shared" si="15"/>
        <v>-53.44</v>
      </c>
      <c r="AE30" s="608">
        <v>0</v>
      </c>
      <c r="AF30" s="603">
        <f t="shared" si="16"/>
        <v>-53.44</v>
      </c>
      <c r="AG30" s="484">
        <f t="shared" si="17"/>
        <v>-61.57</v>
      </c>
      <c r="AH30" s="609">
        <f t="shared" si="18"/>
        <v>225.27</v>
      </c>
      <c r="AI30" s="610">
        <f t="shared" si="19"/>
        <v>792.61</v>
      </c>
      <c r="AJ30" s="610">
        <f t="shared" si="52"/>
        <v>943.14</v>
      </c>
      <c r="AK30" s="83"/>
      <c r="AL30" s="114">
        <v>554.29</v>
      </c>
      <c r="AM30" s="497">
        <f t="shared" si="53"/>
        <v>755.32</v>
      </c>
      <c r="AN30" s="192">
        <f t="shared" si="22"/>
        <v>0</v>
      </c>
      <c r="AO30" s="114">
        <f t="shared" si="23"/>
        <v>-52.57</v>
      </c>
      <c r="AP30" s="137">
        <f t="shared" si="24"/>
        <v>0</v>
      </c>
      <c r="AQ30" s="137">
        <f t="shared" si="25"/>
        <v>13.05</v>
      </c>
      <c r="AR30" s="84">
        <f t="shared" si="26"/>
        <v>13.05</v>
      </c>
      <c r="AS30" s="84">
        <f t="shared" si="27"/>
        <v>0</v>
      </c>
      <c r="AT30" s="84">
        <f t="shared" si="28"/>
        <v>0</v>
      </c>
      <c r="AU30" s="84">
        <f t="shared" si="29"/>
        <v>0</v>
      </c>
      <c r="AV30" s="84">
        <f t="shared" si="30"/>
        <v>0</v>
      </c>
      <c r="AW30" s="606">
        <v>241.66</v>
      </c>
      <c r="AX30" s="137">
        <f t="shared" si="31"/>
        <v>29.14</v>
      </c>
      <c r="AY30" s="137">
        <f t="shared" si="32"/>
        <v>0</v>
      </c>
      <c r="AZ30" s="137">
        <f t="shared" si="33"/>
        <v>17.48</v>
      </c>
      <c r="BA30" s="137">
        <f t="shared" si="34"/>
        <v>-1.05</v>
      </c>
      <c r="BB30" s="137">
        <f t="shared" si="35"/>
        <v>-0.39</v>
      </c>
      <c r="BC30" s="84">
        <f t="shared" si="36"/>
        <v>45.18</v>
      </c>
      <c r="BD30" s="84">
        <f t="shared" si="37"/>
        <v>-8.1300000000000008</v>
      </c>
      <c r="BE30" s="84">
        <f t="shared" si="38"/>
        <v>-53.44</v>
      </c>
      <c r="BF30" s="116">
        <f t="shared" si="39"/>
        <v>-61.57</v>
      </c>
      <c r="BG30" s="496">
        <f t="shared" si="40"/>
        <v>715.8</v>
      </c>
      <c r="BH30" s="496">
        <f t="shared" si="41"/>
        <v>225.27</v>
      </c>
      <c r="BI30" s="496">
        <f t="shared" si="42"/>
        <v>941.07</v>
      </c>
    </row>
    <row r="31" spans="1:62" s="480" customFormat="1" ht="16.149999999999999" customHeight="1">
      <c r="A31" s="495" t="s">
        <v>214</v>
      </c>
      <c r="B31" s="494" t="s">
        <v>448</v>
      </c>
      <c r="C31" s="493" t="s">
        <v>62</v>
      </c>
      <c r="D31" s="385" t="s">
        <v>12</v>
      </c>
      <c r="E31" s="314">
        <v>2558</v>
      </c>
      <c r="F31" s="500">
        <v>2</v>
      </c>
      <c r="G31" s="491">
        <v>317.89999999999998</v>
      </c>
      <c r="H31" s="485">
        <v>0</v>
      </c>
      <c r="I31" s="490">
        <f t="shared" si="0"/>
        <v>317.89999999999998</v>
      </c>
      <c r="J31" s="489">
        <f t="shared" si="45"/>
        <v>4.8804699999999996E-3</v>
      </c>
      <c r="K31" s="484">
        <f t="shared" si="46"/>
        <v>-30.15</v>
      </c>
      <c r="L31" s="484">
        <f t="shared" si="43"/>
        <v>0</v>
      </c>
      <c r="M31" s="484">
        <f t="shared" si="47"/>
        <v>7.49</v>
      </c>
      <c r="N31" s="485">
        <f t="shared" si="4"/>
        <v>7.49</v>
      </c>
      <c r="O31" s="485">
        <f t="shared" si="5"/>
        <v>0</v>
      </c>
      <c r="P31" s="485">
        <f t="shared" si="5"/>
        <v>0</v>
      </c>
      <c r="Q31" s="485">
        <f t="shared" si="6"/>
        <v>0</v>
      </c>
      <c r="R31" s="484">
        <f t="shared" si="7"/>
        <v>0</v>
      </c>
      <c r="S31" s="485">
        <f t="shared" si="8"/>
        <v>325.39</v>
      </c>
      <c r="T31" s="488">
        <f t="shared" si="48"/>
        <v>388.66</v>
      </c>
      <c r="U31" s="487">
        <v>150.51</v>
      </c>
      <c r="V31" s="486">
        <f t="shared" si="10"/>
        <v>4.8804699999999996E-3</v>
      </c>
      <c r="W31" s="484">
        <f t="shared" si="49"/>
        <v>16.71</v>
      </c>
      <c r="X31" s="484">
        <v>0</v>
      </c>
      <c r="Y31" s="484">
        <f t="shared" si="50"/>
        <v>10.029999999999999</v>
      </c>
      <c r="Z31" s="484">
        <f t="shared" si="50"/>
        <v>-0.6</v>
      </c>
      <c r="AA31" s="484">
        <f t="shared" si="44"/>
        <v>-0.22</v>
      </c>
      <c r="AB31" s="485">
        <f t="shared" si="13"/>
        <v>25.92</v>
      </c>
      <c r="AC31" s="485">
        <f t="shared" si="51"/>
        <v>-4.66</v>
      </c>
      <c r="AD31" s="498">
        <f t="shared" si="15"/>
        <v>-26.72</v>
      </c>
      <c r="AE31" s="498">
        <v>0</v>
      </c>
      <c r="AF31" s="485">
        <f t="shared" si="16"/>
        <v>-26.72</v>
      </c>
      <c r="AG31" s="484">
        <f t="shared" si="17"/>
        <v>-31.38</v>
      </c>
      <c r="AH31" s="381">
        <f t="shared" si="18"/>
        <v>145.05000000000001</v>
      </c>
      <c r="AI31" s="483">
        <f t="shared" si="19"/>
        <v>470.44</v>
      </c>
      <c r="AJ31" s="483">
        <f t="shared" si="52"/>
        <v>559.79</v>
      </c>
      <c r="AK31" s="83"/>
      <c r="AL31" s="114">
        <v>317.89999999999998</v>
      </c>
      <c r="AM31" s="497">
        <f t="shared" si="53"/>
        <v>433.2</v>
      </c>
      <c r="AN31" s="192">
        <f t="shared" si="22"/>
        <v>0</v>
      </c>
      <c r="AO31" s="114">
        <f t="shared" si="23"/>
        <v>-30.15</v>
      </c>
      <c r="AP31" s="137">
        <f t="shared" si="24"/>
        <v>0</v>
      </c>
      <c r="AQ31" s="137">
        <f t="shared" si="25"/>
        <v>7.49</v>
      </c>
      <c r="AR31" s="84">
        <f t="shared" si="26"/>
        <v>7.49</v>
      </c>
      <c r="AS31" s="84">
        <f t="shared" si="27"/>
        <v>0</v>
      </c>
      <c r="AT31" s="84">
        <f t="shared" si="28"/>
        <v>0</v>
      </c>
      <c r="AU31" s="84">
        <f t="shared" si="29"/>
        <v>0</v>
      </c>
      <c r="AV31" s="84">
        <f t="shared" si="30"/>
        <v>0</v>
      </c>
      <c r="AW31" s="487">
        <v>150.51</v>
      </c>
      <c r="AX31" s="137">
        <f t="shared" si="31"/>
        <v>16.71</v>
      </c>
      <c r="AY31" s="137">
        <f t="shared" si="32"/>
        <v>0</v>
      </c>
      <c r="AZ31" s="137">
        <f t="shared" si="33"/>
        <v>10.029999999999999</v>
      </c>
      <c r="BA31" s="137">
        <f t="shared" si="34"/>
        <v>-0.6</v>
      </c>
      <c r="BB31" s="137">
        <f t="shared" si="35"/>
        <v>-0.22</v>
      </c>
      <c r="BC31" s="84">
        <f t="shared" si="36"/>
        <v>25.92</v>
      </c>
      <c r="BD31" s="84">
        <f t="shared" si="37"/>
        <v>-4.66</v>
      </c>
      <c r="BE31" s="84">
        <f t="shared" si="38"/>
        <v>-26.72</v>
      </c>
      <c r="BF31" s="116">
        <f t="shared" si="39"/>
        <v>-31.38</v>
      </c>
      <c r="BG31" s="496">
        <f t="shared" si="40"/>
        <v>410.54</v>
      </c>
      <c r="BH31" s="496">
        <f t="shared" si="41"/>
        <v>145.05000000000001</v>
      </c>
      <c r="BI31" s="496">
        <f t="shared" si="42"/>
        <v>555.59</v>
      </c>
    </row>
    <row r="32" spans="1:62" s="480" customFormat="1" ht="16.149999999999999" customHeight="1">
      <c r="A32" s="495" t="s">
        <v>214</v>
      </c>
      <c r="B32" s="599" t="s">
        <v>400</v>
      </c>
      <c r="C32" s="600" t="s">
        <v>62</v>
      </c>
      <c r="D32" s="601" t="s">
        <v>12</v>
      </c>
      <c r="E32" s="314">
        <v>4384</v>
      </c>
      <c r="F32" s="500">
        <v>6</v>
      </c>
      <c r="G32" s="602">
        <v>1108.29</v>
      </c>
      <c r="H32" s="603">
        <v>0</v>
      </c>
      <c r="I32" s="490">
        <f t="shared" si="0"/>
        <v>1108.29</v>
      </c>
      <c r="J32" s="604">
        <f t="shared" si="45"/>
        <v>1.7014689999999999E-2</v>
      </c>
      <c r="K32" s="484">
        <f t="shared" si="46"/>
        <v>-105.12</v>
      </c>
      <c r="L32" s="484">
        <f t="shared" si="43"/>
        <v>0</v>
      </c>
      <c r="M32" s="484">
        <f t="shared" si="47"/>
        <v>26.1</v>
      </c>
      <c r="N32" s="603">
        <f t="shared" si="4"/>
        <v>26.1</v>
      </c>
      <c r="O32" s="603">
        <f t="shared" ref="O32:P51" si="54">$J32*O$89</f>
        <v>0</v>
      </c>
      <c r="P32" s="603">
        <f t="shared" si="54"/>
        <v>0</v>
      </c>
      <c r="Q32" s="603">
        <f t="shared" si="6"/>
        <v>0</v>
      </c>
      <c r="R32" s="484">
        <f t="shared" si="7"/>
        <v>0</v>
      </c>
      <c r="S32" s="603">
        <f t="shared" si="8"/>
        <v>1134.3900000000001</v>
      </c>
      <c r="T32" s="605">
        <f t="shared" si="48"/>
        <v>1354.98</v>
      </c>
      <c r="U32" s="606">
        <v>563.99</v>
      </c>
      <c r="V32" s="607">
        <f t="shared" si="10"/>
        <v>1.7014689999999999E-2</v>
      </c>
      <c r="W32" s="484">
        <f t="shared" si="49"/>
        <v>58.26</v>
      </c>
      <c r="X32" s="484">
        <v>0</v>
      </c>
      <c r="Y32" s="484">
        <f t="shared" si="50"/>
        <v>34.96</v>
      </c>
      <c r="Z32" s="484">
        <f t="shared" si="50"/>
        <v>-2.11</v>
      </c>
      <c r="AA32" s="484">
        <f t="shared" si="44"/>
        <v>-0.78</v>
      </c>
      <c r="AB32" s="603">
        <f t="shared" si="13"/>
        <v>90.33</v>
      </c>
      <c r="AC32" s="603">
        <f t="shared" si="51"/>
        <v>-16.260000000000002</v>
      </c>
      <c r="AD32" s="608">
        <f t="shared" si="15"/>
        <v>-80.16</v>
      </c>
      <c r="AE32" s="608">
        <v>0</v>
      </c>
      <c r="AF32" s="603">
        <f t="shared" si="16"/>
        <v>-80.16</v>
      </c>
      <c r="AG32" s="484">
        <f t="shared" si="17"/>
        <v>-96.42</v>
      </c>
      <c r="AH32" s="609">
        <f t="shared" si="18"/>
        <v>557.9</v>
      </c>
      <c r="AI32" s="610">
        <f t="shared" si="19"/>
        <v>1692.29</v>
      </c>
      <c r="AJ32" s="610">
        <f t="shared" si="52"/>
        <v>2013.69</v>
      </c>
      <c r="AK32" s="83"/>
      <c r="AL32" s="114">
        <v>1108.29</v>
      </c>
      <c r="AM32" s="497">
        <f t="shared" si="53"/>
        <v>1510.25</v>
      </c>
      <c r="AN32" s="192">
        <f t="shared" si="22"/>
        <v>0</v>
      </c>
      <c r="AO32" s="114">
        <f t="shared" si="23"/>
        <v>-105.12</v>
      </c>
      <c r="AP32" s="137">
        <f t="shared" si="24"/>
        <v>0</v>
      </c>
      <c r="AQ32" s="137">
        <f t="shared" si="25"/>
        <v>26.1</v>
      </c>
      <c r="AR32" s="84">
        <f t="shared" si="26"/>
        <v>26.1</v>
      </c>
      <c r="AS32" s="84">
        <f t="shared" si="27"/>
        <v>0</v>
      </c>
      <c r="AT32" s="84">
        <f t="shared" si="28"/>
        <v>0</v>
      </c>
      <c r="AU32" s="84">
        <f t="shared" si="29"/>
        <v>0</v>
      </c>
      <c r="AV32" s="84">
        <f t="shared" si="30"/>
        <v>0</v>
      </c>
      <c r="AW32" s="606">
        <v>563.99</v>
      </c>
      <c r="AX32" s="137">
        <f t="shared" si="31"/>
        <v>58.26</v>
      </c>
      <c r="AY32" s="137">
        <f t="shared" si="32"/>
        <v>0</v>
      </c>
      <c r="AZ32" s="137">
        <f t="shared" si="33"/>
        <v>34.96</v>
      </c>
      <c r="BA32" s="137">
        <f t="shared" si="34"/>
        <v>-2.11</v>
      </c>
      <c r="BB32" s="137">
        <f t="shared" si="35"/>
        <v>-0.78</v>
      </c>
      <c r="BC32" s="84">
        <f t="shared" si="36"/>
        <v>90.33</v>
      </c>
      <c r="BD32" s="84">
        <f t="shared" si="37"/>
        <v>-16.260000000000002</v>
      </c>
      <c r="BE32" s="84">
        <f t="shared" si="38"/>
        <v>-80.16</v>
      </c>
      <c r="BF32" s="116">
        <f t="shared" si="39"/>
        <v>-96.42</v>
      </c>
      <c r="BG32" s="496">
        <f t="shared" si="40"/>
        <v>1431.23</v>
      </c>
      <c r="BH32" s="496">
        <f t="shared" si="41"/>
        <v>557.9</v>
      </c>
      <c r="BI32" s="496">
        <f t="shared" si="42"/>
        <v>1989.13</v>
      </c>
    </row>
    <row r="33" spans="1:241" s="480" customFormat="1" ht="16.149999999999999" customHeight="1">
      <c r="A33" s="495" t="s">
        <v>214</v>
      </c>
      <c r="B33" s="599" t="s">
        <v>403</v>
      </c>
      <c r="C33" s="600" t="s">
        <v>62</v>
      </c>
      <c r="D33" s="601" t="s">
        <v>12</v>
      </c>
      <c r="E33" s="314">
        <v>11689</v>
      </c>
      <c r="F33" s="500">
        <v>10</v>
      </c>
      <c r="G33" s="602">
        <v>1108.29</v>
      </c>
      <c r="H33" s="603">
        <v>0</v>
      </c>
      <c r="I33" s="490">
        <f t="shared" si="0"/>
        <v>1108.29</v>
      </c>
      <c r="J33" s="604">
        <f t="shared" si="45"/>
        <v>1.7014689999999999E-2</v>
      </c>
      <c r="K33" s="484">
        <f t="shared" si="46"/>
        <v>-105.12</v>
      </c>
      <c r="L33" s="484">
        <f t="shared" si="43"/>
        <v>0</v>
      </c>
      <c r="M33" s="484">
        <f t="shared" si="47"/>
        <v>26.1</v>
      </c>
      <c r="N33" s="603">
        <f t="shared" si="4"/>
        <v>26.1</v>
      </c>
      <c r="O33" s="603">
        <f t="shared" si="54"/>
        <v>0</v>
      </c>
      <c r="P33" s="603">
        <f t="shared" si="54"/>
        <v>0</v>
      </c>
      <c r="Q33" s="603">
        <f t="shared" si="6"/>
        <v>0</v>
      </c>
      <c r="R33" s="484">
        <f t="shared" si="7"/>
        <v>0</v>
      </c>
      <c r="S33" s="603">
        <f t="shared" si="8"/>
        <v>1134.3900000000001</v>
      </c>
      <c r="T33" s="605">
        <f t="shared" si="48"/>
        <v>1354.98</v>
      </c>
      <c r="U33" s="606">
        <v>402.35</v>
      </c>
      <c r="V33" s="607">
        <f t="shared" si="10"/>
        <v>1.7014689999999999E-2</v>
      </c>
      <c r="W33" s="484">
        <f t="shared" si="49"/>
        <v>58.26</v>
      </c>
      <c r="X33" s="484">
        <v>0</v>
      </c>
      <c r="Y33" s="484">
        <f t="shared" si="50"/>
        <v>34.96</v>
      </c>
      <c r="Z33" s="484">
        <f t="shared" si="50"/>
        <v>-2.11</v>
      </c>
      <c r="AA33" s="484">
        <f t="shared" si="44"/>
        <v>-0.78</v>
      </c>
      <c r="AB33" s="603">
        <f t="shared" si="13"/>
        <v>90.33</v>
      </c>
      <c r="AC33" s="603">
        <f t="shared" si="51"/>
        <v>-16.260000000000002</v>
      </c>
      <c r="AD33" s="608">
        <f t="shared" si="15"/>
        <v>-133.6</v>
      </c>
      <c r="AE33" s="608">
        <v>0</v>
      </c>
      <c r="AF33" s="603">
        <f t="shared" si="16"/>
        <v>-133.6</v>
      </c>
      <c r="AG33" s="484">
        <f t="shared" si="17"/>
        <v>-149.86000000000001</v>
      </c>
      <c r="AH33" s="609">
        <f t="shared" si="18"/>
        <v>342.82</v>
      </c>
      <c r="AI33" s="610">
        <f t="shared" si="19"/>
        <v>1477.21</v>
      </c>
      <c r="AJ33" s="610">
        <f t="shared" si="52"/>
        <v>1757.77</v>
      </c>
      <c r="AK33" s="83"/>
      <c r="AL33" s="114">
        <v>1108.29</v>
      </c>
      <c r="AM33" s="497">
        <f t="shared" si="53"/>
        <v>1510.25</v>
      </c>
      <c r="AN33" s="192">
        <f t="shared" si="22"/>
        <v>0</v>
      </c>
      <c r="AO33" s="114">
        <f t="shared" si="23"/>
        <v>-105.12</v>
      </c>
      <c r="AP33" s="137">
        <f t="shared" si="24"/>
        <v>0</v>
      </c>
      <c r="AQ33" s="137">
        <f t="shared" si="25"/>
        <v>26.1</v>
      </c>
      <c r="AR33" s="84">
        <f t="shared" si="26"/>
        <v>26.1</v>
      </c>
      <c r="AS33" s="84">
        <f t="shared" si="27"/>
        <v>0</v>
      </c>
      <c r="AT33" s="84">
        <f t="shared" si="28"/>
        <v>0</v>
      </c>
      <c r="AU33" s="84">
        <f t="shared" si="29"/>
        <v>0</v>
      </c>
      <c r="AV33" s="84">
        <f t="shared" si="30"/>
        <v>0</v>
      </c>
      <c r="AW33" s="606">
        <v>402.35</v>
      </c>
      <c r="AX33" s="137">
        <f t="shared" si="31"/>
        <v>58.26</v>
      </c>
      <c r="AY33" s="137">
        <f t="shared" si="32"/>
        <v>0</v>
      </c>
      <c r="AZ33" s="137">
        <f t="shared" si="33"/>
        <v>34.96</v>
      </c>
      <c r="BA33" s="137">
        <f t="shared" si="34"/>
        <v>-2.11</v>
      </c>
      <c r="BB33" s="137">
        <f t="shared" si="35"/>
        <v>-0.78</v>
      </c>
      <c r="BC33" s="84">
        <f t="shared" si="36"/>
        <v>90.33</v>
      </c>
      <c r="BD33" s="84">
        <f t="shared" si="37"/>
        <v>-16.260000000000002</v>
      </c>
      <c r="BE33" s="84">
        <f t="shared" si="38"/>
        <v>-133.6</v>
      </c>
      <c r="BF33" s="116">
        <f t="shared" si="39"/>
        <v>-149.86000000000001</v>
      </c>
      <c r="BG33" s="496">
        <f t="shared" si="40"/>
        <v>1431.23</v>
      </c>
      <c r="BH33" s="496">
        <f t="shared" si="41"/>
        <v>342.82</v>
      </c>
      <c r="BI33" s="496">
        <f t="shared" si="42"/>
        <v>1774.05</v>
      </c>
    </row>
    <row r="34" spans="1:241" s="480" customFormat="1" ht="16.149999999999999" customHeight="1">
      <c r="A34" s="495" t="s">
        <v>214</v>
      </c>
      <c r="B34" s="599" t="s">
        <v>405</v>
      </c>
      <c r="C34" s="600" t="s">
        <v>62</v>
      </c>
      <c r="D34" s="601" t="s">
        <v>12</v>
      </c>
      <c r="E34" s="314">
        <v>15707</v>
      </c>
      <c r="F34" s="500">
        <v>6</v>
      </c>
      <c r="G34" s="602">
        <v>554.29</v>
      </c>
      <c r="H34" s="603">
        <v>0</v>
      </c>
      <c r="I34" s="490">
        <f t="shared" si="0"/>
        <v>554.29</v>
      </c>
      <c r="J34" s="604">
        <f t="shared" si="45"/>
        <v>8.5095699999999993E-3</v>
      </c>
      <c r="K34" s="484">
        <f t="shared" si="46"/>
        <v>-52.57</v>
      </c>
      <c r="L34" s="484">
        <f t="shared" si="43"/>
        <v>0</v>
      </c>
      <c r="M34" s="484">
        <f t="shared" si="47"/>
        <v>13.05</v>
      </c>
      <c r="N34" s="603">
        <f t="shared" si="4"/>
        <v>13.05</v>
      </c>
      <c r="O34" s="603">
        <f t="shared" si="54"/>
        <v>0</v>
      </c>
      <c r="P34" s="603">
        <f t="shared" si="54"/>
        <v>0</v>
      </c>
      <c r="Q34" s="603">
        <f t="shared" si="6"/>
        <v>0</v>
      </c>
      <c r="R34" s="484">
        <f t="shared" si="7"/>
        <v>0</v>
      </c>
      <c r="S34" s="603">
        <f t="shared" si="8"/>
        <v>567.34</v>
      </c>
      <c r="T34" s="605">
        <f t="shared" si="48"/>
        <v>677.66</v>
      </c>
      <c r="U34" s="606">
        <v>160.84</v>
      </c>
      <c r="V34" s="607">
        <f t="shared" si="10"/>
        <v>8.5095699999999993E-3</v>
      </c>
      <c r="W34" s="484">
        <f t="shared" si="49"/>
        <v>29.14</v>
      </c>
      <c r="X34" s="484">
        <v>0</v>
      </c>
      <c r="Y34" s="484">
        <f t="shared" si="50"/>
        <v>17.48</v>
      </c>
      <c r="Z34" s="484">
        <f t="shared" si="50"/>
        <v>-1.05</v>
      </c>
      <c r="AA34" s="484">
        <f t="shared" si="44"/>
        <v>-0.39</v>
      </c>
      <c r="AB34" s="603">
        <f t="shared" si="13"/>
        <v>45.18</v>
      </c>
      <c r="AC34" s="603">
        <f t="shared" si="51"/>
        <v>-8.1300000000000008</v>
      </c>
      <c r="AD34" s="608">
        <f t="shared" si="15"/>
        <v>-80.16</v>
      </c>
      <c r="AE34" s="608">
        <v>0</v>
      </c>
      <c r="AF34" s="603">
        <f t="shared" si="16"/>
        <v>-80.16</v>
      </c>
      <c r="AG34" s="484">
        <f t="shared" si="17"/>
        <v>-88.29</v>
      </c>
      <c r="AH34" s="609">
        <f t="shared" si="18"/>
        <v>117.73</v>
      </c>
      <c r="AI34" s="610">
        <f t="shared" si="19"/>
        <v>685.07</v>
      </c>
      <c r="AJ34" s="610">
        <f t="shared" si="52"/>
        <v>815.18</v>
      </c>
      <c r="AK34" s="83"/>
      <c r="AL34" s="114">
        <v>554.29</v>
      </c>
      <c r="AM34" s="497">
        <f t="shared" si="53"/>
        <v>755.32</v>
      </c>
      <c r="AN34" s="192">
        <f t="shared" si="22"/>
        <v>0</v>
      </c>
      <c r="AO34" s="114">
        <f t="shared" si="23"/>
        <v>-52.57</v>
      </c>
      <c r="AP34" s="137">
        <f t="shared" si="24"/>
        <v>0</v>
      </c>
      <c r="AQ34" s="137">
        <f t="shared" si="25"/>
        <v>13.05</v>
      </c>
      <c r="AR34" s="84">
        <f t="shared" si="26"/>
        <v>13.05</v>
      </c>
      <c r="AS34" s="84">
        <f t="shared" si="27"/>
        <v>0</v>
      </c>
      <c r="AT34" s="84">
        <f t="shared" si="28"/>
        <v>0</v>
      </c>
      <c r="AU34" s="84">
        <f t="shared" si="29"/>
        <v>0</v>
      </c>
      <c r="AV34" s="84">
        <f t="shared" si="30"/>
        <v>0</v>
      </c>
      <c r="AW34" s="606">
        <v>160.84</v>
      </c>
      <c r="AX34" s="137">
        <f t="shared" si="31"/>
        <v>29.14</v>
      </c>
      <c r="AY34" s="137">
        <f t="shared" si="32"/>
        <v>0</v>
      </c>
      <c r="AZ34" s="137">
        <f t="shared" si="33"/>
        <v>17.48</v>
      </c>
      <c r="BA34" s="137">
        <f t="shared" si="34"/>
        <v>-1.05</v>
      </c>
      <c r="BB34" s="137">
        <f t="shared" si="35"/>
        <v>-0.39</v>
      </c>
      <c r="BC34" s="84">
        <f t="shared" si="36"/>
        <v>45.18</v>
      </c>
      <c r="BD34" s="84">
        <f t="shared" si="37"/>
        <v>-8.1300000000000008</v>
      </c>
      <c r="BE34" s="84">
        <f t="shared" si="38"/>
        <v>-80.16</v>
      </c>
      <c r="BF34" s="116">
        <f t="shared" si="39"/>
        <v>-88.29</v>
      </c>
      <c r="BG34" s="496">
        <f t="shared" si="40"/>
        <v>715.8</v>
      </c>
      <c r="BH34" s="496">
        <f t="shared" si="41"/>
        <v>117.73</v>
      </c>
      <c r="BI34" s="496">
        <f t="shared" si="42"/>
        <v>833.53</v>
      </c>
    </row>
    <row r="35" spans="1:241" s="480" customFormat="1" ht="16.149999999999999" customHeight="1">
      <c r="A35" s="495" t="s">
        <v>214</v>
      </c>
      <c r="B35" s="599" t="s">
        <v>404</v>
      </c>
      <c r="C35" s="600" t="s">
        <v>62</v>
      </c>
      <c r="D35" s="601" t="s">
        <v>12</v>
      </c>
      <c r="E35" s="314">
        <v>13516</v>
      </c>
      <c r="F35" s="500">
        <v>10</v>
      </c>
      <c r="G35" s="602">
        <v>1108.29</v>
      </c>
      <c r="H35" s="603">
        <v>0</v>
      </c>
      <c r="I35" s="490">
        <f t="shared" si="0"/>
        <v>1108.29</v>
      </c>
      <c r="J35" s="604">
        <f t="shared" si="45"/>
        <v>1.7014689999999999E-2</v>
      </c>
      <c r="K35" s="484">
        <f t="shared" si="46"/>
        <v>-105.12</v>
      </c>
      <c r="L35" s="484">
        <f t="shared" si="43"/>
        <v>0</v>
      </c>
      <c r="M35" s="484">
        <f t="shared" si="47"/>
        <v>26.1</v>
      </c>
      <c r="N35" s="603">
        <f t="shared" si="4"/>
        <v>26.1</v>
      </c>
      <c r="O35" s="603">
        <f t="shared" si="54"/>
        <v>0</v>
      </c>
      <c r="P35" s="603">
        <f t="shared" si="54"/>
        <v>0</v>
      </c>
      <c r="Q35" s="603">
        <f t="shared" si="6"/>
        <v>0</v>
      </c>
      <c r="R35" s="484">
        <f t="shared" si="7"/>
        <v>0</v>
      </c>
      <c r="S35" s="603">
        <f t="shared" si="8"/>
        <v>1134.3900000000001</v>
      </c>
      <c r="T35" s="605">
        <f t="shared" si="48"/>
        <v>1354.98</v>
      </c>
      <c r="U35" s="606">
        <v>402.35</v>
      </c>
      <c r="V35" s="607">
        <f t="shared" si="10"/>
        <v>1.7014689999999999E-2</v>
      </c>
      <c r="W35" s="484">
        <f t="shared" si="49"/>
        <v>58.26</v>
      </c>
      <c r="X35" s="484">
        <v>0</v>
      </c>
      <c r="Y35" s="484">
        <f t="shared" si="50"/>
        <v>34.96</v>
      </c>
      <c r="Z35" s="484">
        <f t="shared" si="50"/>
        <v>-2.11</v>
      </c>
      <c r="AA35" s="484">
        <f t="shared" si="44"/>
        <v>-0.78</v>
      </c>
      <c r="AB35" s="603">
        <f t="shared" si="13"/>
        <v>90.33</v>
      </c>
      <c r="AC35" s="603">
        <f t="shared" si="51"/>
        <v>-16.260000000000002</v>
      </c>
      <c r="AD35" s="608">
        <f t="shared" si="15"/>
        <v>-133.6</v>
      </c>
      <c r="AE35" s="608">
        <v>0</v>
      </c>
      <c r="AF35" s="603">
        <f t="shared" si="16"/>
        <v>-133.6</v>
      </c>
      <c r="AG35" s="484">
        <f t="shared" si="17"/>
        <v>-149.86000000000001</v>
      </c>
      <c r="AH35" s="609">
        <f t="shared" si="18"/>
        <v>342.82</v>
      </c>
      <c r="AI35" s="610">
        <f t="shared" si="19"/>
        <v>1477.21</v>
      </c>
      <c r="AJ35" s="610">
        <f t="shared" si="52"/>
        <v>1757.77</v>
      </c>
      <c r="AK35" s="83"/>
      <c r="AL35" s="114">
        <v>1108.29</v>
      </c>
      <c r="AM35" s="497">
        <f t="shared" si="53"/>
        <v>1510.25</v>
      </c>
      <c r="AN35" s="192">
        <f t="shared" si="22"/>
        <v>0</v>
      </c>
      <c r="AO35" s="114">
        <f t="shared" si="23"/>
        <v>-105.12</v>
      </c>
      <c r="AP35" s="137">
        <f t="shared" si="24"/>
        <v>0</v>
      </c>
      <c r="AQ35" s="137">
        <f t="shared" si="25"/>
        <v>26.1</v>
      </c>
      <c r="AR35" s="84">
        <f t="shared" si="26"/>
        <v>26.1</v>
      </c>
      <c r="AS35" s="84">
        <f t="shared" si="27"/>
        <v>0</v>
      </c>
      <c r="AT35" s="84">
        <f t="shared" si="28"/>
        <v>0</v>
      </c>
      <c r="AU35" s="84">
        <f t="shared" si="29"/>
        <v>0</v>
      </c>
      <c r="AV35" s="84">
        <f t="shared" si="30"/>
        <v>0</v>
      </c>
      <c r="AW35" s="606">
        <v>402.35</v>
      </c>
      <c r="AX35" s="137">
        <f t="shared" si="31"/>
        <v>58.26</v>
      </c>
      <c r="AY35" s="137">
        <f t="shared" si="32"/>
        <v>0</v>
      </c>
      <c r="AZ35" s="137">
        <f t="shared" si="33"/>
        <v>34.96</v>
      </c>
      <c r="BA35" s="137">
        <f t="shared" si="34"/>
        <v>-2.11</v>
      </c>
      <c r="BB35" s="137">
        <f t="shared" si="35"/>
        <v>-0.78</v>
      </c>
      <c r="BC35" s="84">
        <f t="shared" si="36"/>
        <v>90.33</v>
      </c>
      <c r="BD35" s="84">
        <f t="shared" si="37"/>
        <v>-16.260000000000002</v>
      </c>
      <c r="BE35" s="84">
        <f t="shared" si="38"/>
        <v>-133.6</v>
      </c>
      <c r="BF35" s="116">
        <f t="shared" si="39"/>
        <v>-149.86000000000001</v>
      </c>
      <c r="BG35" s="496">
        <f t="shared" si="40"/>
        <v>1431.23</v>
      </c>
      <c r="BH35" s="496">
        <f t="shared" si="41"/>
        <v>342.82</v>
      </c>
      <c r="BI35" s="496">
        <f t="shared" si="42"/>
        <v>1774.05</v>
      </c>
    </row>
    <row r="36" spans="1:241" s="480" customFormat="1" ht="16.149999999999999" customHeight="1">
      <c r="A36" s="495" t="s">
        <v>214</v>
      </c>
      <c r="B36" s="494" t="s">
        <v>449</v>
      </c>
      <c r="C36" s="493" t="s">
        <v>62</v>
      </c>
      <c r="D36" s="385" t="s">
        <v>12</v>
      </c>
      <c r="E36" s="314">
        <v>14611</v>
      </c>
      <c r="F36" s="500">
        <v>4</v>
      </c>
      <c r="G36" s="491">
        <v>635.79999999999995</v>
      </c>
      <c r="H36" s="485">
        <v>0</v>
      </c>
      <c r="I36" s="490">
        <f t="shared" si="0"/>
        <v>635.79999999999995</v>
      </c>
      <c r="J36" s="489">
        <f t="shared" si="45"/>
        <v>9.7609299999999993E-3</v>
      </c>
      <c r="K36" s="484">
        <f t="shared" si="46"/>
        <v>-60.31</v>
      </c>
      <c r="L36" s="484">
        <f t="shared" si="43"/>
        <v>0</v>
      </c>
      <c r="M36" s="484">
        <f t="shared" si="47"/>
        <v>14.97</v>
      </c>
      <c r="N36" s="485">
        <f t="shared" si="4"/>
        <v>14.97</v>
      </c>
      <c r="O36" s="485">
        <f t="shared" si="54"/>
        <v>0</v>
      </c>
      <c r="P36" s="485">
        <f t="shared" si="54"/>
        <v>0</v>
      </c>
      <c r="Q36" s="485">
        <f t="shared" si="6"/>
        <v>0</v>
      </c>
      <c r="R36" s="484">
        <f t="shared" si="7"/>
        <v>0</v>
      </c>
      <c r="S36" s="485">
        <f t="shared" si="8"/>
        <v>650.77</v>
      </c>
      <c r="T36" s="488">
        <f t="shared" si="48"/>
        <v>777.32</v>
      </c>
      <c r="U36" s="487">
        <v>301</v>
      </c>
      <c r="V36" s="486">
        <f t="shared" si="10"/>
        <v>9.7609299999999993E-3</v>
      </c>
      <c r="W36" s="484">
        <f t="shared" si="49"/>
        <v>33.42</v>
      </c>
      <c r="X36" s="484">
        <v>0</v>
      </c>
      <c r="Y36" s="484">
        <f t="shared" si="50"/>
        <v>20.05</v>
      </c>
      <c r="Z36" s="484">
        <f t="shared" si="50"/>
        <v>-1.21</v>
      </c>
      <c r="AA36" s="484">
        <f t="shared" si="44"/>
        <v>-0.45</v>
      </c>
      <c r="AB36" s="485">
        <f t="shared" si="13"/>
        <v>51.81</v>
      </c>
      <c r="AC36" s="485">
        <f t="shared" si="51"/>
        <v>-9.33</v>
      </c>
      <c r="AD36" s="498">
        <f t="shared" si="15"/>
        <v>-53.44</v>
      </c>
      <c r="AE36" s="498">
        <v>0</v>
      </c>
      <c r="AF36" s="485">
        <f t="shared" si="16"/>
        <v>-53.44</v>
      </c>
      <c r="AG36" s="484">
        <f t="shared" si="17"/>
        <v>-62.77</v>
      </c>
      <c r="AH36" s="381">
        <f t="shared" si="18"/>
        <v>290.04000000000002</v>
      </c>
      <c r="AI36" s="483">
        <f t="shared" si="19"/>
        <v>940.81</v>
      </c>
      <c r="AJ36" s="483">
        <f t="shared" si="52"/>
        <v>1119.49</v>
      </c>
      <c r="AK36" s="83"/>
      <c r="AL36" s="114">
        <v>635.79999999999995</v>
      </c>
      <c r="AM36" s="497">
        <f t="shared" si="53"/>
        <v>866.4</v>
      </c>
      <c r="AN36" s="192">
        <f t="shared" si="22"/>
        <v>0</v>
      </c>
      <c r="AO36" s="114">
        <f t="shared" si="23"/>
        <v>-60.31</v>
      </c>
      <c r="AP36" s="137">
        <f t="shared" si="24"/>
        <v>0</v>
      </c>
      <c r="AQ36" s="137">
        <f t="shared" si="25"/>
        <v>14.97</v>
      </c>
      <c r="AR36" s="84">
        <f t="shared" si="26"/>
        <v>14.97</v>
      </c>
      <c r="AS36" s="84">
        <f t="shared" si="27"/>
        <v>0</v>
      </c>
      <c r="AT36" s="84">
        <f t="shared" si="28"/>
        <v>0</v>
      </c>
      <c r="AU36" s="84">
        <f t="shared" si="29"/>
        <v>0</v>
      </c>
      <c r="AV36" s="84">
        <f t="shared" si="30"/>
        <v>0</v>
      </c>
      <c r="AW36" s="487">
        <v>301</v>
      </c>
      <c r="AX36" s="137">
        <f t="shared" si="31"/>
        <v>33.42</v>
      </c>
      <c r="AY36" s="137">
        <f t="shared" si="32"/>
        <v>0</v>
      </c>
      <c r="AZ36" s="137">
        <f t="shared" si="33"/>
        <v>20.05</v>
      </c>
      <c r="BA36" s="137">
        <f t="shared" si="34"/>
        <v>-1.21</v>
      </c>
      <c r="BB36" s="137">
        <f t="shared" si="35"/>
        <v>-0.45</v>
      </c>
      <c r="BC36" s="84">
        <f t="shared" si="36"/>
        <v>51.81</v>
      </c>
      <c r="BD36" s="84">
        <f t="shared" si="37"/>
        <v>-9.33</v>
      </c>
      <c r="BE36" s="84">
        <f t="shared" si="38"/>
        <v>-53.44</v>
      </c>
      <c r="BF36" s="116">
        <f t="shared" si="39"/>
        <v>-62.77</v>
      </c>
      <c r="BG36" s="496">
        <f t="shared" si="40"/>
        <v>821.06</v>
      </c>
      <c r="BH36" s="496">
        <f t="shared" si="41"/>
        <v>290.04000000000002</v>
      </c>
      <c r="BI36" s="496">
        <f t="shared" si="42"/>
        <v>1111.0999999999999</v>
      </c>
    </row>
    <row r="37" spans="1:241" s="480" customFormat="1" ht="16.149999999999999" customHeight="1">
      <c r="A37" s="495" t="s">
        <v>214</v>
      </c>
      <c r="B37" s="599" t="s">
        <v>406</v>
      </c>
      <c r="C37" s="600" t="s">
        <v>62</v>
      </c>
      <c r="D37" s="601" t="s">
        <v>12</v>
      </c>
      <c r="E37" s="314">
        <v>16438</v>
      </c>
      <c r="F37" s="500">
        <v>10</v>
      </c>
      <c r="G37" s="602">
        <v>1108.29</v>
      </c>
      <c r="H37" s="603">
        <v>0</v>
      </c>
      <c r="I37" s="490">
        <f t="shared" si="0"/>
        <v>1108.29</v>
      </c>
      <c r="J37" s="604">
        <f t="shared" si="45"/>
        <v>1.7014689999999999E-2</v>
      </c>
      <c r="K37" s="484">
        <f t="shared" si="46"/>
        <v>-105.12</v>
      </c>
      <c r="L37" s="484">
        <f t="shared" si="43"/>
        <v>0</v>
      </c>
      <c r="M37" s="484">
        <f t="shared" si="47"/>
        <v>26.1</v>
      </c>
      <c r="N37" s="603">
        <f t="shared" si="4"/>
        <v>26.1</v>
      </c>
      <c r="O37" s="603">
        <f t="shared" si="54"/>
        <v>0</v>
      </c>
      <c r="P37" s="603">
        <f t="shared" si="54"/>
        <v>0</v>
      </c>
      <c r="Q37" s="603">
        <f t="shared" si="6"/>
        <v>0</v>
      </c>
      <c r="R37" s="484">
        <f t="shared" si="7"/>
        <v>0</v>
      </c>
      <c r="S37" s="603">
        <f t="shared" si="8"/>
        <v>1134.3900000000001</v>
      </c>
      <c r="T37" s="605">
        <f t="shared" si="48"/>
        <v>1354.98</v>
      </c>
      <c r="U37" s="606">
        <v>402.36</v>
      </c>
      <c r="V37" s="607">
        <f t="shared" si="10"/>
        <v>1.7014689999999999E-2</v>
      </c>
      <c r="W37" s="484">
        <f t="shared" si="49"/>
        <v>58.26</v>
      </c>
      <c r="X37" s="484">
        <v>0</v>
      </c>
      <c r="Y37" s="484">
        <f t="shared" si="50"/>
        <v>34.96</v>
      </c>
      <c r="Z37" s="484">
        <f t="shared" si="50"/>
        <v>-2.11</v>
      </c>
      <c r="AA37" s="484">
        <f t="shared" si="44"/>
        <v>-0.78</v>
      </c>
      <c r="AB37" s="603">
        <f t="shared" si="13"/>
        <v>90.33</v>
      </c>
      <c r="AC37" s="603">
        <f t="shared" si="51"/>
        <v>-16.260000000000002</v>
      </c>
      <c r="AD37" s="608">
        <f t="shared" si="15"/>
        <v>-133.6</v>
      </c>
      <c r="AE37" s="608">
        <v>0</v>
      </c>
      <c r="AF37" s="603">
        <f t="shared" si="16"/>
        <v>-133.6</v>
      </c>
      <c r="AG37" s="484">
        <f t="shared" si="17"/>
        <v>-149.86000000000001</v>
      </c>
      <c r="AH37" s="609">
        <f t="shared" si="18"/>
        <v>342.83</v>
      </c>
      <c r="AI37" s="610">
        <f t="shared" si="19"/>
        <v>1477.22</v>
      </c>
      <c r="AJ37" s="610">
        <f t="shared" si="52"/>
        <v>1757.78</v>
      </c>
      <c r="AK37" s="83"/>
      <c r="AL37" s="114">
        <v>1108.29</v>
      </c>
      <c r="AM37" s="497">
        <f t="shared" si="53"/>
        <v>1510.25</v>
      </c>
      <c r="AN37" s="192">
        <f t="shared" si="22"/>
        <v>0</v>
      </c>
      <c r="AO37" s="114">
        <f t="shared" si="23"/>
        <v>-105.12</v>
      </c>
      <c r="AP37" s="137">
        <f t="shared" si="24"/>
        <v>0</v>
      </c>
      <c r="AQ37" s="137">
        <f t="shared" si="25"/>
        <v>26.1</v>
      </c>
      <c r="AR37" s="84">
        <f t="shared" si="26"/>
        <v>26.1</v>
      </c>
      <c r="AS37" s="84">
        <f t="shared" si="27"/>
        <v>0</v>
      </c>
      <c r="AT37" s="84">
        <f t="shared" si="28"/>
        <v>0</v>
      </c>
      <c r="AU37" s="84">
        <f t="shared" si="29"/>
        <v>0</v>
      </c>
      <c r="AV37" s="84">
        <f t="shared" si="30"/>
        <v>0</v>
      </c>
      <c r="AW37" s="606">
        <v>402.36</v>
      </c>
      <c r="AX37" s="137">
        <f t="shared" si="31"/>
        <v>58.26</v>
      </c>
      <c r="AY37" s="137">
        <f t="shared" si="32"/>
        <v>0</v>
      </c>
      <c r="AZ37" s="137">
        <f t="shared" si="33"/>
        <v>34.96</v>
      </c>
      <c r="BA37" s="137">
        <f t="shared" si="34"/>
        <v>-2.11</v>
      </c>
      <c r="BB37" s="137">
        <f t="shared" si="35"/>
        <v>-0.78</v>
      </c>
      <c r="BC37" s="84">
        <f t="shared" si="36"/>
        <v>90.33</v>
      </c>
      <c r="BD37" s="84">
        <f t="shared" si="37"/>
        <v>-16.260000000000002</v>
      </c>
      <c r="BE37" s="84">
        <f t="shared" si="38"/>
        <v>-133.6</v>
      </c>
      <c r="BF37" s="116">
        <f t="shared" si="39"/>
        <v>-149.86000000000001</v>
      </c>
      <c r="BG37" s="496">
        <f t="shared" si="40"/>
        <v>1431.23</v>
      </c>
      <c r="BH37" s="496">
        <f t="shared" si="41"/>
        <v>342.83</v>
      </c>
      <c r="BI37" s="496">
        <f t="shared" si="42"/>
        <v>1774.06</v>
      </c>
    </row>
    <row r="38" spans="1:241" s="480" customFormat="1" ht="16.149999999999999" customHeight="1">
      <c r="A38" s="495" t="s">
        <v>214</v>
      </c>
      <c r="B38" s="599" t="s">
        <v>409</v>
      </c>
      <c r="C38" s="600" t="s">
        <v>62</v>
      </c>
      <c r="D38" s="601" t="s">
        <v>12</v>
      </c>
      <c r="E38" s="314">
        <v>18629</v>
      </c>
      <c r="F38" s="500">
        <v>10</v>
      </c>
      <c r="G38" s="602">
        <v>1108.28</v>
      </c>
      <c r="H38" s="603">
        <v>0</v>
      </c>
      <c r="I38" s="490">
        <f t="shared" si="0"/>
        <v>1108.28</v>
      </c>
      <c r="J38" s="604">
        <f t="shared" si="45"/>
        <v>1.7014540000000002E-2</v>
      </c>
      <c r="K38" s="484">
        <f t="shared" si="46"/>
        <v>-105.12</v>
      </c>
      <c r="L38" s="484">
        <f t="shared" si="43"/>
        <v>0</v>
      </c>
      <c r="M38" s="484">
        <f t="shared" si="47"/>
        <v>26.09</v>
      </c>
      <c r="N38" s="603">
        <f t="shared" si="4"/>
        <v>26.09</v>
      </c>
      <c r="O38" s="603">
        <f t="shared" si="54"/>
        <v>0</v>
      </c>
      <c r="P38" s="603">
        <f t="shared" si="54"/>
        <v>0</v>
      </c>
      <c r="Q38" s="603">
        <f t="shared" si="6"/>
        <v>0</v>
      </c>
      <c r="R38" s="484">
        <f t="shared" si="7"/>
        <v>0</v>
      </c>
      <c r="S38" s="603">
        <f t="shared" si="8"/>
        <v>1134.3699999999999</v>
      </c>
      <c r="T38" s="605">
        <f t="shared" si="48"/>
        <v>1354.96</v>
      </c>
      <c r="U38" s="606">
        <v>402.34</v>
      </c>
      <c r="V38" s="607">
        <f t="shared" si="10"/>
        <v>1.7014540000000002E-2</v>
      </c>
      <c r="W38" s="484">
        <f t="shared" si="49"/>
        <v>58.26</v>
      </c>
      <c r="X38" s="484">
        <v>0</v>
      </c>
      <c r="Y38" s="484">
        <f t="shared" si="50"/>
        <v>34.96</v>
      </c>
      <c r="Z38" s="484">
        <f t="shared" si="50"/>
        <v>-2.11</v>
      </c>
      <c r="AA38" s="484">
        <f t="shared" si="44"/>
        <v>-0.78</v>
      </c>
      <c r="AB38" s="603">
        <f t="shared" si="13"/>
        <v>90.33</v>
      </c>
      <c r="AC38" s="603">
        <f t="shared" si="51"/>
        <v>-16.260000000000002</v>
      </c>
      <c r="AD38" s="608">
        <f t="shared" si="15"/>
        <v>-133.6</v>
      </c>
      <c r="AE38" s="608">
        <v>0</v>
      </c>
      <c r="AF38" s="603">
        <f t="shared" si="16"/>
        <v>-133.6</v>
      </c>
      <c r="AG38" s="484">
        <f t="shared" si="17"/>
        <v>-149.86000000000001</v>
      </c>
      <c r="AH38" s="609">
        <f t="shared" si="18"/>
        <v>342.81</v>
      </c>
      <c r="AI38" s="610">
        <f t="shared" si="19"/>
        <v>1477.18</v>
      </c>
      <c r="AJ38" s="610">
        <f t="shared" si="52"/>
        <v>1757.73</v>
      </c>
      <c r="AK38" s="83"/>
      <c r="AL38" s="114">
        <v>1108.28</v>
      </c>
      <c r="AM38" s="497">
        <f t="shared" si="53"/>
        <v>1510.24</v>
      </c>
      <c r="AN38" s="192">
        <f t="shared" si="22"/>
        <v>0</v>
      </c>
      <c r="AO38" s="114">
        <f t="shared" si="23"/>
        <v>-105.12</v>
      </c>
      <c r="AP38" s="137">
        <f t="shared" si="24"/>
        <v>0</v>
      </c>
      <c r="AQ38" s="137">
        <f t="shared" si="25"/>
        <v>26.09</v>
      </c>
      <c r="AR38" s="84">
        <f t="shared" si="26"/>
        <v>26.09</v>
      </c>
      <c r="AS38" s="84">
        <f t="shared" si="27"/>
        <v>0</v>
      </c>
      <c r="AT38" s="84">
        <f t="shared" si="28"/>
        <v>0</v>
      </c>
      <c r="AU38" s="84">
        <f t="shared" si="29"/>
        <v>0</v>
      </c>
      <c r="AV38" s="84">
        <f t="shared" si="30"/>
        <v>0</v>
      </c>
      <c r="AW38" s="606">
        <v>402.34</v>
      </c>
      <c r="AX38" s="137">
        <f t="shared" si="31"/>
        <v>58.26</v>
      </c>
      <c r="AY38" s="137">
        <f t="shared" si="32"/>
        <v>0</v>
      </c>
      <c r="AZ38" s="137">
        <f t="shared" si="33"/>
        <v>34.96</v>
      </c>
      <c r="BA38" s="137">
        <f t="shared" si="34"/>
        <v>-2.11</v>
      </c>
      <c r="BB38" s="137">
        <f t="shared" si="35"/>
        <v>-0.78</v>
      </c>
      <c r="BC38" s="84">
        <f t="shared" si="36"/>
        <v>90.33</v>
      </c>
      <c r="BD38" s="84">
        <f t="shared" si="37"/>
        <v>-16.260000000000002</v>
      </c>
      <c r="BE38" s="84">
        <f t="shared" si="38"/>
        <v>-133.6</v>
      </c>
      <c r="BF38" s="116">
        <f t="shared" si="39"/>
        <v>-149.86000000000001</v>
      </c>
      <c r="BG38" s="496">
        <f t="shared" si="40"/>
        <v>1431.21</v>
      </c>
      <c r="BH38" s="496">
        <f t="shared" si="41"/>
        <v>342.81</v>
      </c>
      <c r="BI38" s="496">
        <f t="shared" si="42"/>
        <v>1774.02</v>
      </c>
    </row>
    <row r="39" spans="1:241" s="480" customFormat="1" ht="16.149999999999999" customHeight="1">
      <c r="A39" s="495" t="s">
        <v>214</v>
      </c>
      <c r="B39" s="599" t="s">
        <v>408</v>
      </c>
      <c r="C39" s="600" t="s">
        <v>62</v>
      </c>
      <c r="D39" s="601" t="s">
        <v>12</v>
      </c>
      <c r="E39" s="314">
        <v>18264</v>
      </c>
      <c r="F39" s="500">
        <v>10</v>
      </c>
      <c r="G39" s="602">
        <v>1108.26</v>
      </c>
      <c r="H39" s="603">
        <v>0</v>
      </c>
      <c r="I39" s="490">
        <f t="shared" si="0"/>
        <v>1108.26</v>
      </c>
      <c r="J39" s="604">
        <f t="shared" si="45"/>
        <v>1.7014230000000002E-2</v>
      </c>
      <c r="K39" s="484">
        <f t="shared" si="46"/>
        <v>-105.12</v>
      </c>
      <c r="L39" s="484">
        <f t="shared" si="43"/>
        <v>0</v>
      </c>
      <c r="M39" s="484">
        <f t="shared" si="47"/>
        <v>26.09</v>
      </c>
      <c r="N39" s="603">
        <f t="shared" si="4"/>
        <v>26.09</v>
      </c>
      <c r="O39" s="603">
        <f t="shared" si="54"/>
        <v>0</v>
      </c>
      <c r="P39" s="603">
        <f t="shared" si="54"/>
        <v>0</v>
      </c>
      <c r="Q39" s="603">
        <f t="shared" si="6"/>
        <v>0</v>
      </c>
      <c r="R39" s="484">
        <f t="shared" si="7"/>
        <v>0</v>
      </c>
      <c r="S39" s="603">
        <f t="shared" si="8"/>
        <v>1134.3499999999999</v>
      </c>
      <c r="T39" s="605">
        <f t="shared" si="48"/>
        <v>1354.93</v>
      </c>
      <c r="U39" s="606">
        <v>402.34</v>
      </c>
      <c r="V39" s="607">
        <f t="shared" si="10"/>
        <v>1.7014230000000002E-2</v>
      </c>
      <c r="W39" s="484">
        <f t="shared" si="49"/>
        <v>58.26</v>
      </c>
      <c r="X39" s="484">
        <v>0</v>
      </c>
      <c r="Y39" s="484">
        <f t="shared" si="50"/>
        <v>34.96</v>
      </c>
      <c r="Z39" s="484">
        <f t="shared" si="50"/>
        <v>-2.11</v>
      </c>
      <c r="AA39" s="484">
        <f t="shared" si="44"/>
        <v>-0.78</v>
      </c>
      <c r="AB39" s="603">
        <f t="shared" si="13"/>
        <v>90.33</v>
      </c>
      <c r="AC39" s="603">
        <f t="shared" si="51"/>
        <v>-16.260000000000002</v>
      </c>
      <c r="AD39" s="608">
        <f t="shared" si="15"/>
        <v>-133.6</v>
      </c>
      <c r="AE39" s="608">
        <v>0</v>
      </c>
      <c r="AF39" s="603">
        <f t="shared" si="16"/>
        <v>-133.6</v>
      </c>
      <c r="AG39" s="484">
        <f t="shared" si="17"/>
        <v>-149.86000000000001</v>
      </c>
      <c r="AH39" s="609">
        <f t="shared" si="18"/>
        <v>342.81</v>
      </c>
      <c r="AI39" s="610">
        <f t="shared" si="19"/>
        <v>1477.16</v>
      </c>
      <c r="AJ39" s="610">
        <f t="shared" si="52"/>
        <v>1757.71</v>
      </c>
      <c r="AK39" s="83"/>
      <c r="AL39" s="114">
        <v>1108.26</v>
      </c>
      <c r="AM39" s="497">
        <f t="shared" si="53"/>
        <v>1510.21</v>
      </c>
      <c r="AN39" s="192">
        <f t="shared" si="22"/>
        <v>0</v>
      </c>
      <c r="AO39" s="114">
        <f t="shared" si="23"/>
        <v>-105.12</v>
      </c>
      <c r="AP39" s="137">
        <f t="shared" si="24"/>
        <v>0</v>
      </c>
      <c r="AQ39" s="137">
        <f t="shared" si="25"/>
        <v>26.09</v>
      </c>
      <c r="AR39" s="84">
        <f t="shared" si="26"/>
        <v>26.09</v>
      </c>
      <c r="AS39" s="84">
        <f t="shared" si="27"/>
        <v>0</v>
      </c>
      <c r="AT39" s="84">
        <f t="shared" si="28"/>
        <v>0</v>
      </c>
      <c r="AU39" s="84">
        <f t="shared" si="29"/>
        <v>0</v>
      </c>
      <c r="AV39" s="84">
        <f t="shared" si="30"/>
        <v>0</v>
      </c>
      <c r="AW39" s="606">
        <v>402.34</v>
      </c>
      <c r="AX39" s="137">
        <f t="shared" si="31"/>
        <v>58.26</v>
      </c>
      <c r="AY39" s="137">
        <f t="shared" si="32"/>
        <v>0</v>
      </c>
      <c r="AZ39" s="137">
        <f t="shared" si="33"/>
        <v>34.96</v>
      </c>
      <c r="BA39" s="137">
        <f t="shared" si="34"/>
        <v>-2.11</v>
      </c>
      <c r="BB39" s="137">
        <f t="shared" si="35"/>
        <v>-0.78</v>
      </c>
      <c r="BC39" s="84">
        <f t="shared" si="36"/>
        <v>90.33</v>
      </c>
      <c r="BD39" s="84">
        <f t="shared" si="37"/>
        <v>-16.260000000000002</v>
      </c>
      <c r="BE39" s="84">
        <f t="shared" si="38"/>
        <v>-133.6</v>
      </c>
      <c r="BF39" s="116">
        <f t="shared" si="39"/>
        <v>-149.86000000000001</v>
      </c>
      <c r="BG39" s="496">
        <f t="shared" si="40"/>
        <v>1431.18</v>
      </c>
      <c r="BH39" s="496">
        <f t="shared" si="41"/>
        <v>342.81</v>
      </c>
      <c r="BI39" s="496">
        <f t="shared" si="42"/>
        <v>1773.99</v>
      </c>
    </row>
    <row r="40" spans="1:241" s="480" customFormat="1" ht="16.149999999999999" customHeight="1">
      <c r="A40" s="495" t="s">
        <v>214</v>
      </c>
      <c r="B40" s="599" t="s">
        <v>407</v>
      </c>
      <c r="C40" s="600" t="s">
        <v>62</v>
      </c>
      <c r="D40" s="601" t="s">
        <v>12</v>
      </c>
      <c r="E40" s="314">
        <v>16803</v>
      </c>
      <c r="F40" s="500">
        <v>10</v>
      </c>
      <c r="G40" s="602">
        <v>1108.29</v>
      </c>
      <c r="H40" s="603">
        <v>0</v>
      </c>
      <c r="I40" s="490">
        <f t="shared" si="0"/>
        <v>1108.29</v>
      </c>
      <c r="J40" s="604">
        <f t="shared" si="45"/>
        <v>1.7014689999999999E-2</v>
      </c>
      <c r="K40" s="484">
        <f t="shared" si="46"/>
        <v>-105.12</v>
      </c>
      <c r="L40" s="484">
        <f t="shared" si="43"/>
        <v>0</v>
      </c>
      <c r="M40" s="484">
        <f t="shared" si="47"/>
        <v>26.1</v>
      </c>
      <c r="N40" s="603">
        <f t="shared" si="4"/>
        <v>26.1</v>
      </c>
      <c r="O40" s="603">
        <f t="shared" si="54"/>
        <v>0</v>
      </c>
      <c r="P40" s="603">
        <f t="shared" si="54"/>
        <v>0</v>
      </c>
      <c r="Q40" s="603">
        <f t="shared" si="6"/>
        <v>0</v>
      </c>
      <c r="R40" s="484">
        <f t="shared" si="7"/>
        <v>0</v>
      </c>
      <c r="S40" s="603">
        <f t="shared" si="8"/>
        <v>1134.3900000000001</v>
      </c>
      <c r="T40" s="605">
        <f t="shared" si="48"/>
        <v>1354.98</v>
      </c>
      <c r="U40" s="606">
        <v>402.34</v>
      </c>
      <c r="V40" s="607">
        <f t="shared" si="10"/>
        <v>1.7014689999999999E-2</v>
      </c>
      <c r="W40" s="484">
        <f t="shared" si="49"/>
        <v>58.26</v>
      </c>
      <c r="X40" s="484">
        <v>0</v>
      </c>
      <c r="Y40" s="484">
        <f t="shared" si="50"/>
        <v>34.96</v>
      </c>
      <c r="Z40" s="484">
        <f t="shared" si="50"/>
        <v>-2.11</v>
      </c>
      <c r="AA40" s="484">
        <f t="shared" si="44"/>
        <v>-0.78</v>
      </c>
      <c r="AB40" s="603">
        <f t="shared" si="13"/>
        <v>90.33</v>
      </c>
      <c r="AC40" s="603">
        <f t="shared" si="51"/>
        <v>-16.260000000000002</v>
      </c>
      <c r="AD40" s="608">
        <f t="shared" si="15"/>
        <v>-133.6</v>
      </c>
      <c r="AE40" s="608">
        <v>0</v>
      </c>
      <c r="AF40" s="603">
        <f t="shared" si="16"/>
        <v>-133.6</v>
      </c>
      <c r="AG40" s="484">
        <f t="shared" si="17"/>
        <v>-149.86000000000001</v>
      </c>
      <c r="AH40" s="609">
        <f t="shared" si="18"/>
        <v>342.81</v>
      </c>
      <c r="AI40" s="610">
        <f t="shared" si="19"/>
        <v>1477.2</v>
      </c>
      <c r="AJ40" s="610">
        <f t="shared" si="52"/>
        <v>1757.75</v>
      </c>
      <c r="AK40" s="83"/>
      <c r="AL40" s="114">
        <v>1108.29</v>
      </c>
      <c r="AM40" s="497">
        <f t="shared" si="53"/>
        <v>1510.25</v>
      </c>
      <c r="AN40" s="192">
        <f t="shared" si="22"/>
        <v>0</v>
      </c>
      <c r="AO40" s="114">
        <f t="shared" si="23"/>
        <v>-105.12</v>
      </c>
      <c r="AP40" s="137">
        <f t="shared" si="24"/>
        <v>0</v>
      </c>
      <c r="AQ40" s="137">
        <f t="shared" si="25"/>
        <v>26.1</v>
      </c>
      <c r="AR40" s="84">
        <f t="shared" si="26"/>
        <v>26.1</v>
      </c>
      <c r="AS40" s="84">
        <f t="shared" si="27"/>
        <v>0</v>
      </c>
      <c r="AT40" s="84">
        <f t="shared" si="28"/>
        <v>0</v>
      </c>
      <c r="AU40" s="84">
        <f t="shared" si="29"/>
        <v>0</v>
      </c>
      <c r="AV40" s="84">
        <f t="shared" si="30"/>
        <v>0</v>
      </c>
      <c r="AW40" s="606">
        <v>402.34</v>
      </c>
      <c r="AX40" s="137">
        <f t="shared" si="31"/>
        <v>58.26</v>
      </c>
      <c r="AY40" s="137">
        <f t="shared" si="32"/>
        <v>0</v>
      </c>
      <c r="AZ40" s="137">
        <f t="shared" si="33"/>
        <v>34.96</v>
      </c>
      <c r="BA40" s="137">
        <f t="shared" si="34"/>
        <v>-2.11</v>
      </c>
      <c r="BB40" s="137">
        <f t="shared" si="35"/>
        <v>-0.78</v>
      </c>
      <c r="BC40" s="84">
        <f t="shared" si="36"/>
        <v>90.33</v>
      </c>
      <c r="BD40" s="84">
        <f t="shared" si="37"/>
        <v>-16.260000000000002</v>
      </c>
      <c r="BE40" s="84">
        <f t="shared" si="38"/>
        <v>-133.6</v>
      </c>
      <c r="BF40" s="116">
        <f t="shared" si="39"/>
        <v>-149.86000000000001</v>
      </c>
      <c r="BG40" s="496">
        <f t="shared" si="40"/>
        <v>1431.23</v>
      </c>
      <c r="BH40" s="496">
        <f t="shared" si="41"/>
        <v>342.81</v>
      </c>
      <c r="BI40" s="496">
        <f t="shared" si="42"/>
        <v>1774.04</v>
      </c>
    </row>
    <row r="41" spans="1:241" s="480" customFormat="1" ht="16.149999999999999" customHeight="1">
      <c r="A41" s="495" t="s">
        <v>214</v>
      </c>
      <c r="B41" s="494" t="s">
        <v>450</v>
      </c>
      <c r="C41" s="493" t="s">
        <v>62</v>
      </c>
      <c r="D41" s="385" t="s">
        <v>12</v>
      </c>
      <c r="E41" s="314">
        <v>17899</v>
      </c>
      <c r="F41" s="500">
        <v>2</v>
      </c>
      <c r="G41" s="491">
        <v>317.89999999999998</v>
      </c>
      <c r="H41" s="485">
        <v>0</v>
      </c>
      <c r="I41" s="490">
        <f t="shared" si="0"/>
        <v>317.89999999999998</v>
      </c>
      <c r="J41" s="489">
        <f t="shared" si="45"/>
        <v>4.8804699999999996E-3</v>
      </c>
      <c r="K41" s="484">
        <f t="shared" si="46"/>
        <v>-30.15</v>
      </c>
      <c r="L41" s="484">
        <f t="shared" si="43"/>
        <v>0</v>
      </c>
      <c r="M41" s="484">
        <f t="shared" si="47"/>
        <v>7.49</v>
      </c>
      <c r="N41" s="485">
        <f t="shared" si="4"/>
        <v>7.49</v>
      </c>
      <c r="O41" s="485">
        <f t="shared" si="54"/>
        <v>0</v>
      </c>
      <c r="P41" s="485">
        <f t="shared" si="54"/>
        <v>0</v>
      </c>
      <c r="Q41" s="485">
        <f t="shared" si="6"/>
        <v>0</v>
      </c>
      <c r="R41" s="484">
        <f t="shared" si="7"/>
        <v>0</v>
      </c>
      <c r="S41" s="485">
        <f t="shared" si="8"/>
        <v>325.39</v>
      </c>
      <c r="T41" s="488">
        <f t="shared" si="48"/>
        <v>388.66</v>
      </c>
      <c r="U41" s="487">
        <v>150.51</v>
      </c>
      <c r="V41" s="486">
        <f t="shared" si="10"/>
        <v>4.8804699999999996E-3</v>
      </c>
      <c r="W41" s="484">
        <f t="shared" si="49"/>
        <v>16.71</v>
      </c>
      <c r="X41" s="484">
        <v>0</v>
      </c>
      <c r="Y41" s="484">
        <f t="shared" si="50"/>
        <v>10.029999999999999</v>
      </c>
      <c r="Z41" s="484">
        <f t="shared" si="50"/>
        <v>-0.6</v>
      </c>
      <c r="AA41" s="484">
        <f t="shared" si="44"/>
        <v>-0.22</v>
      </c>
      <c r="AB41" s="485">
        <f t="shared" si="13"/>
        <v>25.92</v>
      </c>
      <c r="AC41" s="485">
        <f t="shared" si="51"/>
        <v>-4.66</v>
      </c>
      <c r="AD41" s="498">
        <f t="shared" si="15"/>
        <v>-26.72</v>
      </c>
      <c r="AE41" s="498">
        <v>0</v>
      </c>
      <c r="AF41" s="485">
        <f t="shared" si="16"/>
        <v>-26.72</v>
      </c>
      <c r="AG41" s="484">
        <f t="shared" si="17"/>
        <v>-31.38</v>
      </c>
      <c r="AH41" s="381">
        <f t="shared" si="18"/>
        <v>145.05000000000001</v>
      </c>
      <c r="AI41" s="483">
        <f t="shared" si="19"/>
        <v>470.44</v>
      </c>
      <c r="AJ41" s="483">
        <f t="shared" si="52"/>
        <v>559.79</v>
      </c>
      <c r="AK41" s="83"/>
      <c r="AL41" s="114">
        <v>317.89999999999998</v>
      </c>
      <c r="AM41" s="497">
        <f t="shared" si="53"/>
        <v>433.2</v>
      </c>
      <c r="AN41" s="192">
        <f t="shared" si="22"/>
        <v>0</v>
      </c>
      <c r="AO41" s="114">
        <f t="shared" si="23"/>
        <v>-30.15</v>
      </c>
      <c r="AP41" s="137">
        <f t="shared" si="24"/>
        <v>0</v>
      </c>
      <c r="AQ41" s="137">
        <f t="shared" si="25"/>
        <v>7.49</v>
      </c>
      <c r="AR41" s="84">
        <f t="shared" si="26"/>
        <v>7.49</v>
      </c>
      <c r="AS41" s="84">
        <f t="shared" si="27"/>
        <v>0</v>
      </c>
      <c r="AT41" s="84">
        <f t="shared" si="28"/>
        <v>0</v>
      </c>
      <c r="AU41" s="84">
        <f t="shared" si="29"/>
        <v>0</v>
      </c>
      <c r="AV41" s="84">
        <f t="shared" si="30"/>
        <v>0</v>
      </c>
      <c r="AW41" s="487">
        <v>150.51</v>
      </c>
      <c r="AX41" s="137">
        <f t="shared" si="31"/>
        <v>16.71</v>
      </c>
      <c r="AY41" s="137">
        <f t="shared" si="32"/>
        <v>0</v>
      </c>
      <c r="AZ41" s="137">
        <f t="shared" si="33"/>
        <v>10.029999999999999</v>
      </c>
      <c r="BA41" s="137">
        <f t="shared" si="34"/>
        <v>-0.6</v>
      </c>
      <c r="BB41" s="137">
        <f t="shared" si="35"/>
        <v>-0.22</v>
      </c>
      <c r="BC41" s="84">
        <f t="shared" si="36"/>
        <v>25.92</v>
      </c>
      <c r="BD41" s="84">
        <f t="shared" si="37"/>
        <v>-4.66</v>
      </c>
      <c r="BE41" s="84">
        <f t="shared" si="38"/>
        <v>-26.72</v>
      </c>
      <c r="BF41" s="116">
        <f t="shared" si="39"/>
        <v>-31.38</v>
      </c>
      <c r="BG41" s="496">
        <f t="shared" si="40"/>
        <v>410.54</v>
      </c>
      <c r="BH41" s="496">
        <f t="shared" si="41"/>
        <v>145.05000000000001</v>
      </c>
      <c r="BI41" s="496">
        <f t="shared" si="42"/>
        <v>555.59</v>
      </c>
    </row>
    <row r="42" spans="1:241" s="480" customFormat="1" ht="16.149999999999999" customHeight="1">
      <c r="A42" s="495" t="s">
        <v>214</v>
      </c>
      <c r="B42" s="599" t="s">
        <v>412</v>
      </c>
      <c r="C42" s="600" t="s">
        <v>62</v>
      </c>
      <c r="D42" s="601" t="s">
        <v>12</v>
      </c>
      <c r="E42" s="314">
        <v>10228</v>
      </c>
      <c r="F42" s="500">
        <v>6</v>
      </c>
      <c r="G42" s="602">
        <v>1108.29</v>
      </c>
      <c r="H42" s="603">
        <v>0</v>
      </c>
      <c r="I42" s="490">
        <f t="shared" si="0"/>
        <v>1108.29</v>
      </c>
      <c r="J42" s="604">
        <f t="shared" si="45"/>
        <v>1.7014689999999999E-2</v>
      </c>
      <c r="K42" s="484">
        <f t="shared" si="46"/>
        <v>-105.12</v>
      </c>
      <c r="L42" s="484">
        <f t="shared" si="43"/>
        <v>0</v>
      </c>
      <c r="M42" s="484">
        <f t="shared" si="47"/>
        <v>26.1</v>
      </c>
      <c r="N42" s="603">
        <f t="shared" si="4"/>
        <v>26.1</v>
      </c>
      <c r="O42" s="603">
        <f t="shared" si="54"/>
        <v>0</v>
      </c>
      <c r="P42" s="603">
        <f t="shared" si="54"/>
        <v>0</v>
      </c>
      <c r="Q42" s="603">
        <f t="shared" si="6"/>
        <v>0</v>
      </c>
      <c r="R42" s="484">
        <f t="shared" si="7"/>
        <v>0</v>
      </c>
      <c r="S42" s="603">
        <f t="shared" si="8"/>
        <v>1134.3900000000001</v>
      </c>
      <c r="T42" s="605">
        <f t="shared" si="48"/>
        <v>1354.98</v>
      </c>
      <c r="U42" s="606">
        <v>563.97</v>
      </c>
      <c r="V42" s="607">
        <f t="shared" si="10"/>
        <v>1.7014689999999999E-2</v>
      </c>
      <c r="W42" s="484">
        <f t="shared" si="49"/>
        <v>58.26</v>
      </c>
      <c r="X42" s="484">
        <v>0</v>
      </c>
      <c r="Y42" s="484">
        <f t="shared" si="50"/>
        <v>34.96</v>
      </c>
      <c r="Z42" s="484">
        <f t="shared" si="50"/>
        <v>-2.11</v>
      </c>
      <c r="AA42" s="484">
        <f t="shared" si="44"/>
        <v>-0.78</v>
      </c>
      <c r="AB42" s="603">
        <f t="shared" si="13"/>
        <v>90.33</v>
      </c>
      <c r="AC42" s="603">
        <f t="shared" si="51"/>
        <v>-16.260000000000002</v>
      </c>
      <c r="AD42" s="608">
        <f t="shared" si="15"/>
        <v>-80.16</v>
      </c>
      <c r="AE42" s="608">
        <v>0</v>
      </c>
      <c r="AF42" s="603">
        <f t="shared" si="16"/>
        <v>-80.16</v>
      </c>
      <c r="AG42" s="484">
        <f t="shared" si="17"/>
        <v>-96.42</v>
      </c>
      <c r="AH42" s="609">
        <f t="shared" si="18"/>
        <v>557.88</v>
      </c>
      <c r="AI42" s="610">
        <f t="shared" si="19"/>
        <v>1692.27</v>
      </c>
      <c r="AJ42" s="610">
        <f t="shared" si="52"/>
        <v>2013.67</v>
      </c>
      <c r="AK42" s="83"/>
      <c r="AL42" s="114">
        <v>1108.29</v>
      </c>
      <c r="AM42" s="497">
        <f t="shared" si="53"/>
        <v>1510.25</v>
      </c>
      <c r="AN42" s="192">
        <f t="shared" si="22"/>
        <v>0</v>
      </c>
      <c r="AO42" s="114">
        <f t="shared" si="23"/>
        <v>-105.12</v>
      </c>
      <c r="AP42" s="137">
        <f t="shared" si="24"/>
        <v>0</v>
      </c>
      <c r="AQ42" s="137">
        <f t="shared" si="25"/>
        <v>26.1</v>
      </c>
      <c r="AR42" s="84">
        <f t="shared" si="26"/>
        <v>26.1</v>
      </c>
      <c r="AS42" s="84">
        <f t="shared" si="27"/>
        <v>0</v>
      </c>
      <c r="AT42" s="84">
        <f t="shared" si="28"/>
        <v>0</v>
      </c>
      <c r="AU42" s="84">
        <f t="shared" si="29"/>
        <v>0</v>
      </c>
      <c r="AV42" s="84">
        <f t="shared" si="30"/>
        <v>0</v>
      </c>
      <c r="AW42" s="606">
        <v>563.97</v>
      </c>
      <c r="AX42" s="137">
        <f t="shared" si="31"/>
        <v>58.26</v>
      </c>
      <c r="AY42" s="137">
        <f t="shared" si="32"/>
        <v>0</v>
      </c>
      <c r="AZ42" s="137">
        <f t="shared" si="33"/>
        <v>34.96</v>
      </c>
      <c r="BA42" s="137">
        <f t="shared" si="34"/>
        <v>-2.11</v>
      </c>
      <c r="BB42" s="137">
        <f t="shared" si="35"/>
        <v>-0.78</v>
      </c>
      <c r="BC42" s="84">
        <f t="shared" si="36"/>
        <v>90.33</v>
      </c>
      <c r="BD42" s="84">
        <f t="shared" si="37"/>
        <v>-16.260000000000002</v>
      </c>
      <c r="BE42" s="84">
        <f t="shared" si="38"/>
        <v>-80.16</v>
      </c>
      <c r="BF42" s="116">
        <f t="shared" si="39"/>
        <v>-96.42</v>
      </c>
      <c r="BG42" s="496">
        <f t="shared" si="40"/>
        <v>1431.23</v>
      </c>
      <c r="BH42" s="496">
        <f t="shared" si="41"/>
        <v>557.88</v>
      </c>
      <c r="BI42" s="496">
        <f t="shared" si="42"/>
        <v>1989.11</v>
      </c>
    </row>
    <row r="43" spans="1:241" s="480" customFormat="1" ht="16.149999999999999" customHeight="1">
      <c r="A43" s="495" t="s">
        <v>214</v>
      </c>
      <c r="B43" s="599" t="s">
        <v>410</v>
      </c>
      <c r="C43" s="600" t="s">
        <v>62</v>
      </c>
      <c r="D43" s="601" t="s">
        <v>12</v>
      </c>
      <c r="E43" s="314">
        <v>19725</v>
      </c>
      <c r="F43" s="500">
        <v>2</v>
      </c>
      <c r="G43" s="602">
        <v>415.73</v>
      </c>
      <c r="H43" s="603">
        <v>0</v>
      </c>
      <c r="I43" s="490">
        <f t="shared" si="0"/>
        <v>415.73</v>
      </c>
      <c r="J43" s="604">
        <f t="shared" si="45"/>
        <v>6.3823700000000001E-3</v>
      </c>
      <c r="K43" s="484">
        <f t="shared" si="46"/>
        <v>-39.43</v>
      </c>
      <c r="L43" s="484">
        <f t="shared" si="43"/>
        <v>0</v>
      </c>
      <c r="M43" s="484">
        <f t="shared" si="47"/>
        <v>9.7899999999999991</v>
      </c>
      <c r="N43" s="603">
        <f t="shared" si="4"/>
        <v>9.7899999999999991</v>
      </c>
      <c r="O43" s="603">
        <f t="shared" si="54"/>
        <v>0</v>
      </c>
      <c r="P43" s="603">
        <f t="shared" si="54"/>
        <v>0</v>
      </c>
      <c r="Q43" s="603">
        <f t="shared" si="6"/>
        <v>0</v>
      </c>
      <c r="R43" s="484">
        <f t="shared" si="7"/>
        <v>0</v>
      </c>
      <c r="S43" s="603">
        <f t="shared" si="8"/>
        <v>425.52</v>
      </c>
      <c r="T43" s="605">
        <f t="shared" si="48"/>
        <v>508.27</v>
      </c>
      <c r="U43" s="606">
        <v>221.68</v>
      </c>
      <c r="V43" s="607">
        <f t="shared" si="10"/>
        <v>6.3823700000000001E-3</v>
      </c>
      <c r="W43" s="484">
        <f t="shared" si="49"/>
        <v>21.85</v>
      </c>
      <c r="X43" s="484">
        <v>0</v>
      </c>
      <c r="Y43" s="484">
        <f t="shared" si="50"/>
        <v>13.11</v>
      </c>
      <c r="Z43" s="484">
        <f t="shared" si="50"/>
        <v>-0.79</v>
      </c>
      <c r="AA43" s="484">
        <f t="shared" si="44"/>
        <v>-0.28999999999999998</v>
      </c>
      <c r="AB43" s="603">
        <f t="shared" si="13"/>
        <v>33.880000000000003</v>
      </c>
      <c r="AC43" s="603">
        <f t="shared" si="51"/>
        <v>-6.1</v>
      </c>
      <c r="AD43" s="608">
        <f t="shared" si="15"/>
        <v>-26.72</v>
      </c>
      <c r="AE43" s="608">
        <v>0</v>
      </c>
      <c r="AF43" s="603">
        <f t="shared" si="16"/>
        <v>-26.72</v>
      </c>
      <c r="AG43" s="484">
        <f t="shared" si="17"/>
        <v>-32.82</v>
      </c>
      <c r="AH43" s="609">
        <f t="shared" si="18"/>
        <v>222.74</v>
      </c>
      <c r="AI43" s="610">
        <f t="shared" si="19"/>
        <v>648.26</v>
      </c>
      <c r="AJ43" s="610">
        <f t="shared" si="52"/>
        <v>771.38</v>
      </c>
      <c r="AK43" s="83"/>
      <c r="AL43" s="114">
        <v>415.73</v>
      </c>
      <c r="AM43" s="497">
        <f t="shared" si="53"/>
        <v>566.51</v>
      </c>
      <c r="AN43" s="192">
        <f t="shared" si="22"/>
        <v>0</v>
      </c>
      <c r="AO43" s="114">
        <f t="shared" si="23"/>
        <v>-39.43</v>
      </c>
      <c r="AP43" s="137">
        <f t="shared" si="24"/>
        <v>0</v>
      </c>
      <c r="AQ43" s="137">
        <f t="shared" si="25"/>
        <v>9.7899999999999991</v>
      </c>
      <c r="AR43" s="84">
        <f t="shared" si="26"/>
        <v>9.7899999999999991</v>
      </c>
      <c r="AS43" s="84">
        <f t="shared" si="27"/>
        <v>0</v>
      </c>
      <c r="AT43" s="84">
        <f t="shared" si="28"/>
        <v>0</v>
      </c>
      <c r="AU43" s="84">
        <f t="shared" si="29"/>
        <v>0</v>
      </c>
      <c r="AV43" s="84">
        <f t="shared" si="30"/>
        <v>0</v>
      </c>
      <c r="AW43" s="606">
        <v>221.68</v>
      </c>
      <c r="AX43" s="137">
        <f t="shared" si="31"/>
        <v>21.85</v>
      </c>
      <c r="AY43" s="137">
        <f t="shared" si="32"/>
        <v>0</v>
      </c>
      <c r="AZ43" s="137">
        <f t="shared" si="33"/>
        <v>13.11</v>
      </c>
      <c r="BA43" s="137">
        <f t="shared" si="34"/>
        <v>-0.79</v>
      </c>
      <c r="BB43" s="137">
        <f t="shared" si="35"/>
        <v>-0.28999999999999998</v>
      </c>
      <c r="BC43" s="84">
        <f t="shared" si="36"/>
        <v>33.880000000000003</v>
      </c>
      <c r="BD43" s="84">
        <f t="shared" si="37"/>
        <v>-6.1</v>
      </c>
      <c r="BE43" s="84">
        <f t="shared" si="38"/>
        <v>-26.72</v>
      </c>
      <c r="BF43" s="116">
        <f t="shared" si="39"/>
        <v>-32.82</v>
      </c>
      <c r="BG43" s="496">
        <f t="shared" si="40"/>
        <v>536.87</v>
      </c>
      <c r="BH43" s="496">
        <f t="shared" si="41"/>
        <v>222.74</v>
      </c>
      <c r="BI43" s="496">
        <f t="shared" si="42"/>
        <v>759.61</v>
      </c>
    </row>
    <row r="44" spans="1:241" s="581" customFormat="1" ht="16.149999999999999" customHeight="1">
      <c r="A44" s="495" t="s">
        <v>214</v>
      </c>
      <c r="B44" s="599" t="s">
        <v>411</v>
      </c>
      <c r="C44" s="600" t="s">
        <v>62</v>
      </c>
      <c r="D44" s="601" t="s">
        <v>12</v>
      </c>
      <c r="E44" s="314">
        <v>5845</v>
      </c>
      <c r="F44" s="500">
        <v>10</v>
      </c>
      <c r="G44" s="602">
        <v>1108.29</v>
      </c>
      <c r="H44" s="603">
        <v>0</v>
      </c>
      <c r="I44" s="490">
        <f t="shared" ref="I44:I75" si="55">G44+H44</f>
        <v>1108.29</v>
      </c>
      <c r="J44" s="604">
        <f t="shared" si="45"/>
        <v>1.7014689999999999E-2</v>
      </c>
      <c r="K44" s="484">
        <f t="shared" si="46"/>
        <v>-105.12</v>
      </c>
      <c r="L44" s="484">
        <f t="shared" si="43"/>
        <v>0</v>
      </c>
      <c r="M44" s="484">
        <f t="shared" si="47"/>
        <v>26.1</v>
      </c>
      <c r="N44" s="603">
        <f t="shared" ref="N44:N75" si="56">L44+M44</f>
        <v>26.1</v>
      </c>
      <c r="O44" s="603">
        <f t="shared" si="54"/>
        <v>0</v>
      </c>
      <c r="P44" s="603">
        <f t="shared" si="54"/>
        <v>0</v>
      </c>
      <c r="Q44" s="603">
        <f t="shared" ref="Q44:Q75" si="57">Q$89*J44</f>
        <v>0</v>
      </c>
      <c r="R44" s="484">
        <f t="shared" ref="R44:R75" si="58">P44+Q44</f>
        <v>0</v>
      </c>
      <c r="S44" s="603">
        <f t="shared" ref="S44:S75" si="59">G44+H44+N44+O44+R44</f>
        <v>1134.3900000000001</v>
      </c>
      <c r="T44" s="605">
        <f t="shared" si="48"/>
        <v>1354.98</v>
      </c>
      <c r="U44" s="606">
        <v>402.34</v>
      </c>
      <c r="V44" s="607">
        <f t="shared" ref="V44:V75" si="60">J44</f>
        <v>1.7014689999999999E-2</v>
      </c>
      <c r="W44" s="484">
        <f t="shared" si="49"/>
        <v>58.26</v>
      </c>
      <c r="X44" s="484">
        <v>0</v>
      </c>
      <c r="Y44" s="484">
        <f t="shared" si="50"/>
        <v>34.96</v>
      </c>
      <c r="Z44" s="484">
        <f t="shared" si="50"/>
        <v>-2.11</v>
      </c>
      <c r="AA44" s="484">
        <f t="shared" si="44"/>
        <v>-0.78</v>
      </c>
      <c r="AB44" s="603">
        <f t="shared" ref="AB44:AB75" si="61">SUM(W44:AA44)</f>
        <v>90.33</v>
      </c>
      <c r="AC44" s="603">
        <f t="shared" si="51"/>
        <v>-16.260000000000002</v>
      </c>
      <c r="AD44" s="608">
        <f t="shared" ref="AD44:AD75" si="62">(F44/F$89)*AD$89</f>
        <v>-133.6</v>
      </c>
      <c r="AE44" s="608">
        <v>0</v>
      </c>
      <c r="AF44" s="603">
        <f t="shared" ref="AF44:AF75" si="63">AD44+AE44</f>
        <v>-133.6</v>
      </c>
      <c r="AG44" s="484">
        <f t="shared" ref="AG44:AG75" si="64">AC44+AF44</f>
        <v>-149.86000000000001</v>
      </c>
      <c r="AH44" s="609">
        <f t="shared" ref="AH44:AH75" si="65">U44+AB44+AG44</f>
        <v>342.81</v>
      </c>
      <c r="AI44" s="610">
        <f t="shared" ref="AI44:AI75" si="66">S44+AH44</f>
        <v>1477.2</v>
      </c>
      <c r="AJ44" s="610">
        <f t="shared" si="52"/>
        <v>1757.75</v>
      </c>
      <c r="AK44" s="83"/>
      <c r="AL44" s="114">
        <v>1108.29</v>
      </c>
      <c r="AM44" s="497">
        <f t="shared" si="53"/>
        <v>1510.25</v>
      </c>
      <c r="AN44" s="192">
        <f t="shared" ref="AN44:AN75" si="67">H44</f>
        <v>0</v>
      </c>
      <c r="AO44" s="114">
        <f t="shared" ref="AO44:AO75" si="68">K44</f>
        <v>-105.12</v>
      </c>
      <c r="AP44" s="137">
        <f t="shared" ref="AP44:AP75" si="69">L44</f>
        <v>0</v>
      </c>
      <c r="AQ44" s="137">
        <f t="shared" ref="AQ44:AQ75" si="70">M44</f>
        <v>26.1</v>
      </c>
      <c r="AR44" s="84">
        <f t="shared" ref="AR44:AR75" si="71">AP44+AQ44</f>
        <v>26.1</v>
      </c>
      <c r="AS44" s="84">
        <f t="shared" ref="AS44:AS75" si="72">O44</f>
        <v>0</v>
      </c>
      <c r="AT44" s="84">
        <f t="shared" ref="AT44:AT75" si="73">P44</f>
        <v>0</v>
      </c>
      <c r="AU44" s="84">
        <f t="shared" ref="AU44:AU75" si="74">Q44</f>
        <v>0</v>
      </c>
      <c r="AV44" s="84">
        <f t="shared" ref="AV44:AV75" si="75">AT44+AU44</f>
        <v>0</v>
      </c>
      <c r="AW44" s="606">
        <v>402.34</v>
      </c>
      <c r="AX44" s="137">
        <f t="shared" ref="AX44:AX75" si="76">W44</f>
        <v>58.26</v>
      </c>
      <c r="AY44" s="137">
        <f t="shared" ref="AY44:AY75" si="77">X44</f>
        <v>0</v>
      </c>
      <c r="AZ44" s="137">
        <f t="shared" ref="AZ44:AZ75" si="78">Y44</f>
        <v>34.96</v>
      </c>
      <c r="BA44" s="137">
        <f t="shared" ref="BA44:BA75" si="79">Z44</f>
        <v>-2.11</v>
      </c>
      <c r="BB44" s="137">
        <f t="shared" ref="BB44:BB75" si="80">AA44</f>
        <v>-0.78</v>
      </c>
      <c r="BC44" s="84">
        <f t="shared" ref="BC44:BC75" si="81">SUM(AX44:BB44)</f>
        <v>90.33</v>
      </c>
      <c r="BD44" s="84">
        <f t="shared" ref="BD44:BD75" si="82">AC44</f>
        <v>-16.260000000000002</v>
      </c>
      <c r="BE44" s="84">
        <f t="shared" ref="BE44:BE75" si="83">AF44</f>
        <v>-133.6</v>
      </c>
      <c r="BF44" s="116">
        <f t="shared" ref="BF44:BF75" si="84">BD44+BE44</f>
        <v>-149.86000000000001</v>
      </c>
      <c r="BG44" s="496">
        <f t="shared" ref="BG44:BG75" si="85">AM44+AN44+AO44+AR44+AS44+AV44</f>
        <v>1431.23</v>
      </c>
      <c r="BH44" s="496">
        <f t="shared" ref="BH44:BH75" si="86">AW44+BC44+BF44</f>
        <v>342.81</v>
      </c>
      <c r="BI44" s="496">
        <f t="shared" ref="BI44:BI75" si="87">AM44+AN44+AO44+AR44+AS44+AV44+AW44+BC44+BF44</f>
        <v>1774.04</v>
      </c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  <c r="DW44" s="480"/>
      <c r="DX44" s="480"/>
      <c r="DY44" s="480"/>
      <c r="DZ44" s="480"/>
      <c r="EA44" s="480"/>
      <c r="EB44" s="480"/>
      <c r="EC44" s="480"/>
      <c r="ED44" s="480"/>
      <c r="EE44" s="480"/>
      <c r="EF44" s="480"/>
      <c r="EG44" s="480"/>
      <c r="EH44" s="480"/>
      <c r="EI44" s="480"/>
      <c r="EJ44" s="480"/>
      <c r="EK44" s="480"/>
      <c r="EL44" s="480"/>
      <c r="EM44" s="480"/>
      <c r="EN44" s="480"/>
      <c r="EO44" s="480"/>
      <c r="EP44" s="480"/>
      <c r="EQ44" s="480"/>
      <c r="ER44" s="480"/>
      <c r="ES44" s="480"/>
      <c r="ET44" s="480"/>
      <c r="EU44" s="480"/>
      <c r="EV44" s="480"/>
      <c r="EW44" s="480"/>
      <c r="EX44" s="480"/>
      <c r="EY44" s="480"/>
      <c r="EZ44" s="480"/>
      <c r="FA44" s="480"/>
      <c r="FB44" s="480"/>
      <c r="FC44" s="480"/>
      <c r="FD44" s="480"/>
      <c r="FE44" s="480"/>
      <c r="FF44" s="480"/>
      <c r="FG44" s="480"/>
      <c r="FH44" s="480"/>
      <c r="FI44" s="480"/>
      <c r="FJ44" s="480"/>
      <c r="FK44" s="480"/>
      <c r="FL44" s="480"/>
      <c r="FM44" s="480"/>
      <c r="FN44" s="480"/>
      <c r="FO44" s="480"/>
      <c r="FP44" s="480"/>
      <c r="FQ44" s="480"/>
      <c r="FR44" s="480"/>
      <c r="FS44" s="480"/>
      <c r="FT44" s="480"/>
      <c r="FU44" s="480"/>
      <c r="FV44" s="480"/>
      <c r="FW44" s="480"/>
      <c r="FX44" s="480"/>
      <c r="FY44" s="480"/>
      <c r="FZ44" s="480"/>
      <c r="GA44" s="480"/>
      <c r="GB44" s="480"/>
      <c r="GC44" s="480"/>
      <c r="GD44" s="480"/>
      <c r="GE44" s="480"/>
      <c r="GF44" s="480"/>
      <c r="GG44" s="480"/>
      <c r="GH44" s="480"/>
      <c r="GI44" s="480"/>
      <c r="GJ44" s="480"/>
      <c r="GK44" s="480"/>
      <c r="GL44" s="480"/>
      <c r="GM44" s="480"/>
      <c r="GN44" s="480"/>
      <c r="GO44" s="480"/>
      <c r="GP44" s="480"/>
      <c r="GQ44" s="480"/>
      <c r="GR44" s="480"/>
      <c r="GS44" s="480"/>
      <c r="GT44" s="480"/>
      <c r="GU44" s="480"/>
      <c r="GV44" s="480"/>
      <c r="GW44" s="480"/>
      <c r="GX44" s="480"/>
      <c r="GY44" s="480"/>
      <c r="GZ44" s="480"/>
      <c r="HA44" s="480"/>
      <c r="HB44" s="480"/>
      <c r="HC44" s="480"/>
      <c r="HD44" s="480"/>
      <c r="HE44" s="480"/>
      <c r="HF44" s="480"/>
      <c r="HG44" s="480"/>
      <c r="HH44" s="480"/>
      <c r="HI44" s="480"/>
      <c r="HJ44" s="480"/>
      <c r="HK44" s="480"/>
      <c r="HL44" s="480"/>
      <c r="HM44" s="480"/>
      <c r="HN44" s="480"/>
      <c r="HO44" s="480"/>
      <c r="HP44" s="480"/>
      <c r="HQ44" s="480"/>
      <c r="HR44" s="480"/>
      <c r="HS44" s="480"/>
      <c r="HT44" s="480"/>
      <c r="HU44" s="480"/>
      <c r="HV44" s="480"/>
      <c r="HW44" s="480"/>
      <c r="HX44" s="480"/>
      <c r="HY44" s="480"/>
      <c r="HZ44" s="480"/>
      <c r="IA44" s="480"/>
      <c r="IB44" s="480"/>
      <c r="IC44" s="480"/>
      <c r="ID44" s="480"/>
      <c r="IE44" s="480"/>
      <c r="IF44" s="480"/>
      <c r="IG44" s="480"/>
    </row>
    <row r="45" spans="1:241" s="480" customFormat="1" ht="16.149999999999999" customHeight="1">
      <c r="A45" s="495" t="s">
        <v>214</v>
      </c>
      <c r="B45" s="494" t="s">
        <v>451</v>
      </c>
      <c r="C45" s="493" t="s">
        <v>62</v>
      </c>
      <c r="D45" s="385" t="s">
        <v>12</v>
      </c>
      <c r="E45" s="314">
        <v>17533</v>
      </c>
      <c r="F45" s="500">
        <v>3</v>
      </c>
      <c r="G45" s="491">
        <v>317.89999999999998</v>
      </c>
      <c r="H45" s="485">
        <v>0</v>
      </c>
      <c r="I45" s="490">
        <f t="shared" si="55"/>
        <v>317.89999999999998</v>
      </c>
      <c r="J45" s="489">
        <f t="shared" si="45"/>
        <v>4.8804699999999996E-3</v>
      </c>
      <c r="K45" s="484">
        <f t="shared" si="46"/>
        <v>-30.15</v>
      </c>
      <c r="L45" s="484">
        <f t="shared" si="43"/>
        <v>0</v>
      </c>
      <c r="M45" s="484">
        <f t="shared" si="47"/>
        <v>7.49</v>
      </c>
      <c r="N45" s="485">
        <f t="shared" si="56"/>
        <v>7.49</v>
      </c>
      <c r="O45" s="485">
        <f t="shared" si="54"/>
        <v>0</v>
      </c>
      <c r="P45" s="485">
        <f t="shared" si="54"/>
        <v>0</v>
      </c>
      <c r="Q45" s="485">
        <f t="shared" si="57"/>
        <v>0</v>
      </c>
      <c r="R45" s="484">
        <f t="shared" si="58"/>
        <v>0</v>
      </c>
      <c r="S45" s="485">
        <f t="shared" si="59"/>
        <v>325.39</v>
      </c>
      <c r="T45" s="488">
        <f t="shared" si="48"/>
        <v>388.66</v>
      </c>
      <c r="U45" s="487">
        <v>110.09</v>
      </c>
      <c r="V45" s="486">
        <f t="shared" si="60"/>
        <v>4.8804699999999996E-3</v>
      </c>
      <c r="W45" s="484">
        <f t="shared" si="49"/>
        <v>16.71</v>
      </c>
      <c r="X45" s="484">
        <v>0</v>
      </c>
      <c r="Y45" s="484">
        <f t="shared" si="50"/>
        <v>10.029999999999999</v>
      </c>
      <c r="Z45" s="484">
        <f t="shared" si="50"/>
        <v>-0.6</v>
      </c>
      <c r="AA45" s="484">
        <f t="shared" si="44"/>
        <v>-0.22</v>
      </c>
      <c r="AB45" s="485">
        <f t="shared" si="61"/>
        <v>25.92</v>
      </c>
      <c r="AC45" s="485">
        <f t="shared" si="51"/>
        <v>-4.66</v>
      </c>
      <c r="AD45" s="498">
        <f t="shared" si="62"/>
        <v>-40.08</v>
      </c>
      <c r="AE45" s="498">
        <v>0</v>
      </c>
      <c r="AF45" s="485">
        <f t="shared" si="63"/>
        <v>-40.08</v>
      </c>
      <c r="AG45" s="484">
        <f t="shared" si="64"/>
        <v>-44.74</v>
      </c>
      <c r="AH45" s="381">
        <f t="shared" si="65"/>
        <v>91.27</v>
      </c>
      <c r="AI45" s="483">
        <f t="shared" si="66"/>
        <v>416.66</v>
      </c>
      <c r="AJ45" s="483">
        <f t="shared" si="52"/>
        <v>495.79</v>
      </c>
      <c r="AK45" s="83"/>
      <c r="AL45" s="114">
        <v>317.89999999999998</v>
      </c>
      <c r="AM45" s="497">
        <f t="shared" si="53"/>
        <v>433.2</v>
      </c>
      <c r="AN45" s="192">
        <f t="shared" si="67"/>
        <v>0</v>
      </c>
      <c r="AO45" s="114">
        <f t="shared" si="68"/>
        <v>-30.15</v>
      </c>
      <c r="AP45" s="137">
        <f t="shared" si="69"/>
        <v>0</v>
      </c>
      <c r="AQ45" s="137">
        <f t="shared" si="70"/>
        <v>7.49</v>
      </c>
      <c r="AR45" s="84">
        <f t="shared" si="71"/>
        <v>7.49</v>
      </c>
      <c r="AS45" s="84">
        <f t="shared" si="72"/>
        <v>0</v>
      </c>
      <c r="AT45" s="84">
        <f t="shared" si="73"/>
        <v>0</v>
      </c>
      <c r="AU45" s="84">
        <f t="shared" si="74"/>
        <v>0</v>
      </c>
      <c r="AV45" s="84">
        <f t="shared" si="75"/>
        <v>0</v>
      </c>
      <c r="AW45" s="487">
        <v>110.09</v>
      </c>
      <c r="AX45" s="137">
        <f t="shared" si="76"/>
        <v>16.71</v>
      </c>
      <c r="AY45" s="137">
        <f t="shared" si="77"/>
        <v>0</v>
      </c>
      <c r="AZ45" s="137">
        <f t="shared" si="78"/>
        <v>10.029999999999999</v>
      </c>
      <c r="BA45" s="137">
        <f t="shared" si="79"/>
        <v>-0.6</v>
      </c>
      <c r="BB45" s="137">
        <f t="shared" si="80"/>
        <v>-0.22</v>
      </c>
      <c r="BC45" s="84">
        <f t="shared" si="81"/>
        <v>25.92</v>
      </c>
      <c r="BD45" s="84">
        <f t="shared" si="82"/>
        <v>-4.66</v>
      </c>
      <c r="BE45" s="84">
        <f t="shared" si="83"/>
        <v>-40.08</v>
      </c>
      <c r="BF45" s="116">
        <f t="shared" si="84"/>
        <v>-44.74</v>
      </c>
      <c r="BG45" s="496">
        <f t="shared" si="85"/>
        <v>410.54</v>
      </c>
      <c r="BH45" s="496">
        <f t="shared" si="86"/>
        <v>91.27</v>
      </c>
      <c r="BI45" s="496">
        <f t="shared" si="87"/>
        <v>501.81</v>
      </c>
    </row>
    <row r="46" spans="1:241" s="480" customFormat="1" ht="16.149999999999999" customHeight="1">
      <c r="A46" s="495" t="s">
        <v>214</v>
      </c>
      <c r="B46" s="599" t="s">
        <v>413</v>
      </c>
      <c r="C46" s="600" t="s">
        <v>62</v>
      </c>
      <c r="D46" s="601" t="s">
        <v>12</v>
      </c>
      <c r="E46" s="314">
        <v>5845</v>
      </c>
      <c r="F46" s="500">
        <v>10</v>
      </c>
      <c r="G46" s="602">
        <v>1108.29</v>
      </c>
      <c r="H46" s="603">
        <v>0</v>
      </c>
      <c r="I46" s="490">
        <f t="shared" si="55"/>
        <v>1108.29</v>
      </c>
      <c r="J46" s="604">
        <f t="shared" si="45"/>
        <v>1.7014689999999999E-2</v>
      </c>
      <c r="K46" s="484">
        <f t="shared" si="46"/>
        <v>-105.12</v>
      </c>
      <c r="L46" s="484">
        <f t="shared" si="43"/>
        <v>0</v>
      </c>
      <c r="M46" s="484">
        <f t="shared" si="47"/>
        <v>26.1</v>
      </c>
      <c r="N46" s="603">
        <f t="shared" si="56"/>
        <v>26.1</v>
      </c>
      <c r="O46" s="603">
        <f t="shared" si="54"/>
        <v>0</v>
      </c>
      <c r="P46" s="603">
        <f t="shared" si="54"/>
        <v>0</v>
      </c>
      <c r="Q46" s="603">
        <f t="shared" si="57"/>
        <v>0</v>
      </c>
      <c r="R46" s="484">
        <f t="shared" si="58"/>
        <v>0</v>
      </c>
      <c r="S46" s="603">
        <f t="shared" si="59"/>
        <v>1134.3900000000001</v>
      </c>
      <c r="T46" s="605">
        <f t="shared" si="48"/>
        <v>1354.98</v>
      </c>
      <c r="U46" s="606">
        <v>402.34</v>
      </c>
      <c r="V46" s="607">
        <f t="shared" si="60"/>
        <v>1.7014689999999999E-2</v>
      </c>
      <c r="W46" s="484">
        <f t="shared" si="49"/>
        <v>58.26</v>
      </c>
      <c r="X46" s="484">
        <v>0</v>
      </c>
      <c r="Y46" s="484">
        <f t="shared" si="50"/>
        <v>34.96</v>
      </c>
      <c r="Z46" s="484">
        <f t="shared" si="50"/>
        <v>-2.11</v>
      </c>
      <c r="AA46" s="484">
        <f t="shared" si="44"/>
        <v>-0.78</v>
      </c>
      <c r="AB46" s="603">
        <f t="shared" si="61"/>
        <v>90.33</v>
      </c>
      <c r="AC46" s="603">
        <f t="shared" si="51"/>
        <v>-16.260000000000002</v>
      </c>
      <c r="AD46" s="608">
        <f t="shared" si="62"/>
        <v>-133.6</v>
      </c>
      <c r="AE46" s="608">
        <v>0</v>
      </c>
      <c r="AF46" s="603">
        <f t="shared" si="63"/>
        <v>-133.6</v>
      </c>
      <c r="AG46" s="484">
        <f t="shared" si="64"/>
        <v>-149.86000000000001</v>
      </c>
      <c r="AH46" s="609">
        <f t="shared" si="65"/>
        <v>342.81</v>
      </c>
      <c r="AI46" s="610">
        <f t="shared" si="66"/>
        <v>1477.2</v>
      </c>
      <c r="AJ46" s="610">
        <f t="shared" si="52"/>
        <v>1757.75</v>
      </c>
      <c r="AK46" s="83"/>
      <c r="AL46" s="114">
        <v>1108.29</v>
      </c>
      <c r="AM46" s="497">
        <f t="shared" si="53"/>
        <v>1510.25</v>
      </c>
      <c r="AN46" s="192">
        <f t="shared" si="67"/>
        <v>0</v>
      </c>
      <c r="AO46" s="114">
        <f t="shared" si="68"/>
        <v>-105.12</v>
      </c>
      <c r="AP46" s="137">
        <f t="shared" si="69"/>
        <v>0</v>
      </c>
      <c r="AQ46" s="137">
        <f t="shared" si="70"/>
        <v>26.1</v>
      </c>
      <c r="AR46" s="84">
        <f t="shared" si="71"/>
        <v>26.1</v>
      </c>
      <c r="AS46" s="84">
        <f t="shared" si="72"/>
        <v>0</v>
      </c>
      <c r="AT46" s="84">
        <f t="shared" si="73"/>
        <v>0</v>
      </c>
      <c r="AU46" s="84">
        <f t="shared" si="74"/>
        <v>0</v>
      </c>
      <c r="AV46" s="84">
        <f t="shared" si="75"/>
        <v>0</v>
      </c>
      <c r="AW46" s="606">
        <v>402.34</v>
      </c>
      <c r="AX46" s="137">
        <f t="shared" si="76"/>
        <v>58.26</v>
      </c>
      <c r="AY46" s="137">
        <f t="shared" si="77"/>
        <v>0</v>
      </c>
      <c r="AZ46" s="137">
        <f t="shared" si="78"/>
        <v>34.96</v>
      </c>
      <c r="BA46" s="137">
        <f t="shared" si="79"/>
        <v>-2.11</v>
      </c>
      <c r="BB46" s="137">
        <f t="shared" si="80"/>
        <v>-0.78</v>
      </c>
      <c r="BC46" s="84">
        <f t="shared" si="81"/>
        <v>90.33</v>
      </c>
      <c r="BD46" s="84">
        <f t="shared" si="82"/>
        <v>-16.260000000000002</v>
      </c>
      <c r="BE46" s="84">
        <f t="shared" si="83"/>
        <v>-133.6</v>
      </c>
      <c r="BF46" s="116">
        <f t="shared" si="84"/>
        <v>-149.86000000000001</v>
      </c>
      <c r="BG46" s="496">
        <f t="shared" si="85"/>
        <v>1431.23</v>
      </c>
      <c r="BH46" s="496">
        <f t="shared" si="86"/>
        <v>342.81</v>
      </c>
      <c r="BI46" s="496">
        <f t="shared" si="87"/>
        <v>1774.04</v>
      </c>
    </row>
    <row r="47" spans="1:241" s="581" customFormat="1" ht="16.149999999999999" customHeight="1">
      <c r="A47" s="495" t="s">
        <v>214</v>
      </c>
      <c r="B47" s="599" t="s">
        <v>415</v>
      </c>
      <c r="C47" s="600" t="s">
        <v>62</v>
      </c>
      <c r="D47" s="601" t="s">
        <v>12</v>
      </c>
      <c r="E47" s="314">
        <v>7306</v>
      </c>
      <c r="F47" s="500">
        <v>10</v>
      </c>
      <c r="G47" s="602">
        <v>1108.29</v>
      </c>
      <c r="H47" s="603">
        <v>0</v>
      </c>
      <c r="I47" s="490">
        <f t="shared" si="55"/>
        <v>1108.29</v>
      </c>
      <c r="J47" s="604">
        <f t="shared" si="45"/>
        <v>1.7014689999999999E-2</v>
      </c>
      <c r="K47" s="484">
        <f t="shared" si="46"/>
        <v>-105.12</v>
      </c>
      <c r="L47" s="484">
        <f t="shared" si="43"/>
        <v>0</v>
      </c>
      <c r="M47" s="484">
        <f t="shared" si="47"/>
        <v>26.1</v>
      </c>
      <c r="N47" s="603">
        <f t="shared" si="56"/>
        <v>26.1</v>
      </c>
      <c r="O47" s="603">
        <f t="shared" si="54"/>
        <v>0</v>
      </c>
      <c r="P47" s="603">
        <f t="shared" si="54"/>
        <v>0</v>
      </c>
      <c r="Q47" s="603">
        <f t="shared" si="57"/>
        <v>0</v>
      </c>
      <c r="R47" s="484">
        <f t="shared" si="58"/>
        <v>0</v>
      </c>
      <c r="S47" s="603">
        <f t="shared" si="59"/>
        <v>1134.3900000000001</v>
      </c>
      <c r="T47" s="605">
        <f t="shared" si="48"/>
        <v>1354.98</v>
      </c>
      <c r="U47" s="606">
        <v>402.35</v>
      </c>
      <c r="V47" s="607">
        <f t="shared" si="60"/>
        <v>1.7014689999999999E-2</v>
      </c>
      <c r="W47" s="484">
        <f t="shared" si="49"/>
        <v>58.26</v>
      </c>
      <c r="X47" s="484">
        <v>0</v>
      </c>
      <c r="Y47" s="484">
        <f t="shared" si="50"/>
        <v>34.96</v>
      </c>
      <c r="Z47" s="484">
        <f t="shared" si="50"/>
        <v>-2.11</v>
      </c>
      <c r="AA47" s="484">
        <f t="shared" si="44"/>
        <v>-0.78</v>
      </c>
      <c r="AB47" s="603">
        <f t="shared" si="61"/>
        <v>90.33</v>
      </c>
      <c r="AC47" s="603">
        <f t="shared" si="51"/>
        <v>-16.260000000000002</v>
      </c>
      <c r="AD47" s="608">
        <f t="shared" si="62"/>
        <v>-133.6</v>
      </c>
      <c r="AE47" s="608">
        <v>0</v>
      </c>
      <c r="AF47" s="603">
        <f t="shared" si="63"/>
        <v>-133.6</v>
      </c>
      <c r="AG47" s="484">
        <f t="shared" si="64"/>
        <v>-149.86000000000001</v>
      </c>
      <c r="AH47" s="609">
        <f t="shared" si="65"/>
        <v>342.82</v>
      </c>
      <c r="AI47" s="610">
        <f t="shared" si="66"/>
        <v>1477.21</v>
      </c>
      <c r="AJ47" s="610">
        <f t="shared" si="52"/>
        <v>1757.77</v>
      </c>
      <c r="AK47" s="83"/>
      <c r="AL47" s="114">
        <v>1108.29</v>
      </c>
      <c r="AM47" s="497">
        <f t="shared" si="53"/>
        <v>1510.25</v>
      </c>
      <c r="AN47" s="192">
        <f t="shared" si="67"/>
        <v>0</v>
      </c>
      <c r="AO47" s="114">
        <f t="shared" si="68"/>
        <v>-105.12</v>
      </c>
      <c r="AP47" s="137">
        <f t="shared" si="69"/>
        <v>0</v>
      </c>
      <c r="AQ47" s="137">
        <f t="shared" si="70"/>
        <v>26.1</v>
      </c>
      <c r="AR47" s="84">
        <f t="shared" si="71"/>
        <v>26.1</v>
      </c>
      <c r="AS47" s="84">
        <f t="shared" si="72"/>
        <v>0</v>
      </c>
      <c r="AT47" s="84">
        <f t="shared" si="73"/>
        <v>0</v>
      </c>
      <c r="AU47" s="84">
        <f t="shared" si="74"/>
        <v>0</v>
      </c>
      <c r="AV47" s="84">
        <f t="shared" si="75"/>
        <v>0</v>
      </c>
      <c r="AW47" s="606">
        <v>402.35</v>
      </c>
      <c r="AX47" s="137">
        <f t="shared" si="76"/>
        <v>58.26</v>
      </c>
      <c r="AY47" s="137">
        <f t="shared" si="77"/>
        <v>0</v>
      </c>
      <c r="AZ47" s="137">
        <f t="shared" si="78"/>
        <v>34.96</v>
      </c>
      <c r="BA47" s="137">
        <f t="shared" si="79"/>
        <v>-2.11</v>
      </c>
      <c r="BB47" s="137">
        <f t="shared" si="80"/>
        <v>-0.78</v>
      </c>
      <c r="BC47" s="84">
        <f t="shared" si="81"/>
        <v>90.33</v>
      </c>
      <c r="BD47" s="84">
        <f t="shared" si="82"/>
        <v>-16.260000000000002</v>
      </c>
      <c r="BE47" s="84">
        <f t="shared" si="83"/>
        <v>-133.6</v>
      </c>
      <c r="BF47" s="116">
        <f t="shared" si="84"/>
        <v>-149.86000000000001</v>
      </c>
      <c r="BG47" s="496">
        <f t="shared" si="85"/>
        <v>1431.23</v>
      </c>
      <c r="BH47" s="496">
        <f t="shared" si="86"/>
        <v>342.82</v>
      </c>
      <c r="BI47" s="496">
        <f t="shared" si="87"/>
        <v>1774.05</v>
      </c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  <c r="CV47" s="480"/>
      <c r="CW47" s="480"/>
      <c r="CX47" s="480"/>
      <c r="CY47" s="480"/>
      <c r="CZ47" s="480"/>
      <c r="DA47" s="480"/>
      <c r="DB47" s="480"/>
      <c r="DC47" s="480"/>
      <c r="DD47" s="480"/>
      <c r="DE47" s="480"/>
      <c r="DF47" s="480"/>
      <c r="DG47" s="480"/>
      <c r="DH47" s="480"/>
      <c r="DI47" s="480"/>
      <c r="DJ47" s="480"/>
      <c r="DK47" s="480"/>
      <c r="DL47" s="480"/>
      <c r="DM47" s="480"/>
      <c r="DN47" s="480"/>
      <c r="DO47" s="480"/>
      <c r="DP47" s="480"/>
      <c r="DQ47" s="480"/>
      <c r="DR47" s="480"/>
      <c r="DS47" s="480"/>
      <c r="DT47" s="480"/>
      <c r="DU47" s="480"/>
      <c r="DV47" s="480"/>
      <c r="DW47" s="480"/>
      <c r="DX47" s="480"/>
      <c r="DY47" s="480"/>
      <c r="DZ47" s="480"/>
      <c r="EA47" s="480"/>
      <c r="EB47" s="480"/>
      <c r="EC47" s="480"/>
      <c r="ED47" s="480"/>
      <c r="EE47" s="480"/>
      <c r="EF47" s="480"/>
      <c r="EG47" s="480"/>
      <c r="EH47" s="480"/>
      <c r="EI47" s="480"/>
      <c r="EJ47" s="480"/>
      <c r="EK47" s="480"/>
      <c r="EL47" s="480"/>
      <c r="EM47" s="480"/>
      <c r="EN47" s="480"/>
      <c r="EO47" s="480"/>
      <c r="EP47" s="480"/>
      <c r="EQ47" s="480"/>
      <c r="ER47" s="480"/>
      <c r="ES47" s="480"/>
      <c r="ET47" s="480"/>
      <c r="EU47" s="480"/>
      <c r="EV47" s="480"/>
      <c r="EW47" s="480"/>
      <c r="EX47" s="480"/>
      <c r="EY47" s="480"/>
      <c r="EZ47" s="480"/>
      <c r="FA47" s="480"/>
      <c r="FB47" s="480"/>
      <c r="FC47" s="480"/>
      <c r="FD47" s="480"/>
      <c r="FE47" s="480"/>
      <c r="FF47" s="480"/>
      <c r="FG47" s="480"/>
      <c r="FH47" s="480"/>
      <c r="FI47" s="480"/>
      <c r="FJ47" s="480"/>
      <c r="FK47" s="480"/>
      <c r="FL47" s="480"/>
      <c r="FM47" s="480"/>
      <c r="FN47" s="480"/>
      <c r="FO47" s="480"/>
      <c r="FP47" s="480"/>
      <c r="FQ47" s="480"/>
      <c r="FR47" s="480"/>
      <c r="FS47" s="480"/>
      <c r="FT47" s="480"/>
      <c r="FU47" s="480"/>
      <c r="FV47" s="480"/>
      <c r="FW47" s="480"/>
      <c r="FX47" s="480"/>
      <c r="FY47" s="480"/>
      <c r="FZ47" s="480"/>
      <c r="GA47" s="480"/>
      <c r="GB47" s="480"/>
      <c r="GC47" s="480"/>
      <c r="GD47" s="480"/>
      <c r="GE47" s="480"/>
      <c r="GF47" s="480"/>
      <c r="GG47" s="480"/>
      <c r="GH47" s="480"/>
      <c r="GI47" s="480"/>
      <c r="GJ47" s="480"/>
      <c r="GK47" s="480"/>
      <c r="GL47" s="480"/>
      <c r="GM47" s="480"/>
      <c r="GN47" s="480"/>
      <c r="GO47" s="480"/>
      <c r="GP47" s="480"/>
      <c r="GQ47" s="480"/>
      <c r="GR47" s="480"/>
      <c r="GS47" s="480"/>
      <c r="GT47" s="480"/>
      <c r="GU47" s="480"/>
      <c r="GV47" s="480"/>
      <c r="GW47" s="480"/>
      <c r="GX47" s="480"/>
      <c r="GY47" s="480"/>
      <c r="GZ47" s="480"/>
      <c r="HA47" s="480"/>
      <c r="HB47" s="480"/>
      <c r="HC47" s="480"/>
      <c r="HD47" s="480"/>
      <c r="HE47" s="480"/>
      <c r="HF47" s="480"/>
      <c r="HG47" s="480"/>
      <c r="HH47" s="480"/>
      <c r="HI47" s="480"/>
      <c r="HJ47" s="480"/>
      <c r="HK47" s="480"/>
      <c r="HL47" s="480"/>
      <c r="HM47" s="480"/>
      <c r="HN47" s="480"/>
      <c r="HO47" s="480"/>
      <c r="HP47" s="480"/>
      <c r="HQ47" s="480"/>
      <c r="HR47" s="480"/>
      <c r="HS47" s="480"/>
      <c r="HT47" s="480"/>
      <c r="HU47" s="480"/>
      <c r="HV47" s="480"/>
      <c r="HW47" s="480"/>
      <c r="HX47" s="480"/>
      <c r="HY47" s="480"/>
      <c r="HZ47" s="480"/>
      <c r="IA47" s="480"/>
      <c r="IB47" s="480"/>
      <c r="IC47" s="480"/>
      <c r="ID47" s="480"/>
      <c r="IE47" s="480"/>
      <c r="IF47" s="480"/>
      <c r="IG47" s="480"/>
    </row>
    <row r="48" spans="1:241" s="480" customFormat="1" ht="16.149999999999999" customHeight="1">
      <c r="A48" s="495" t="s">
        <v>214</v>
      </c>
      <c r="B48" s="599" t="s">
        <v>414</v>
      </c>
      <c r="C48" s="600" t="s">
        <v>62</v>
      </c>
      <c r="D48" s="601" t="s">
        <v>12</v>
      </c>
      <c r="E48" s="314">
        <v>16072</v>
      </c>
      <c r="F48" s="500">
        <v>6</v>
      </c>
      <c r="G48" s="602">
        <v>1108.29</v>
      </c>
      <c r="H48" s="603">
        <v>0</v>
      </c>
      <c r="I48" s="490">
        <f t="shared" si="55"/>
        <v>1108.29</v>
      </c>
      <c r="J48" s="604">
        <f t="shared" si="45"/>
        <v>1.7014689999999999E-2</v>
      </c>
      <c r="K48" s="484">
        <f t="shared" si="46"/>
        <v>-105.12</v>
      </c>
      <c r="L48" s="484">
        <f t="shared" si="43"/>
        <v>0</v>
      </c>
      <c r="M48" s="484">
        <f t="shared" si="47"/>
        <v>26.1</v>
      </c>
      <c r="N48" s="603">
        <f t="shared" si="56"/>
        <v>26.1</v>
      </c>
      <c r="O48" s="603">
        <f t="shared" si="54"/>
        <v>0</v>
      </c>
      <c r="P48" s="603">
        <f t="shared" si="54"/>
        <v>0</v>
      </c>
      <c r="Q48" s="603">
        <f t="shared" si="57"/>
        <v>0</v>
      </c>
      <c r="R48" s="484">
        <f t="shared" si="58"/>
        <v>0</v>
      </c>
      <c r="S48" s="603">
        <f t="shared" si="59"/>
        <v>1134.3900000000001</v>
      </c>
      <c r="T48" s="605">
        <f t="shared" si="48"/>
        <v>1354.98</v>
      </c>
      <c r="U48" s="606">
        <v>563.97</v>
      </c>
      <c r="V48" s="607">
        <f t="shared" si="60"/>
        <v>1.7014689999999999E-2</v>
      </c>
      <c r="W48" s="484">
        <f t="shared" si="49"/>
        <v>58.26</v>
      </c>
      <c r="X48" s="484">
        <v>0</v>
      </c>
      <c r="Y48" s="484">
        <f t="shared" si="50"/>
        <v>34.96</v>
      </c>
      <c r="Z48" s="484">
        <f t="shared" si="50"/>
        <v>-2.11</v>
      </c>
      <c r="AA48" s="484">
        <f t="shared" si="44"/>
        <v>-0.78</v>
      </c>
      <c r="AB48" s="603">
        <f t="shared" si="61"/>
        <v>90.33</v>
      </c>
      <c r="AC48" s="603">
        <f t="shared" si="51"/>
        <v>-16.260000000000002</v>
      </c>
      <c r="AD48" s="608">
        <f t="shared" si="62"/>
        <v>-80.16</v>
      </c>
      <c r="AE48" s="608">
        <v>0</v>
      </c>
      <c r="AF48" s="603">
        <f t="shared" si="63"/>
        <v>-80.16</v>
      </c>
      <c r="AG48" s="484">
        <f t="shared" si="64"/>
        <v>-96.42</v>
      </c>
      <c r="AH48" s="609">
        <f t="shared" si="65"/>
        <v>557.88</v>
      </c>
      <c r="AI48" s="610">
        <f t="shared" si="66"/>
        <v>1692.27</v>
      </c>
      <c r="AJ48" s="610">
        <f t="shared" si="52"/>
        <v>2013.67</v>
      </c>
      <c r="AK48" s="83"/>
      <c r="AL48" s="114">
        <v>1108.29</v>
      </c>
      <c r="AM48" s="497">
        <f t="shared" si="53"/>
        <v>1510.25</v>
      </c>
      <c r="AN48" s="192">
        <f t="shared" si="67"/>
        <v>0</v>
      </c>
      <c r="AO48" s="114">
        <f t="shared" si="68"/>
        <v>-105.12</v>
      </c>
      <c r="AP48" s="137">
        <f t="shared" si="69"/>
        <v>0</v>
      </c>
      <c r="AQ48" s="137">
        <f t="shared" si="70"/>
        <v>26.1</v>
      </c>
      <c r="AR48" s="84">
        <f t="shared" si="71"/>
        <v>26.1</v>
      </c>
      <c r="AS48" s="84">
        <f t="shared" si="72"/>
        <v>0</v>
      </c>
      <c r="AT48" s="84">
        <f t="shared" si="73"/>
        <v>0</v>
      </c>
      <c r="AU48" s="84">
        <f t="shared" si="74"/>
        <v>0</v>
      </c>
      <c r="AV48" s="84">
        <f t="shared" si="75"/>
        <v>0</v>
      </c>
      <c r="AW48" s="606">
        <v>563.97</v>
      </c>
      <c r="AX48" s="137">
        <f t="shared" si="76"/>
        <v>58.26</v>
      </c>
      <c r="AY48" s="137">
        <f t="shared" si="77"/>
        <v>0</v>
      </c>
      <c r="AZ48" s="137">
        <f t="shared" si="78"/>
        <v>34.96</v>
      </c>
      <c r="BA48" s="137">
        <f t="shared" si="79"/>
        <v>-2.11</v>
      </c>
      <c r="BB48" s="137">
        <f t="shared" si="80"/>
        <v>-0.78</v>
      </c>
      <c r="BC48" s="84">
        <f t="shared" si="81"/>
        <v>90.33</v>
      </c>
      <c r="BD48" s="84">
        <f t="shared" si="82"/>
        <v>-16.260000000000002</v>
      </c>
      <c r="BE48" s="84">
        <f t="shared" si="83"/>
        <v>-80.16</v>
      </c>
      <c r="BF48" s="116">
        <f t="shared" si="84"/>
        <v>-96.42</v>
      </c>
      <c r="BG48" s="496">
        <f t="shared" si="85"/>
        <v>1431.23</v>
      </c>
      <c r="BH48" s="496">
        <f t="shared" si="86"/>
        <v>557.88</v>
      </c>
      <c r="BI48" s="496">
        <f t="shared" si="87"/>
        <v>1989.11</v>
      </c>
    </row>
    <row r="49" spans="1:61" s="480" customFormat="1" ht="16.149999999999999" customHeight="1">
      <c r="A49" s="495" t="s">
        <v>214</v>
      </c>
      <c r="B49" s="494" t="s">
        <v>462</v>
      </c>
      <c r="C49" s="493" t="s">
        <v>62</v>
      </c>
      <c r="D49" s="385" t="s">
        <v>12</v>
      </c>
      <c r="E49" s="314">
        <v>7672</v>
      </c>
      <c r="F49" s="500">
        <v>3</v>
      </c>
      <c r="G49" s="491">
        <v>476.83</v>
      </c>
      <c r="H49" s="485">
        <v>0</v>
      </c>
      <c r="I49" s="490">
        <f t="shared" si="55"/>
        <v>476.83</v>
      </c>
      <c r="J49" s="489">
        <f t="shared" si="45"/>
        <v>7.3203900000000004E-3</v>
      </c>
      <c r="K49" s="484">
        <f t="shared" si="46"/>
        <v>-45.23</v>
      </c>
      <c r="L49" s="484">
        <f t="shared" si="43"/>
        <v>0</v>
      </c>
      <c r="M49" s="484">
        <f t="shared" si="47"/>
        <v>11.23</v>
      </c>
      <c r="N49" s="485">
        <f t="shared" si="56"/>
        <v>11.23</v>
      </c>
      <c r="O49" s="485">
        <f t="shared" si="54"/>
        <v>0</v>
      </c>
      <c r="P49" s="485">
        <f t="shared" si="54"/>
        <v>0</v>
      </c>
      <c r="Q49" s="485">
        <f t="shared" si="57"/>
        <v>0</v>
      </c>
      <c r="R49" s="484">
        <f t="shared" si="58"/>
        <v>0</v>
      </c>
      <c r="S49" s="485">
        <f t="shared" si="59"/>
        <v>488.06</v>
      </c>
      <c r="T49" s="488">
        <f t="shared" si="48"/>
        <v>582.97</v>
      </c>
      <c r="U49" s="487">
        <v>225.73</v>
      </c>
      <c r="V49" s="486">
        <f t="shared" si="60"/>
        <v>7.3203900000000004E-3</v>
      </c>
      <c r="W49" s="484">
        <f t="shared" si="49"/>
        <v>25.07</v>
      </c>
      <c r="X49" s="484">
        <v>0</v>
      </c>
      <c r="Y49" s="484">
        <f t="shared" si="50"/>
        <v>15.04</v>
      </c>
      <c r="Z49" s="484">
        <f t="shared" si="50"/>
        <v>-0.91</v>
      </c>
      <c r="AA49" s="484">
        <f t="shared" si="44"/>
        <v>-0.34</v>
      </c>
      <c r="AB49" s="485">
        <f t="shared" si="61"/>
        <v>38.86</v>
      </c>
      <c r="AC49" s="485">
        <f t="shared" si="51"/>
        <v>-7</v>
      </c>
      <c r="AD49" s="498">
        <f t="shared" si="62"/>
        <v>-40.08</v>
      </c>
      <c r="AE49" s="498">
        <v>0</v>
      </c>
      <c r="AF49" s="485">
        <f t="shared" si="63"/>
        <v>-40.08</v>
      </c>
      <c r="AG49" s="484">
        <f t="shared" si="64"/>
        <v>-47.08</v>
      </c>
      <c r="AH49" s="381">
        <f t="shared" si="65"/>
        <v>217.51</v>
      </c>
      <c r="AI49" s="483">
        <f t="shared" si="66"/>
        <v>705.57</v>
      </c>
      <c r="AJ49" s="483">
        <f t="shared" si="52"/>
        <v>839.57</v>
      </c>
      <c r="AK49" s="83"/>
      <c r="AL49" s="114">
        <v>476.83</v>
      </c>
      <c r="AM49" s="497">
        <f t="shared" si="53"/>
        <v>649.77</v>
      </c>
      <c r="AN49" s="192">
        <f t="shared" si="67"/>
        <v>0</v>
      </c>
      <c r="AO49" s="114">
        <f t="shared" si="68"/>
        <v>-45.23</v>
      </c>
      <c r="AP49" s="137">
        <f t="shared" si="69"/>
        <v>0</v>
      </c>
      <c r="AQ49" s="137">
        <f t="shared" si="70"/>
        <v>11.23</v>
      </c>
      <c r="AR49" s="84">
        <f t="shared" si="71"/>
        <v>11.23</v>
      </c>
      <c r="AS49" s="84">
        <f t="shared" si="72"/>
        <v>0</v>
      </c>
      <c r="AT49" s="84">
        <f t="shared" si="73"/>
        <v>0</v>
      </c>
      <c r="AU49" s="84">
        <f t="shared" si="74"/>
        <v>0</v>
      </c>
      <c r="AV49" s="84">
        <f t="shared" si="75"/>
        <v>0</v>
      </c>
      <c r="AW49" s="487">
        <v>225.73</v>
      </c>
      <c r="AX49" s="137">
        <f t="shared" si="76"/>
        <v>25.07</v>
      </c>
      <c r="AY49" s="137">
        <f t="shared" si="77"/>
        <v>0</v>
      </c>
      <c r="AZ49" s="137">
        <f t="shared" si="78"/>
        <v>15.04</v>
      </c>
      <c r="BA49" s="137">
        <f t="shared" si="79"/>
        <v>-0.91</v>
      </c>
      <c r="BB49" s="137">
        <f t="shared" si="80"/>
        <v>-0.34</v>
      </c>
      <c r="BC49" s="84">
        <f t="shared" si="81"/>
        <v>38.86</v>
      </c>
      <c r="BD49" s="84">
        <f t="shared" si="82"/>
        <v>-7</v>
      </c>
      <c r="BE49" s="84">
        <f t="shared" si="83"/>
        <v>-40.08</v>
      </c>
      <c r="BF49" s="116">
        <f t="shared" si="84"/>
        <v>-47.08</v>
      </c>
      <c r="BG49" s="496">
        <f t="shared" si="85"/>
        <v>615.77</v>
      </c>
      <c r="BH49" s="496">
        <f t="shared" si="86"/>
        <v>217.51</v>
      </c>
      <c r="BI49" s="496">
        <f t="shared" si="87"/>
        <v>833.28</v>
      </c>
    </row>
    <row r="50" spans="1:61" s="480" customFormat="1" ht="16.149999999999999" customHeight="1">
      <c r="A50" s="495" t="s">
        <v>214</v>
      </c>
      <c r="B50" s="599" t="s">
        <v>416</v>
      </c>
      <c r="C50" s="600" t="s">
        <v>62</v>
      </c>
      <c r="D50" s="601" t="s">
        <v>12</v>
      </c>
      <c r="E50" s="314">
        <v>6941</v>
      </c>
      <c r="F50" s="500">
        <v>5</v>
      </c>
      <c r="G50" s="602">
        <v>554.29</v>
      </c>
      <c r="H50" s="603">
        <v>0</v>
      </c>
      <c r="I50" s="490">
        <f t="shared" si="55"/>
        <v>554.29</v>
      </c>
      <c r="J50" s="604">
        <f t="shared" si="45"/>
        <v>8.5095699999999993E-3</v>
      </c>
      <c r="K50" s="484">
        <f t="shared" si="46"/>
        <v>-52.57</v>
      </c>
      <c r="L50" s="484">
        <f t="shared" si="43"/>
        <v>0</v>
      </c>
      <c r="M50" s="484">
        <f t="shared" si="47"/>
        <v>13.05</v>
      </c>
      <c r="N50" s="603">
        <f t="shared" si="56"/>
        <v>13.05</v>
      </c>
      <c r="O50" s="603">
        <f t="shared" si="54"/>
        <v>0</v>
      </c>
      <c r="P50" s="603">
        <f t="shared" si="54"/>
        <v>0</v>
      </c>
      <c r="Q50" s="603">
        <f t="shared" si="57"/>
        <v>0</v>
      </c>
      <c r="R50" s="484">
        <f t="shared" si="58"/>
        <v>0</v>
      </c>
      <c r="S50" s="603">
        <f t="shared" si="59"/>
        <v>567.34</v>
      </c>
      <c r="T50" s="605">
        <f t="shared" si="48"/>
        <v>677.66</v>
      </c>
      <c r="U50" s="606">
        <v>192.71</v>
      </c>
      <c r="V50" s="607">
        <f t="shared" si="60"/>
        <v>8.5095699999999993E-3</v>
      </c>
      <c r="W50" s="484">
        <f t="shared" si="49"/>
        <v>29.14</v>
      </c>
      <c r="X50" s="484">
        <v>0</v>
      </c>
      <c r="Y50" s="484">
        <f t="shared" si="50"/>
        <v>17.48</v>
      </c>
      <c r="Z50" s="484">
        <f t="shared" si="50"/>
        <v>-1.05</v>
      </c>
      <c r="AA50" s="484">
        <f t="shared" si="44"/>
        <v>-0.39</v>
      </c>
      <c r="AB50" s="603">
        <f t="shared" si="61"/>
        <v>45.18</v>
      </c>
      <c r="AC50" s="603">
        <f t="shared" si="51"/>
        <v>-8.1300000000000008</v>
      </c>
      <c r="AD50" s="608">
        <f t="shared" si="62"/>
        <v>-66.8</v>
      </c>
      <c r="AE50" s="608">
        <v>0</v>
      </c>
      <c r="AF50" s="603">
        <f t="shared" si="63"/>
        <v>-66.8</v>
      </c>
      <c r="AG50" s="484">
        <f t="shared" si="64"/>
        <v>-74.930000000000007</v>
      </c>
      <c r="AH50" s="609">
        <f t="shared" si="65"/>
        <v>162.96</v>
      </c>
      <c r="AI50" s="610">
        <f t="shared" si="66"/>
        <v>730.3</v>
      </c>
      <c r="AJ50" s="610">
        <f t="shared" si="52"/>
        <v>869</v>
      </c>
      <c r="AK50" s="83"/>
      <c r="AL50" s="114">
        <v>554.29</v>
      </c>
      <c r="AM50" s="497">
        <f t="shared" si="53"/>
        <v>755.32</v>
      </c>
      <c r="AN50" s="192">
        <f t="shared" si="67"/>
        <v>0</v>
      </c>
      <c r="AO50" s="114">
        <f t="shared" si="68"/>
        <v>-52.57</v>
      </c>
      <c r="AP50" s="137">
        <f t="shared" si="69"/>
        <v>0</v>
      </c>
      <c r="AQ50" s="137">
        <f t="shared" si="70"/>
        <v>13.05</v>
      </c>
      <c r="AR50" s="84">
        <f t="shared" si="71"/>
        <v>13.05</v>
      </c>
      <c r="AS50" s="84">
        <f t="shared" si="72"/>
        <v>0</v>
      </c>
      <c r="AT50" s="84">
        <f t="shared" si="73"/>
        <v>0</v>
      </c>
      <c r="AU50" s="84">
        <f t="shared" si="74"/>
        <v>0</v>
      </c>
      <c r="AV50" s="84">
        <f t="shared" si="75"/>
        <v>0</v>
      </c>
      <c r="AW50" s="606">
        <v>192.71</v>
      </c>
      <c r="AX50" s="137">
        <f t="shared" si="76"/>
        <v>29.14</v>
      </c>
      <c r="AY50" s="137">
        <f t="shared" si="77"/>
        <v>0</v>
      </c>
      <c r="AZ50" s="137">
        <f t="shared" si="78"/>
        <v>17.48</v>
      </c>
      <c r="BA50" s="137">
        <f t="shared" si="79"/>
        <v>-1.05</v>
      </c>
      <c r="BB50" s="137">
        <f t="shared" si="80"/>
        <v>-0.39</v>
      </c>
      <c r="BC50" s="84">
        <f t="shared" si="81"/>
        <v>45.18</v>
      </c>
      <c r="BD50" s="84">
        <f t="shared" si="82"/>
        <v>-8.1300000000000008</v>
      </c>
      <c r="BE50" s="84">
        <f t="shared" si="83"/>
        <v>-66.8</v>
      </c>
      <c r="BF50" s="116">
        <f t="shared" si="84"/>
        <v>-74.930000000000007</v>
      </c>
      <c r="BG50" s="496">
        <f t="shared" si="85"/>
        <v>715.8</v>
      </c>
      <c r="BH50" s="496">
        <f t="shared" si="86"/>
        <v>162.96</v>
      </c>
      <c r="BI50" s="496">
        <f t="shared" si="87"/>
        <v>878.76</v>
      </c>
    </row>
    <row r="51" spans="1:61" s="480" customFormat="1" ht="16.149999999999999" customHeight="1">
      <c r="A51" s="495" t="s">
        <v>214</v>
      </c>
      <c r="B51" s="599" t="s">
        <v>417</v>
      </c>
      <c r="C51" s="600" t="s">
        <v>62</v>
      </c>
      <c r="D51" s="601" t="s">
        <v>12</v>
      </c>
      <c r="E51" s="314">
        <v>4384</v>
      </c>
      <c r="F51" s="500">
        <v>10</v>
      </c>
      <c r="G51" s="602">
        <v>1108.29</v>
      </c>
      <c r="H51" s="603">
        <v>0</v>
      </c>
      <c r="I51" s="490">
        <f t="shared" si="55"/>
        <v>1108.29</v>
      </c>
      <c r="J51" s="604">
        <f t="shared" si="45"/>
        <v>1.7014689999999999E-2</v>
      </c>
      <c r="K51" s="484">
        <f t="shared" si="46"/>
        <v>-105.12</v>
      </c>
      <c r="L51" s="484">
        <f t="shared" si="43"/>
        <v>0</v>
      </c>
      <c r="M51" s="484">
        <f t="shared" si="47"/>
        <v>26.1</v>
      </c>
      <c r="N51" s="603">
        <f t="shared" si="56"/>
        <v>26.1</v>
      </c>
      <c r="O51" s="603">
        <f t="shared" si="54"/>
        <v>0</v>
      </c>
      <c r="P51" s="603">
        <f t="shared" si="54"/>
        <v>0</v>
      </c>
      <c r="Q51" s="603">
        <f t="shared" si="57"/>
        <v>0</v>
      </c>
      <c r="R51" s="484">
        <f t="shared" si="58"/>
        <v>0</v>
      </c>
      <c r="S51" s="603">
        <f t="shared" si="59"/>
        <v>1134.3900000000001</v>
      </c>
      <c r="T51" s="605">
        <f t="shared" si="48"/>
        <v>1354.98</v>
      </c>
      <c r="U51" s="606">
        <v>402.36</v>
      </c>
      <c r="V51" s="607">
        <f t="shared" si="60"/>
        <v>1.7014689999999999E-2</v>
      </c>
      <c r="W51" s="484">
        <f t="shared" si="49"/>
        <v>58.26</v>
      </c>
      <c r="X51" s="484">
        <v>0</v>
      </c>
      <c r="Y51" s="484">
        <f t="shared" si="50"/>
        <v>34.96</v>
      </c>
      <c r="Z51" s="484">
        <f t="shared" si="50"/>
        <v>-2.11</v>
      </c>
      <c r="AA51" s="484">
        <f t="shared" si="44"/>
        <v>-0.78</v>
      </c>
      <c r="AB51" s="603">
        <f t="shared" si="61"/>
        <v>90.33</v>
      </c>
      <c r="AC51" s="603">
        <f t="shared" si="51"/>
        <v>-16.260000000000002</v>
      </c>
      <c r="AD51" s="608">
        <f t="shared" si="62"/>
        <v>-133.6</v>
      </c>
      <c r="AE51" s="608">
        <v>0</v>
      </c>
      <c r="AF51" s="603">
        <f t="shared" si="63"/>
        <v>-133.6</v>
      </c>
      <c r="AG51" s="484">
        <f t="shared" si="64"/>
        <v>-149.86000000000001</v>
      </c>
      <c r="AH51" s="609">
        <f t="shared" si="65"/>
        <v>342.83</v>
      </c>
      <c r="AI51" s="610">
        <f t="shared" si="66"/>
        <v>1477.22</v>
      </c>
      <c r="AJ51" s="610">
        <f t="shared" si="52"/>
        <v>1757.78</v>
      </c>
      <c r="AK51" s="83"/>
      <c r="AL51" s="114">
        <v>1108.29</v>
      </c>
      <c r="AM51" s="497">
        <f t="shared" si="53"/>
        <v>1510.25</v>
      </c>
      <c r="AN51" s="192">
        <f t="shared" si="67"/>
        <v>0</v>
      </c>
      <c r="AO51" s="114">
        <f t="shared" si="68"/>
        <v>-105.12</v>
      </c>
      <c r="AP51" s="137">
        <f t="shared" si="69"/>
        <v>0</v>
      </c>
      <c r="AQ51" s="137">
        <f t="shared" si="70"/>
        <v>26.1</v>
      </c>
      <c r="AR51" s="84">
        <f t="shared" si="71"/>
        <v>26.1</v>
      </c>
      <c r="AS51" s="84">
        <f t="shared" si="72"/>
        <v>0</v>
      </c>
      <c r="AT51" s="84">
        <f t="shared" si="73"/>
        <v>0</v>
      </c>
      <c r="AU51" s="84">
        <f t="shared" si="74"/>
        <v>0</v>
      </c>
      <c r="AV51" s="84">
        <f t="shared" si="75"/>
        <v>0</v>
      </c>
      <c r="AW51" s="606">
        <v>402.36</v>
      </c>
      <c r="AX51" s="137">
        <f t="shared" si="76"/>
        <v>58.26</v>
      </c>
      <c r="AY51" s="137">
        <f t="shared" si="77"/>
        <v>0</v>
      </c>
      <c r="AZ51" s="137">
        <f t="shared" si="78"/>
        <v>34.96</v>
      </c>
      <c r="BA51" s="137">
        <f t="shared" si="79"/>
        <v>-2.11</v>
      </c>
      <c r="BB51" s="137">
        <f t="shared" si="80"/>
        <v>-0.78</v>
      </c>
      <c r="BC51" s="84">
        <f t="shared" si="81"/>
        <v>90.33</v>
      </c>
      <c r="BD51" s="84">
        <f t="shared" si="82"/>
        <v>-16.260000000000002</v>
      </c>
      <c r="BE51" s="84">
        <f t="shared" si="83"/>
        <v>-133.6</v>
      </c>
      <c r="BF51" s="116">
        <f t="shared" si="84"/>
        <v>-149.86000000000001</v>
      </c>
      <c r="BG51" s="496">
        <f t="shared" si="85"/>
        <v>1431.23</v>
      </c>
      <c r="BH51" s="496">
        <f t="shared" si="86"/>
        <v>342.83</v>
      </c>
      <c r="BI51" s="496">
        <f t="shared" si="87"/>
        <v>1774.06</v>
      </c>
    </row>
    <row r="52" spans="1:61" s="480" customFormat="1" ht="16.149999999999999" customHeight="1">
      <c r="A52" s="495" t="s">
        <v>214</v>
      </c>
      <c r="B52" s="599" t="s">
        <v>418</v>
      </c>
      <c r="C52" s="600" t="s">
        <v>62</v>
      </c>
      <c r="D52" s="601" t="s">
        <v>12</v>
      </c>
      <c r="E52" s="314">
        <v>9498</v>
      </c>
      <c r="F52" s="500">
        <v>10</v>
      </c>
      <c r="G52" s="602">
        <f>1662.71-0.02</f>
        <v>1662.69</v>
      </c>
      <c r="H52" s="603">
        <v>0</v>
      </c>
      <c r="I52" s="490">
        <f t="shared" si="55"/>
        <v>1662.69</v>
      </c>
      <c r="J52" s="604">
        <f>(I52/(I$89))+0.00000004</f>
        <v>2.5525989999999998E-2</v>
      </c>
      <c r="K52" s="484">
        <f>(J52*K$89)-0.05</f>
        <v>-157.76</v>
      </c>
      <c r="L52" s="484">
        <f t="shared" si="43"/>
        <v>0</v>
      </c>
      <c r="M52" s="484">
        <f>($J52*M$89)-0.05</f>
        <v>39.1</v>
      </c>
      <c r="N52" s="603">
        <f t="shared" si="56"/>
        <v>39.1</v>
      </c>
      <c r="O52" s="603">
        <f t="shared" ref="O52:P71" si="88">$J52*O$89</f>
        <v>0</v>
      </c>
      <c r="P52" s="603">
        <f t="shared" si="88"/>
        <v>0</v>
      </c>
      <c r="Q52" s="603">
        <f t="shared" si="57"/>
        <v>0</v>
      </c>
      <c r="R52" s="484">
        <f t="shared" si="58"/>
        <v>0</v>
      </c>
      <c r="S52" s="603">
        <f t="shared" si="59"/>
        <v>1701.79</v>
      </c>
      <c r="T52" s="605">
        <f>((S52/S$89)*T$89)+0.05</f>
        <v>2032.77</v>
      </c>
      <c r="U52" s="606">
        <f>848.47+0.02</f>
        <v>848.49</v>
      </c>
      <c r="V52" s="607">
        <f t="shared" si="60"/>
        <v>2.5525989999999998E-2</v>
      </c>
      <c r="W52" s="484">
        <f>($V52*W$89)+0.04</f>
        <v>87.45</v>
      </c>
      <c r="X52" s="484">
        <v>0</v>
      </c>
      <c r="Y52" s="484">
        <f>($V52*Y$89)-0.01</f>
        <v>52.43</v>
      </c>
      <c r="Z52" s="484">
        <f>($V52*Z$89)+0.04</f>
        <v>-3.12</v>
      </c>
      <c r="AA52" s="484">
        <f t="shared" si="44"/>
        <v>-1.17</v>
      </c>
      <c r="AB52" s="603">
        <f t="shared" si="61"/>
        <v>135.59</v>
      </c>
      <c r="AC52" s="603">
        <f>(V52*AC$89)-0.07</f>
        <v>-24.47</v>
      </c>
      <c r="AD52" s="608">
        <f t="shared" si="62"/>
        <v>-133.6</v>
      </c>
      <c r="AE52" s="608">
        <v>0</v>
      </c>
      <c r="AF52" s="603">
        <f t="shared" si="63"/>
        <v>-133.6</v>
      </c>
      <c r="AG52" s="484">
        <f t="shared" si="64"/>
        <v>-158.07</v>
      </c>
      <c r="AH52" s="609">
        <f t="shared" si="65"/>
        <v>826.01</v>
      </c>
      <c r="AI52" s="610">
        <f t="shared" si="66"/>
        <v>2527.8000000000002</v>
      </c>
      <c r="AJ52" s="610">
        <f>((AI52/AI$89)*AJ$89)-0.02</f>
        <v>3007.87</v>
      </c>
      <c r="AK52" s="83"/>
      <c r="AL52" s="114">
        <v>1662.69</v>
      </c>
      <c r="AM52" s="497">
        <f>((AL52/AL$89)*AM$89)+0.02</f>
        <v>2265.75</v>
      </c>
      <c r="AN52" s="192">
        <f t="shared" si="67"/>
        <v>0</v>
      </c>
      <c r="AO52" s="114">
        <f t="shared" si="68"/>
        <v>-157.76</v>
      </c>
      <c r="AP52" s="137">
        <f t="shared" si="69"/>
        <v>0</v>
      </c>
      <c r="AQ52" s="137">
        <f t="shared" si="70"/>
        <v>39.1</v>
      </c>
      <c r="AR52" s="84">
        <f t="shared" si="71"/>
        <v>39.1</v>
      </c>
      <c r="AS52" s="84">
        <f t="shared" si="72"/>
        <v>0</v>
      </c>
      <c r="AT52" s="84">
        <f t="shared" si="73"/>
        <v>0</v>
      </c>
      <c r="AU52" s="84">
        <f t="shared" si="74"/>
        <v>0</v>
      </c>
      <c r="AV52" s="84">
        <f t="shared" si="75"/>
        <v>0</v>
      </c>
      <c r="AW52" s="606">
        <v>848.49</v>
      </c>
      <c r="AX52" s="137">
        <f t="shared" si="76"/>
        <v>87.45</v>
      </c>
      <c r="AY52" s="137">
        <f t="shared" si="77"/>
        <v>0</v>
      </c>
      <c r="AZ52" s="137">
        <f t="shared" si="78"/>
        <v>52.43</v>
      </c>
      <c r="BA52" s="137">
        <f t="shared" si="79"/>
        <v>-3.12</v>
      </c>
      <c r="BB52" s="137">
        <f t="shared" si="80"/>
        <v>-1.17</v>
      </c>
      <c r="BC52" s="84">
        <f t="shared" si="81"/>
        <v>135.59</v>
      </c>
      <c r="BD52" s="84">
        <f t="shared" si="82"/>
        <v>-24.47</v>
      </c>
      <c r="BE52" s="84">
        <f t="shared" si="83"/>
        <v>-133.6</v>
      </c>
      <c r="BF52" s="116">
        <f t="shared" si="84"/>
        <v>-158.07</v>
      </c>
      <c r="BG52" s="496">
        <f t="shared" si="85"/>
        <v>2147.09</v>
      </c>
      <c r="BH52" s="496">
        <f t="shared" si="86"/>
        <v>826.01</v>
      </c>
      <c r="BI52" s="496">
        <f t="shared" si="87"/>
        <v>2973.1</v>
      </c>
    </row>
    <row r="53" spans="1:61" s="480" customFormat="1" ht="16.149999999999999" customHeight="1">
      <c r="A53" s="495" t="s">
        <v>214</v>
      </c>
      <c r="B53" s="494" t="s">
        <v>452</v>
      </c>
      <c r="C53" s="493" t="s">
        <v>62</v>
      </c>
      <c r="D53" s="385" t="s">
        <v>12</v>
      </c>
      <c r="E53" s="314">
        <v>8037</v>
      </c>
      <c r="F53" s="500">
        <v>4</v>
      </c>
      <c r="G53" s="491">
        <v>635.79999999999995</v>
      </c>
      <c r="H53" s="485">
        <v>0</v>
      </c>
      <c r="I53" s="490">
        <f t="shared" si="55"/>
        <v>635.79999999999995</v>
      </c>
      <c r="J53" s="489">
        <f>(I53/(I$89))</f>
        <v>9.7609299999999993E-3</v>
      </c>
      <c r="K53" s="484">
        <f>J53*K$89</f>
        <v>-60.31</v>
      </c>
      <c r="L53" s="484">
        <f t="shared" ref="L53:L86" si="89">$J53*L$89</f>
        <v>0</v>
      </c>
      <c r="M53" s="484">
        <f>$J53*M$89</f>
        <v>14.97</v>
      </c>
      <c r="N53" s="485">
        <f t="shared" si="56"/>
        <v>14.97</v>
      </c>
      <c r="O53" s="485">
        <f t="shared" si="88"/>
        <v>0</v>
      </c>
      <c r="P53" s="485">
        <f t="shared" si="88"/>
        <v>0</v>
      </c>
      <c r="Q53" s="485">
        <f t="shared" si="57"/>
        <v>0</v>
      </c>
      <c r="R53" s="484">
        <f t="shared" si="58"/>
        <v>0</v>
      </c>
      <c r="S53" s="485">
        <f t="shared" si="59"/>
        <v>650.77</v>
      </c>
      <c r="T53" s="488">
        <f>((S53/S$89)*T$89)</f>
        <v>777.32</v>
      </c>
      <c r="U53" s="487">
        <v>301</v>
      </c>
      <c r="V53" s="486">
        <f t="shared" si="60"/>
        <v>9.7609299999999993E-3</v>
      </c>
      <c r="W53" s="484">
        <f>($V53*W$89)</f>
        <v>33.42</v>
      </c>
      <c r="X53" s="484">
        <v>0</v>
      </c>
      <c r="Y53" s="484">
        <f t="shared" ref="Y53:Z55" si="90">$V53*Y$89</f>
        <v>20.05</v>
      </c>
      <c r="Z53" s="484">
        <f t="shared" si="90"/>
        <v>-1.21</v>
      </c>
      <c r="AA53" s="484">
        <f t="shared" si="44"/>
        <v>-0.45</v>
      </c>
      <c r="AB53" s="485">
        <f t="shared" si="61"/>
        <v>51.81</v>
      </c>
      <c r="AC53" s="485">
        <f>(V53*AC$89)</f>
        <v>-9.33</v>
      </c>
      <c r="AD53" s="498">
        <f t="shared" si="62"/>
        <v>-53.44</v>
      </c>
      <c r="AE53" s="498">
        <v>0</v>
      </c>
      <c r="AF53" s="485">
        <f t="shared" si="63"/>
        <v>-53.44</v>
      </c>
      <c r="AG53" s="484">
        <f t="shared" si="64"/>
        <v>-62.77</v>
      </c>
      <c r="AH53" s="381">
        <f t="shared" si="65"/>
        <v>290.04000000000002</v>
      </c>
      <c r="AI53" s="483">
        <f t="shared" si="66"/>
        <v>940.81</v>
      </c>
      <c r="AJ53" s="483">
        <f>(AI53/AI$89)*AJ$89</f>
        <v>1119.49</v>
      </c>
      <c r="AK53" s="83"/>
      <c r="AL53" s="114">
        <v>635.79999999999995</v>
      </c>
      <c r="AM53" s="497">
        <f>(AL53/AL$89)*AM$89</f>
        <v>866.4</v>
      </c>
      <c r="AN53" s="192">
        <f t="shared" si="67"/>
        <v>0</v>
      </c>
      <c r="AO53" s="114">
        <f t="shared" si="68"/>
        <v>-60.31</v>
      </c>
      <c r="AP53" s="137">
        <f t="shared" si="69"/>
        <v>0</v>
      </c>
      <c r="AQ53" s="137">
        <f t="shared" si="70"/>
        <v>14.97</v>
      </c>
      <c r="AR53" s="84">
        <f t="shared" si="71"/>
        <v>14.97</v>
      </c>
      <c r="AS53" s="84">
        <f t="shared" si="72"/>
        <v>0</v>
      </c>
      <c r="AT53" s="84">
        <f t="shared" si="73"/>
        <v>0</v>
      </c>
      <c r="AU53" s="84">
        <f t="shared" si="74"/>
        <v>0</v>
      </c>
      <c r="AV53" s="84">
        <f t="shared" si="75"/>
        <v>0</v>
      </c>
      <c r="AW53" s="487">
        <v>301</v>
      </c>
      <c r="AX53" s="137">
        <f t="shared" si="76"/>
        <v>33.42</v>
      </c>
      <c r="AY53" s="137">
        <f t="shared" si="77"/>
        <v>0</v>
      </c>
      <c r="AZ53" s="137">
        <f t="shared" si="78"/>
        <v>20.05</v>
      </c>
      <c r="BA53" s="137">
        <f t="shared" si="79"/>
        <v>-1.21</v>
      </c>
      <c r="BB53" s="137">
        <f t="shared" si="80"/>
        <v>-0.45</v>
      </c>
      <c r="BC53" s="84">
        <f t="shared" si="81"/>
        <v>51.81</v>
      </c>
      <c r="BD53" s="84">
        <f t="shared" si="82"/>
        <v>-9.33</v>
      </c>
      <c r="BE53" s="84">
        <f t="shared" si="83"/>
        <v>-53.44</v>
      </c>
      <c r="BF53" s="116">
        <f t="shared" si="84"/>
        <v>-62.77</v>
      </c>
      <c r="BG53" s="496">
        <f t="shared" si="85"/>
        <v>821.06</v>
      </c>
      <c r="BH53" s="496">
        <f t="shared" si="86"/>
        <v>290.04000000000002</v>
      </c>
      <c r="BI53" s="496">
        <f t="shared" si="87"/>
        <v>1111.0999999999999</v>
      </c>
    </row>
    <row r="54" spans="1:61" s="480" customFormat="1" ht="16.149999999999999" customHeight="1">
      <c r="A54" s="495" t="s">
        <v>214</v>
      </c>
      <c r="B54" s="599" t="s">
        <v>419</v>
      </c>
      <c r="C54" s="600" t="s">
        <v>62</v>
      </c>
      <c r="D54" s="601" t="s">
        <v>12</v>
      </c>
      <c r="E54" s="314">
        <v>10959</v>
      </c>
      <c r="F54" s="500">
        <v>5</v>
      </c>
      <c r="G54" s="602">
        <v>692.75</v>
      </c>
      <c r="H54" s="603">
        <v>0</v>
      </c>
      <c r="I54" s="490">
        <f t="shared" si="55"/>
        <v>692.75</v>
      </c>
      <c r="J54" s="604">
        <f>(I54/(I$89))</f>
        <v>1.0635240000000001E-2</v>
      </c>
      <c r="K54" s="484">
        <f>J54*K$89</f>
        <v>-65.709999999999994</v>
      </c>
      <c r="L54" s="484">
        <f t="shared" si="89"/>
        <v>0</v>
      </c>
      <c r="M54" s="484">
        <f>$J54*M$89</f>
        <v>16.309999999999999</v>
      </c>
      <c r="N54" s="603">
        <f t="shared" si="56"/>
        <v>16.309999999999999</v>
      </c>
      <c r="O54" s="603">
        <f t="shared" si="88"/>
        <v>0</v>
      </c>
      <c r="P54" s="603">
        <f t="shared" si="88"/>
        <v>0</v>
      </c>
      <c r="Q54" s="603">
        <f t="shared" si="57"/>
        <v>0</v>
      </c>
      <c r="R54" s="484">
        <f t="shared" si="58"/>
        <v>0</v>
      </c>
      <c r="S54" s="603">
        <f t="shared" si="59"/>
        <v>709.06</v>
      </c>
      <c r="T54" s="605">
        <f>((S54/S$89)*T$89)</f>
        <v>846.94</v>
      </c>
      <c r="U54" s="606">
        <v>259.31</v>
      </c>
      <c r="V54" s="607">
        <f t="shared" si="60"/>
        <v>1.0635240000000001E-2</v>
      </c>
      <c r="W54" s="484">
        <f>($V54*W$89)</f>
        <v>36.42</v>
      </c>
      <c r="X54" s="484">
        <v>0</v>
      </c>
      <c r="Y54" s="484">
        <f t="shared" si="90"/>
        <v>21.85</v>
      </c>
      <c r="Z54" s="484">
        <f t="shared" si="90"/>
        <v>-1.32</v>
      </c>
      <c r="AA54" s="484">
        <f t="shared" si="44"/>
        <v>-0.49</v>
      </c>
      <c r="AB54" s="603">
        <f t="shared" si="61"/>
        <v>56.46</v>
      </c>
      <c r="AC54" s="603">
        <f>(V54*AC$89)</f>
        <v>-10.17</v>
      </c>
      <c r="AD54" s="608">
        <f t="shared" si="62"/>
        <v>-66.8</v>
      </c>
      <c r="AE54" s="608">
        <v>0</v>
      </c>
      <c r="AF54" s="603">
        <f t="shared" si="63"/>
        <v>-66.8</v>
      </c>
      <c r="AG54" s="484">
        <f t="shared" si="64"/>
        <v>-76.97</v>
      </c>
      <c r="AH54" s="609">
        <f t="shared" si="65"/>
        <v>238.8</v>
      </c>
      <c r="AI54" s="610">
        <f t="shared" si="66"/>
        <v>947.86</v>
      </c>
      <c r="AJ54" s="610">
        <f>(AI54/AI$89)*AJ$89</f>
        <v>1127.8800000000001</v>
      </c>
      <c r="AK54" s="83"/>
      <c r="AL54" s="114">
        <v>692.75</v>
      </c>
      <c r="AM54" s="497">
        <f>(AL54/AL$89)*AM$89</f>
        <v>944</v>
      </c>
      <c r="AN54" s="192">
        <f t="shared" si="67"/>
        <v>0</v>
      </c>
      <c r="AO54" s="114">
        <f t="shared" si="68"/>
        <v>-65.709999999999994</v>
      </c>
      <c r="AP54" s="137">
        <f t="shared" si="69"/>
        <v>0</v>
      </c>
      <c r="AQ54" s="137">
        <f t="shared" si="70"/>
        <v>16.309999999999999</v>
      </c>
      <c r="AR54" s="84">
        <f t="shared" si="71"/>
        <v>16.309999999999999</v>
      </c>
      <c r="AS54" s="84">
        <f t="shared" si="72"/>
        <v>0</v>
      </c>
      <c r="AT54" s="84">
        <f t="shared" si="73"/>
        <v>0</v>
      </c>
      <c r="AU54" s="84">
        <f t="shared" si="74"/>
        <v>0</v>
      </c>
      <c r="AV54" s="84">
        <f t="shared" si="75"/>
        <v>0</v>
      </c>
      <c r="AW54" s="606">
        <v>259.31</v>
      </c>
      <c r="AX54" s="137">
        <f t="shared" si="76"/>
        <v>36.42</v>
      </c>
      <c r="AY54" s="137">
        <f t="shared" si="77"/>
        <v>0</v>
      </c>
      <c r="AZ54" s="137">
        <f t="shared" si="78"/>
        <v>21.85</v>
      </c>
      <c r="BA54" s="137">
        <f t="shared" si="79"/>
        <v>-1.32</v>
      </c>
      <c r="BB54" s="137">
        <f t="shared" si="80"/>
        <v>-0.49</v>
      </c>
      <c r="BC54" s="84">
        <f t="shared" si="81"/>
        <v>56.46</v>
      </c>
      <c r="BD54" s="84">
        <f t="shared" si="82"/>
        <v>-10.17</v>
      </c>
      <c r="BE54" s="84">
        <f t="shared" si="83"/>
        <v>-66.8</v>
      </c>
      <c r="BF54" s="116">
        <f t="shared" si="84"/>
        <v>-76.97</v>
      </c>
      <c r="BG54" s="496">
        <f t="shared" si="85"/>
        <v>894.6</v>
      </c>
      <c r="BH54" s="496">
        <f t="shared" si="86"/>
        <v>238.8</v>
      </c>
      <c r="BI54" s="496">
        <f t="shared" si="87"/>
        <v>1133.4000000000001</v>
      </c>
    </row>
    <row r="55" spans="1:61" s="480" customFormat="1" ht="16.149999999999999" customHeight="1">
      <c r="A55" s="495" t="s">
        <v>214</v>
      </c>
      <c r="B55" s="599" t="s">
        <v>420</v>
      </c>
      <c r="C55" s="600" t="s">
        <v>62</v>
      </c>
      <c r="D55" s="601" t="s">
        <v>12</v>
      </c>
      <c r="E55" s="314">
        <v>10228</v>
      </c>
      <c r="F55" s="500">
        <v>6</v>
      </c>
      <c r="G55" s="602">
        <v>831.36</v>
      </c>
      <c r="H55" s="603">
        <v>0</v>
      </c>
      <c r="I55" s="490">
        <f t="shared" si="55"/>
        <v>831.36</v>
      </c>
      <c r="J55" s="604">
        <f>(I55/(I$89))</f>
        <v>1.2763210000000001E-2</v>
      </c>
      <c r="K55" s="484">
        <f>J55*K$89</f>
        <v>-78.86</v>
      </c>
      <c r="L55" s="484">
        <f t="shared" si="89"/>
        <v>0</v>
      </c>
      <c r="M55" s="484">
        <f>$J55*M$89</f>
        <v>19.57</v>
      </c>
      <c r="N55" s="603">
        <f t="shared" si="56"/>
        <v>19.57</v>
      </c>
      <c r="O55" s="603">
        <f t="shared" si="88"/>
        <v>0</v>
      </c>
      <c r="P55" s="603">
        <f t="shared" si="88"/>
        <v>0</v>
      </c>
      <c r="Q55" s="603">
        <f t="shared" si="57"/>
        <v>0</v>
      </c>
      <c r="R55" s="484">
        <f t="shared" si="58"/>
        <v>0</v>
      </c>
      <c r="S55" s="603">
        <f t="shared" si="59"/>
        <v>850.93</v>
      </c>
      <c r="T55" s="605">
        <f>((S55/S$89)*T$89)</f>
        <v>1016.4</v>
      </c>
      <c r="U55" s="606">
        <v>371</v>
      </c>
      <c r="V55" s="607">
        <f t="shared" si="60"/>
        <v>1.2763210000000001E-2</v>
      </c>
      <c r="W55" s="484">
        <f>($V55*W$89)</f>
        <v>43.7</v>
      </c>
      <c r="X55" s="484">
        <v>0</v>
      </c>
      <c r="Y55" s="484">
        <f t="shared" si="90"/>
        <v>26.22</v>
      </c>
      <c r="Z55" s="484">
        <f t="shared" si="90"/>
        <v>-1.58</v>
      </c>
      <c r="AA55" s="484">
        <f t="shared" si="44"/>
        <v>-0.59</v>
      </c>
      <c r="AB55" s="603">
        <f t="shared" si="61"/>
        <v>67.75</v>
      </c>
      <c r="AC55" s="603">
        <f>(V55*AC$89)</f>
        <v>-12.2</v>
      </c>
      <c r="AD55" s="608">
        <f t="shared" si="62"/>
        <v>-80.16</v>
      </c>
      <c r="AE55" s="608">
        <v>0</v>
      </c>
      <c r="AF55" s="603">
        <f t="shared" si="63"/>
        <v>-80.16</v>
      </c>
      <c r="AG55" s="484">
        <f t="shared" si="64"/>
        <v>-92.36</v>
      </c>
      <c r="AH55" s="609">
        <f t="shared" si="65"/>
        <v>346.39</v>
      </c>
      <c r="AI55" s="610">
        <f t="shared" si="66"/>
        <v>1197.32</v>
      </c>
      <c r="AJ55" s="610">
        <f>(AI55/AI$89)*AJ$89</f>
        <v>1424.72</v>
      </c>
      <c r="AK55" s="83"/>
      <c r="AL55" s="114">
        <v>831.36</v>
      </c>
      <c r="AM55" s="497">
        <f>(AL55/AL$89)*AM$89</f>
        <v>1132.8800000000001</v>
      </c>
      <c r="AN55" s="192">
        <f t="shared" si="67"/>
        <v>0</v>
      </c>
      <c r="AO55" s="114">
        <f t="shared" si="68"/>
        <v>-78.86</v>
      </c>
      <c r="AP55" s="137">
        <f t="shared" si="69"/>
        <v>0</v>
      </c>
      <c r="AQ55" s="137">
        <f t="shared" si="70"/>
        <v>19.57</v>
      </c>
      <c r="AR55" s="84">
        <f t="shared" si="71"/>
        <v>19.57</v>
      </c>
      <c r="AS55" s="84">
        <f t="shared" si="72"/>
        <v>0</v>
      </c>
      <c r="AT55" s="84">
        <f t="shared" si="73"/>
        <v>0</v>
      </c>
      <c r="AU55" s="84">
        <f t="shared" si="74"/>
        <v>0</v>
      </c>
      <c r="AV55" s="84">
        <f t="shared" si="75"/>
        <v>0</v>
      </c>
      <c r="AW55" s="606">
        <v>371</v>
      </c>
      <c r="AX55" s="137">
        <f t="shared" si="76"/>
        <v>43.7</v>
      </c>
      <c r="AY55" s="137">
        <f t="shared" si="77"/>
        <v>0</v>
      </c>
      <c r="AZ55" s="137">
        <f t="shared" si="78"/>
        <v>26.22</v>
      </c>
      <c r="BA55" s="137">
        <f t="shared" si="79"/>
        <v>-1.58</v>
      </c>
      <c r="BB55" s="137">
        <f t="shared" si="80"/>
        <v>-0.59</v>
      </c>
      <c r="BC55" s="84">
        <f t="shared" si="81"/>
        <v>67.75</v>
      </c>
      <c r="BD55" s="84">
        <f t="shared" si="82"/>
        <v>-12.2</v>
      </c>
      <c r="BE55" s="84">
        <f t="shared" si="83"/>
        <v>-80.16</v>
      </c>
      <c r="BF55" s="116">
        <f t="shared" si="84"/>
        <v>-92.36</v>
      </c>
      <c r="BG55" s="496">
        <f t="shared" si="85"/>
        <v>1073.5899999999999</v>
      </c>
      <c r="BH55" s="496">
        <f t="shared" si="86"/>
        <v>346.39</v>
      </c>
      <c r="BI55" s="496">
        <f t="shared" si="87"/>
        <v>1419.98</v>
      </c>
    </row>
    <row r="56" spans="1:61" s="480" customFormat="1" ht="16.149999999999999" customHeight="1">
      <c r="A56" s="495" t="s">
        <v>214</v>
      </c>
      <c r="B56" s="599" t="s">
        <v>421</v>
      </c>
      <c r="C56" s="600" t="s">
        <v>62</v>
      </c>
      <c r="D56" s="601" t="s">
        <v>12</v>
      </c>
      <c r="E56" s="314">
        <v>15342</v>
      </c>
      <c r="F56" s="500">
        <v>10</v>
      </c>
      <c r="G56" s="602">
        <f>1662.68-0.01</f>
        <v>1662.67</v>
      </c>
      <c r="H56" s="603">
        <v>0</v>
      </c>
      <c r="I56" s="490">
        <f t="shared" si="55"/>
        <v>1662.67</v>
      </c>
      <c r="J56" s="604">
        <f>(I56/(I$89))+0.00000004</f>
        <v>2.552569E-2</v>
      </c>
      <c r="K56" s="484">
        <f>(J56*K$89)-0.04</f>
        <v>-157.75</v>
      </c>
      <c r="L56" s="484">
        <f t="shared" si="89"/>
        <v>0</v>
      </c>
      <c r="M56" s="484">
        <f>($J56*M$89)-0.06</f>
        <v>39.090000000000003</v>
      </c>
      <c r="N56" s="603">
        <f t="shared" si="56"/>
        <v>39.090000000000003</v>
      </c>
      <c r="O56" s="603">
        <f t="shared" si="88"/>
        <v>0</v>
      </c>
      <c r="P56" s="603">
        <f t="shared" si="88"/>
        <v>0</v>
      </c>
      <c r="Q56" s="603">
        <f t="shared" si="57"/>
        <v>0</v>
      </c>
      <c r="R56" s="484">
        <f t="shared" si="58"/>
        <v>0</v>
      </c>
      <c r="S56" s="603">
        <f t="shared" si="59"/>
        <v>1701.76</v>
      </c>
      <c r="T56" s="605">
        <f>((S56/S$89)*T$89)+0.06</f>
        <v>2032.74</v>
      </c>
      <c r="U56" s="606">
        <f>805.77+0.03</f>
        <v>805.8</v>
      </c>
      <c r="V56" s="607">
        <f t="shared" si="60"/>
        <v>2.552569E-2</v>
      </c>
      <c r="W56" s="484">
        <f>($V56*W$89)+0.04</f>
        <v>87.45</v>
      </c>
      <c r="X56" s="484">
        <v>0</v>
      </c>
      <c r="Y56" s="484">
        <f>($V56*Y$89)-0.02</f>
        <v>52.42</v>
      </c>
      <c r="Z56" s="484">
        <f>($V56*Z$89)+0.05</f>
        <v>-3.11</v>
      </c>
      <c r="AA56" s="484">
        <f>($V56*AA$89)-0.01</f>
        <v>-1.18</v>
      </c>
      <c r="AB56" s="603">
        <f t="shared" si="61"/>
        <v>135.58000000000001</v>
      </c>
      <c r="AC56" s="603">
        <f>(V56*AC$89)-0.07</f>
        <v>-24.47</v>
      </c>
      <c r="AD56" s="608">
        <f t="shared" si="62"/>
        <v>-133.6</v>
      </c>
      <c r="AE56" s="608">
        <v>0</v>
      </c>
      <c r="AF56" s="603">
        <f t="shared" si="63"/>
        <v>-133.6</v>
      </c>
      <c r="AG56" s="484">
        <f t="shared" si="64"/>
        <v>-158.07</v>
      </c>
      <c r="AH56" s="609">
        <f t="shared" si="65"/>
        <v>783.31</v>
      </c>
      <c r="AI56" s="610">
        <f t="shared" si="66"/>
        <v>2485.0700000000002</v>
      </c>
      <c r="AJ56" s="610">
        <f>((AI56/AI$89)*AJ$89)-0.03</f>
        <v>2957.01</v>
      </c>
      <c r="AK56" s="83"/>
      <c r="AL56" s="114">
        <v>1662.67</v>
      </c>
      <c r="AM56" s="497">
        <f>((AL56/AL$89)*AM$89)+0.03</f>
        <v>2265.73</v>
      </c>
      <c r="AN56" s="192">
        <f t="shared" si="67"/>
        <v>0</v>
      </c>
      <c r="AO56" s="114">
        <f t="shared" si="68"/>
        <v>-157.75</v>
      </c>
      <c r="AP56" s="137">
        <f t="shared" si="69"/>
        <v>0</v>
      </c>
      <c r="AQ56" s="137">
        <f t="shared" si="70"/>
        <v>39.090000000000003</v>
      </c>
      <c r="AR56" s="84">
        <f t="shared" si="71"/>
        <v>39.090000000000003</v>
      </c>
      <c r="AS56" s="84">
        <f t="shared" si="72"/>
        <v>0</v>
      </c>
      <c r="AT56" s="84">
        <f t="shared" si="73"/>
        <v>0</v>
      </c>
      <c r="AU56" s="84">
        <f t="shared" si="74"/>
        <v>0</v>
      </c>
      <c r="AV56" s="84">
        <f t="shared" si="75"/>
        <v>0</v>
      </c>
      <c r="AW56" s="606">
        <v>805.8</v>
      </c>
      <c r="AX56" s="137">
        <f t="shared" si="76"/>
        <v>87.45</v>
      </c>
      <c r="AY56" s="137">
        <f t="shared" si="77"/>
        <v>0</v>
      </c>
      <c r="AZ56" s="137">
        <f t="shared" si="78"/>
        <v>52.42</v>
      </c>
      <c r="BA56" s="137">
        <f t="shared" si="79"/>
        <v>-3.11</v>
      </c>
      <c r="BB56" s="137">
        <f t="shared" si="80"/>
        <v>-1.18</v>
      </c>
      <c r="BC56" s="84">
        <f t="shared" si="81"/>
        <v>135.58000000000001</v>
      </c>
      <c r="BD56" s="84">
        <f t="shared" si="82"/>
        <v>-24.47</v>
      </c>
      <c r="BE56" s="84">
        <f t="shared" si="83"/>
        <v>-133.6</v>
      </c>
      <c r="BF56" s="116">
        <f t="shared" si="84"/>
        <v>-158.07</v>
      </c>
      <c r="BG56" s="496">
        <f t="shared" si="85"/>
        <v>2147.0700000000002</v>
      </c>
      <c r="BH56" s="496">
        <f t="shared" si="86"/>
        <v>783.31</v>
      </c>
      <c r="BI56" s="496">
        <f t="shared" si="87"/>
        <v>2930.38</v>
      </c>
    </row>
    <row r="57" spans="1:61" s="480" customFormat="1" ht="16.149999999999999" customHeight="1">
      <c r="A57" s="495" t="s">
        <v>214</v>
      </c>
      <c r="B57" s="599" t="s">
        <v>422</v>
      </c>
      <c r="C57" s="600" t="s">
        <v>62</v>
      </c>
      <c r="D57" s="601" t="s">
        <v>12</v>
      </c>
      <c r="E57" s="314">
        <v>15342</v>
      </c>
      <c r="F57" s="500">
        <v>10</v>
      </c>
      <c r="G57" s="602">
        <v>1108.29</v>
      </c>
      <c r="H57" s="603">
        <v>0</v>
      </c>
      <c r="I57" s="490">
        <f t="shared" si="55"/>
        <v>1108.29</v>
      </c>
      <c r="J57" s="604">
        <f t="shared" ref="J57:J86" si="91">(I57/(I$89))</f>
        <v>1.7014689999999999E-2</v>
      </c>
      <c r="K57" s="484">
        <f t="shared" ref="K57:K86" si="92">J57*K$89</f>
        <v>-105.12</v>
      </c>
      <c r="L57" s="484">
        <f t="shared" si="89"/>
        <v>0</v>
      </c>
      <c r="M57" s="484">
        <f t="shared" ref="M57:M86" si="93">$J57*M$89</f>
        <v>26.1</v>
      </c>
      <c r="N57" s="485">
        <f t="shared" si="56"/>
        <v>26.1</v>
      </c>
      <c r="O57" s="485">
        <f t="shared" si="88"/>
        <v>0</v>
      </c>
      <c r="P57" s="485">
        <f t="shared" si="88"/>
        <v>0</v>
      </c>
      <c r="Q57" s="485">
        <f t="shared" si="57"/>
        <v>0</v>
      </c>
      <c r="R57" s="484">
        <f t="shared" si="58"/>
        <v>0</v>
      </c>
      <c r="S57" s="485">
        <f t="shared" si="59"/>
        <v>1134.3900000000001</v>
      </c>
      <c r="T57" s="488">
        <f t="shared" ref="T57:T86" si="94">((S57/S$89)*T$89)</f>
        <v>1354.98</v>
      </c>
      <c r="U57" s="487">
        <v>402.36</v>
      </c>
      <c r="V57" s="486">
        <f t="shared" si="60"/>
        <v>1.7014689999999999E-2</v>
      </c>
      <c r="W57" s="484">
        <f t="shared" ref="W57:W86" si="95">($V57*W$89)</f>
        <v>58.26</v>
      </c>
      <c r="X57" s="484">
        <v>0</v>
      </c>
      <c r="Y57" s="484">
        <f t="shared" ref="Y57:AA86" si="96">$V57*Y$89</f>
        <v>34.96</v>
      </c>
      <c r="Z57" s="484">
        <f t="shared" si="96"/>
        <v>-2.11</v>
      </c>
      <c r="AA57" s="484">
        <f t="shared" si="96"/>
        <v>-0.78</v>
      </c>
      <c r="AB57" s="485">
        <f t="shared" si="61"/>
        <v>90.33</v>
      </c>
      <c r="AC57" s="485">
        <f t="shared" ref="AC57:AC86" si="97">(V57*AC$89)</f>
        <v>-16.260000000000002</v>
      </c>
      <c r="AD57" s="498">
        <f t="shared" si="62"/>
        <v>-133.6</v>
      </c>
      <c r="AE57" s="498">
        <v>0</v>
      </c>
      <c r="AF57" s="485">
        <f t="shared" si="63"/>
        <v>-133.6</v>
      </c>
      <c r="AG57" s="484">
        <f t="shared" si="64"/>
        <v>-149.86000000000001</v>
      </c>
      <c r="AH57" s="609">
        <f t="shared" si="65"/>
        <v>342.83</v>
      </c>
      <c r="AI57" s="610">
        <f t="shared" si="66"/>
        <v>1477.22</v>
      </c>
      <c r="AJ57" s="610">
        <f t="shared" ref="AJ57:AJ86" si="98">(AI57/AI$89)*AJ$89</f>
        <v>1757.78</v>
      </c>
      <c r="AK57" s="83"/>
      <c r="AL57" s="114">
        <v>1108.29</v>
      </c>
      <c r="AM57" s="497">
        <f t="shared" ref="AM57:AM86" si="99">(AL57/AL$89)*AM$89</f>
        <v>1510.25</v>
      </c>
      <c r="AN57" s="192">
        <f t="shared" si="67"/>
        <v>0</v>
      </c>
      <c r="AO57" s="114">
        <f t="shared" si="68"/>
        <v>-105.12</v>
      </c>
      <c r="AP57" s="137">
        <f t="shared" si="69"/>
        <v>0</v>
      </c>
      <c r="AQ57" s="137">
        <f t="shared" si="70"/>
        <v>26.1</v>
      </c>
      <c r="AR57" s="84">
        <f t="shared" si="71"/>
        <v>26.1</v>
      </c>
      <c r="AS57" s="84">
        <f t="shared" si="72"/>
        <v>0</v>
      </c>
      <c r="AT57" s="84">
        <f t="shared" si="73"/>
        <v>0</v>
      </c>
      <c r="AU57" s="84">
        <f t="shared" si="74"/>
        <v>0</v>
      </c>
      <c r="AV57" s="84">
        <f t="shared" si="75"/>
        <v>0</v>
      </c>
      <c r="AW57" s="606">
        <v>402.36</v>
      </c>
      <c r="AX57" s="137">
        <f t="shared" si="76"/>
        <v>58.26</v>
      </c>
      <c r="AY57" s="137">
        <f t="shared" si="77"/>
        <v>0</v>
      </c>
      <c r="AZ57" s="137">
        <f t="shared" si="78"/>
        <v>34.96</v>
      </c>
      <c r="BA57" s="137">
        <f t="shared" si="79"/>
        <v>-2.11</v>
      </c>
      <c r="BB57" s="137">
        <f t="shared" si="80"/>
        <v>-0.78</v>
      </c>
      <c r="BC57" s="84">
        <f t="shared" si="81"/>
        <v>90.33</v>
      </c>
      <c r="BD57" s="84">
        <f t="shared" si="82"/>
        <v>-16.260000000000002</v>
      </c>
      <c r="BE57" s="84">
        <f t="shared" si="83"/>
        <v>-133.6</v>
      </c>
      <c r="BF57" s="116">
        <f t="shared" si="84"/>
        <v>-149.86000000000001</v>
      </c>
      <c r="BG57" s="496">
        <f t="shared" si="85"/>
        <v>1431.23</v>
      </c>
      <c r="BH57" s="496">
        <f t="shared" si="86"/>
        <v>342.83</v>
      </c>
      <c r="BI57" s="496">
        <f t="shared" si="87"/>
        <v>1774.06</v>
      </c>
    </row>
    <row r="58" spans="1:61" s="480" customFormat="1" ht="16.149999999999999" customHeight="1">
      <c r="A58" s="495" t="s">
        <v>214</v>
      </c>
      <c r="B58" s="599" t="s">
        <v>425</v>
      </c>
      <c r="C58" s="600" t="s">
        <v>62</v>
      </c>
      <c r="D58" s="601" t="s">
        <v>12</v>
      </c>
      <c r="E58" s="314">
        <v>8767</v>
      </c>
      <c r="F58" s="500">
        <v>5</v>
      </c>
      <c r="G58" s="602">
        <v>554.29</v>
      </c>
      <c r="H58" s="603">
        <v>0</v>
      </c>
      <c r="I58" s="490">
        <f t="shared" si="55"/>
        <v>554.29</v>
      </c>
      <c r="J58" s="489">
        <f t="shared" si="91"/>
        <v>8.5095699999999993E-3</v>
      </c>
      <c r="K58" s="484">
        <f t="shared" si="92"/>
        <v>-52.57</v>
      </c>
      <c r="L58" s="484">
        <f t="shared" si="89"/>
        <v>0</v>
      </c>
      <c r="M58" s="484">
        <f t="shared" si="93"/>
        <v>13.05</v>
      </c>
      <c r="N58" s="485">
        <f t="shared" si="56"/>
        <v>13.05</v>
      </c>
      <c r="O58" s="485">
        <f t="shared" si="88"/>
        <v>0</v>
      </c>
      <c r="P58" s="485">
        <f t="shared" si="88"/>
        <v>0</v>
      </c>
      <c r="Q58" s="485">
        <f t="shared" si="57"/>
        <v>0</v>
      </c>
      <c r="R58" s="484">
        <f t="shared" si="58"/>
        <v>0</v>
      </c>
      <c r="S58" s="485">
        <f t="shared" si="59"/>
        <v>567.34</v>
      </c>
      <c r="T58" s="488">
        <f t="shared" si="94"/>
        <v>677.66</v>
      </c>
      <c r="U58" s="487">
        <v>201.24</v>
      </c>
      <c r="V58" s="486">
        <f t="shared" si="60"/>
        <v>8.5095699999999993E-3</v>
      </c>
      <c r="W58" s="484">
        <f t="shared" si="95"/>
        <v>29.14</v>
      </c>
      <c r="X58" s="484">
        <v>0</v>
      </c>
      <c r="Y58" s="484">
        <f t="shared" si="96"/>
        <v>17.48</v>
      </c>
      <c r="Z58" s="484">
        <f t="shared" si="96"/>
        <v>-1.05</v>
      </c>
      <c r="AA58" s="484">
        <f t="shared" si="96"/>
        <v>-0.39</v>
      </c>
      <c r="AB58" s="485">
        <f t="shared" si="61"/>
        <v>45.18</v>
      </c>
      <c r="AC58" s="485">
        <f t="shared" si="97"/>
        <v>-8.1300000000000008</v>
      </c>
      <c r="AD58" s="498">
        <f t="shared" si="62"/>
        <v>-66.8</v>
      </c>
      <c r="AE58" s="498">
        <v>0</v>
      </c>
      <c r="AF58" s="485">
        <f t="shared" si="63"/>
        <v>-66.8</v>
      </c>
      <c r="AG58" s="484">
        <f t="shared" si="64"/>
        <v>-74.930000000000007</v>
      </c>
      <c r="AH58" s="381">
        <f t="shared" si="65"/>
        <v>171.49</v>
      </c>
      <c r="AI58" s="483">
        <f t="shared" si="66"/>
        <v>738.83</v>
      </c>
      <c r="AJ58" s="483">
        <f t="shared" si="98"/>
        <v>879.15</v>
      </c>
      <c r="AK58" s="83"/>
      <c r="AL58" s="114">
        <v>554.29</v>
      </c>
      <c r="AM58" s="497">
        <f t="shared" si="99"/>
        <v>755.32</v>
      </c>
      <c r="AN58" s="192">
        <f t="shared" si="67"/>
        <v>0</v>
      </c>
      <c r="AO58" s="114">
        <f t="shared" si="68"/>
        <v>-52.57</v>
      </c>
      <c r="AP58" s="137">
        <f t="shared" si="69"/>
        <v>0</v>
      </c>
      <c r="AQ58" s="137">
        <f t="shared" si="70"/>
        <v>13.05</v>
      </c>
      <c r="AR58" s="84">
        <f t="shared" si="71"/>
        <v>13.05</v>
      </c>
      <c r="AS58" s="84">
        <f t="shared" si="72"/>
        <v>0</v>
      </c>
      <c r="AT58" s="84">
        <f t="shared" si="73"/>
        <v>0</v>
      </c>
      <c r="AU58" s="84">
        <f t="shared" si="74"/>
        <v>0</v>
      </c>
      <c r="AV58" s="84">
        <f t="shared" si="75"/>
        <v>0</v>
      </c>
      <c r="AW58" s="487">
        <v>201.24</v>
      </c>
      <c r="AX58" s="137">
        <f t="shared" si="76"/>
        <v>29.14</v>
      </c>
      <c r="AY58" s="137">
        <f t="shared" si="77"/>
        <v>0</v>
      </c>
      <c r="AZ58" s="137">
        <f t="shared" si="78"/>
        <v>17.48</v>
      </c>
      <c r="BA58" s="137">
        <f t="shared" si="79"/>
        <v>-1.05</v>
      </c>
      <c r="BB58" s="137">
        <f t="shared" si="80"/>
        <v>-0.39</v>
      </c>
      <c r="BC58" s="84">
        <f t="shared" si="81"/>
        <v>45.18</v>
      </c>
      <c r="BD58" s="84">
        <f t="shared" si="82"/>
        <v>-8.1300000000000008</v>
      </c>
      <c r="BE58" s="84">
        <f t="shared" si="83"/>
        <v>-66.8</v>
      </c>
      <c r="BF58" s="116">
        <f t="shared" si="84"/>
        <v>-74.930000000000007</v>
      </c>
      <c r="BG58" s="496">
        <f t="shared" si="85"/>
        <v>715.8</v>
      </c>
      <c r="BH58" s="496">
        <f t="shared" si="86"/>
        <v>171.49</v>
      </c>
      <c r="BI58" s="496">
        <f t="shared" si="87"/>
        <v>887.29</v>
      </c>
    </row>
    <row r="59" spans="1:61" s="480" customFormat="1" ht="16.149999999999999" customHeight="1">
      <c r="A59" s="495" t="s">
        <v>214</v>
      </c>
      <c r="B59" s="599" t="s">
        <v>423</v>
      </c>
      <c r="C59" s="600" t="s">
        <v>62</v>
      </c>
      <c r="D59" s="601" t="s">
        <v>12</v>
      </c>
      <c r="E59" s="314">
        <v>17168</v>
      </c>
      <c r="F59" s="500">
        <v>6</v>
      </c>
      <c r="G59" s="602">
        <v>1108.29</v>
      </c>
      <c r="H59" s="603">
        <v>0</v>
      </c>
      <c r="I59" s="490">
        <f t="shared" si="55"/>
        <v>1108.29</v>
      </c>
      <c r="J59" s="604">
        <f t="shared" si="91"/>
        <v>1.7014689999999999E-2</v>
      </c>
      <c r="K59" s="484">
        <f t="shared" si="92"/>
        <v>-105.12</v>
      </c>
      <c r="L59" s="484">
        <f t="shared" si="89"/>
        <v>0</v>
      </c>
      <c r="M59" s="484">
        <f t="shared" si="93"/>
        <v>26.1</v>
      </c>
      <c r="N59" s="485">
        <f t="shared" si="56"/>
        <v>26.1</v>
      </c>
      <c r="O59" s="485">
        <f t="shared" si="88"/>
        <v>0</v>
      </c>
      <c r="P59" s="485">
        <f t="shared" si="88"/>
        <v>0</v>
      </c>
      <c r="Q59" s="485">
        <f t="shared" si="57"/>
        <v>0</v>
      </c>
      <c r="R59" s="484">
        <f t="shared" si="58"/>
        <v>0</v>
      </c>
      <c r="S59" s="485">
        <f t="shared" si="59"/>
        <v>1134.3900000000001</v>
      </c>
      <c r="T59" s="488">
        <f t="shared" si="94"/>
        <v>1354.98</v>
      </c>
      <c r="U59" s="487">
        <v>563.99</v>
      </c>
      <c r="V59" s="486">
        <f t="shared" si="60"/>
        <v>1.7014689999999999E-2</v>
      </c>
      <c r="W59" s="484">
        <f t="shared" si="95"/>
        <v>58.26</v>
      </c>
      <c r="X59" s="484">
        <v>0</v>
      </c>
      <c r="Y59" s="484">
        <f t="shared" si="96"/>
        <v>34.96</v>
      </c>
      <c r="Z59" s="484">
        <f t="shared" si="96"/>
        <v>-2.11</v>
      </c>
      <c r="AA59" s="484">
        <f t="shared" si="96"/>
        <v>-0.78</v>
      </c>
      <c r="AB59" s="485">
        <f t="shared" si="61"/>
        <v>90.33</v>
      </c>
      <c r="AC59" s="485">
        <f t="shared" si="97"/>
        <v>-16.260000000000002</v>
      </c>
      <c r="AD59" s="498">
        <f t="shared" si="62"/>
        <v>-80.16</v>
      </c>
      <c r="AE59" s="498">
        <v>0</v>
      </c>
      <c r="AF59" s="485">
        <f t="shared" si="63"/>
        <v>-80.16</v>
      </c>
      <c r="AG59" s="484">
        <f t="shared" si="64"/>
        <v>-96.42</v>
      </c>
      <c r="AH59" s="381">
        <f t="shared" si="65"/>
        <v>557.9</v>
      </c>
      <c r="AI59" s="483">
        <f t="shared" si="66"/>
        <v>1692.29</v>
      </c>
      <c r="AJ59" s="483">
        <f t="shared" si="98"/>
        <v>2013.69</v>
      </c>
      <c r="AK59" s="83"/>
      <c r="AL59" s="114">
        <v>1108.29</v>
      </c>
      <c r="AM59" s="497">
        <f t="shared" si="99"/>
        <v>1510.25</v>
      </c>
      <c r="AN59" s="192">
        <f t="shared" si="67"/>
        <v>0</v>
      </c>
      <c r="AO59" s="114">
        <f t="shared" si="68"/>
        <v>-105.12</v>
      </c>
      <c r="AP59" s="137">
        <f t="shared" si="69"/>
        <v>0</v>
      </c>
      <c r="AQ59" s="137">
        <f t="shared" si="70"/>
        <v>26.1</v>
      </c>
      <c r="AR59" s="84">
        <f t="shared" si="71"/>
        <v>26.1</v>
      </c>
      <c r="AS59" s="84">
        <f t="shared" si="72"/>
        <v>0</v>
      </c>
      <c r="AT59" s="84">
        <f t="shared" si="73"/>
        <v>0</v>
      </c>
      <c r="AU59" s="84">
        <f t="shared" si="74"/>
        <v>0</v>
      </c>
      <c r="AV59" s="84">
        <f t="shared" si="75"/>
        <v>0</v>
      </c>
      <c r="AW59" s="606">
        <v>563.99</v>
      </c>
      <c r="AX59" s="137">
        <f t="shared" si="76"/>
        <v>58.26</v>
      </c>
      <c r="AY59" s="137">
        <f t="shared" si="77"/>
        <v>0</v>
      </c>
      <c r="AZ59" s="137">
        <f t="shared" si="78"/>
        <v>34.96</v>
      </c>
      <c r="BA59" s="137">
        <f t="shared" si="79"/>
        <v>-2.11</v>
      </c>
      <c r="BB59" s="137">
        <f t="shared" si="80"/>
        <v>-0.78</v>
      </c>
      <c r="BC59" s="84">
        <f t="shared" si="81"/>
        <v>90.33</v>
      </c>
      <c r="BD59" s="84">
        <f t="shared" si="82"/>
        <v>-16.260000000000002</v>
      </c>
      <c r="BE59" s="84">
        <f t="shared" si="83"/>
        <v>-80.16</v>
      </c>
      <c r="BF59" s="116">
        <f t="shared" si="84"/>
        <v>-96.42</v>
      </c>
      <c r="BG59" s="496">
        <f t="shared" si="85"/>
        <v>1431.23</v>
      </c>
      <c r="BH59" s="496">
        <f t="shared" si="86"/>
        <v>557.9</v>
      </c>
      <c r="BI59" s="496">
        <f t="shared" si="87"/>
        <v>1989.13</v>
      </c>
    </row>
    <row r="60" spans="1:61" s="480" customFormat="1" ht="16.149999999999999" customHeight="1">
      <c r="A60" s="495" t="s">
        <v>214</v>
      </c>
      <c r="B60" s="599" t="s">
        <v>424</v>
      </c>
      <c r="C60" s="600" t="s">
        <v>62</v>
      </c>
      <c r="D60" s="601" t="s">
        <v>12</v>
      </c>
      <c r="E60" s="314">
        <v>8037</v>
      </c>
      <c r="F60" s="500">
        <v>5</v>
      </c>
      <c r="G60" s="602">
        <v>554.29</v>
      </c>
      <c r="H60" s="603">
        <v>0</v>
      </c>
      <c r="I60" s="490">
        <f t="shared" si="55"/>
        <v>554.29</v>
      </c>
      <c r="J60" s="489">
        <f t="shared" si="91"/>
        <v>8.5095699999999993E-3</v>
      </c>
      <c r="K60" s="484">
        <f t="shared" si="92"/>
        <v>-52.57</v>
      </c>
      <c r="L60" s="484">
        <f t="shared" si="89"/>
        <v>0</v>
      </c>
      <c r="M60" s="484">
        <f t="shared" si="93"/>
        <v>13.05</v>
      </c>
      <c r="N60" s="485">
        <f t="shared" si="56"/>
        <v>13.05</v>
      </c>
      <c r="O60" s="485">
        <f t="shared" si="88"/>
        <v>0</v>
      </c>
      <c r="P60" s="485">
        <f t="shared" si="88"/>
        <v>0</v>
      </c>
      <c r="Q60" s="485">
        <f t="shared" si="57"/>
        <v>0</v>
      </c>
      <c r="R60" s="484">
        <f t="shared" si="58"/>
        <v>0</v>
      </c>
      <c r="S60" s="485">
        <f t="shared" si="59"/>
        <v>567.34</v>
      </c>
      <c r="T60" s="488">
        <f t="shared" si="94"/>
        <v>677.66</v>
      </c>
      <c r="U60" s="487">
        <v>201.24</v>
      </c>
      <c r="V60" s="486">
        <f t="shared" si="60"/>
        <v>8.5095699999999993E-3</v>
      </c>
      <c r="W60" s="484">
        <f t="shared" si="95"/>
        <v>29.14</v>
      </c>
      <c r="X60" s="484">
        <v>0</v>
      </c>
      <c r="Y60" s="484">
        <f t="shared" si="96"/>
        <v>17.48</v>
      </c>
      <c r="Z60" s="484">
        <f t="shared" si="96"/>
        <v>-1.05</v>
      </c>
      <c r="AA60" s="484">
        <f t="shared" si="96"/>
        <v>-0.39</v>
      </c>
      <c r="AB60" s="485">
        <f t="shared" si="61"/>
        <v>45.18</v>
      </c>
      <c r="AC60" s="485">
        <f t="shared" si="97"/>
        <v>-8.1300000000000008</v>
      </c>
      <c r="AD60" s="498">
        <f t="shared" si="62"/>
        <v>-66.8</v>
      </c>
      <c r="AE60" s="498">
        <v>0</v>
      </c>
      <c r="AF60" s="485">
        <f t="shared" si="63"/>
        <v>-66.8</v>
      </c>
      <c r="AG60" s="484">
        <f t="shared" si="64"/>
        <v>-74.930000000000007</v>
      </c>
      <c r="AH60" s="381">
        <f t="shared" si="65"/>
        <v>171.49</v>
      </c>
      <c r="AI60" s="483">
        <f t="shared" si="66"/>
        <v>738.83</v>
      </c>
      <c r="AJ60" s="483">
        <f t="shared" si="98"/>
        <v>879.15</v>
      </c>
      <c r="AK60" s="83"/>
      <c r="AL60" s="114">
        <v>554.29</v>
      </c>
      <c r="AM60" s="497">
        <f t="shared" si="99"/>
        <v>755.32</v>
      </c>
      <c r="AN60" s="192">
        <f t="shared" si="67"/>
        <v>0</v>
      </c>
      <c r="AO60" s="114">
        <f t="shared" si="68"/>
        <v>-52.57</v>
      </c>
      <c r="AP60" s="137">
        <f t="shared" si="69"/>
        <v>0</v>
      </c>
      <c r="AQ60" s="137">
        <f t="shared" si="70"/>
        <v>13.05</v>
      </c>
      <c r="AR60" s="84">
        <f t="shared" si="71"/>
        <v>13.05</v>
      </c>
      <c r="AS60" s="84">
        <f t="shared" si="72"/>
        <v>0</v>
      </c>
      <c r="AT60" s="84">
        <f t="shared" si="73"/>
        <v>0</v>
      </c>
      <c r="AU60" s="84">
        <f t="shared" si="74"/>
        <v>0</v>
      </c>
      <c r="AV60" s="84">
        <f t="shared" si="75"/>
        <v>0</v>
      </c>
      <c r="AW60" s="487">
        <v>201.24</v>
      </c>
      <c r="AX60" s="137">
        <f t="shared" si="76"/>
        <v>29.14</v>
      </c>
      <c r="AY60" s="137">
        <f t="shared" si="77"/>
        <v>0</v>
      </c>
      <c r="AZ60" s="137">
        <f t="shared" si="78"/>
        <v>17.48</v>
      </c>
      <c r="BA60" s="137">
        <f t="shared" si="79"/>
        <v>-1.05</v>
      </c>
      <c r="BB60" s="137">
        <f t="shared" si="80"/>
        <v>-0.39</v>
      </c>
      <c r="BC60" s="84">
        <f t="shared" si="81"/>
        <v>45.18</v>
      </c>
      <c r="BD60" s="84">
        <f t="shared" si="82"/>
        <v>-8.1300000000000008</v>
      </c>
      <c r="BE60" s="84">
        <f t="shared" si="83"/>
        <v>-66.8</v>
      </c>
      <c r="BF60" s="116">
        <f t="shared" si="84"/>
        <v>-74.930000000000007</v>
      </c>
      <c r="BG60" s="496">
        <f t="shared" si="85"/>
        <v>715.8</v>
      </c>
      <c r="BH60" s="496">
        <f t="shared" si="86"/>
        <v>171.49</v>
      </c>
      <c r="BI60" s="496">
        <f t="shared" si="87"/>
        <v>887.29</v>
      </c>
    </row>
    <row r="61" spans="1:61" s="480" customFormat="1" ht="16.149999999999999" customHeight="1">
      <c r="A61" s="495" t="s">
        <v>214</v>
      </c>
      <c r="B61" s="599" t="s">
        <v>426</v>
      </c>
      <c r="C61" s="600" t="s">
        <v>62</v>
      </c>
      <c r="D61" s="601" t="s">
        <v>12</v>
      </c>
      <c r="E61" s="314">
        <v>6576</v>
      </c>
      <c r="F61" s="500">
        <v>6</v>
      </c>
      <c r="G61" s="602">
        <v>831.36</v>
      </c>
      <c r="H61" s="603">
        <v>0</v>
      </c>
      <c r="I61" s="490">
        <f t="shared" si="55"/>
        <v>831.36</v>
      </c>
      <c r="J61" s="489">
        <f t="shared" si="91"/>
        <v>1.2763210000000001E-2</v>
      </c>
      <c r="K61" s="484">
        <f t="shared" si="92"/>
        <v>-78.86</v>
      </c>
      <c r="L61" s="484">
        <f t="shared" si="89"/>
        <v>0</v>
      </c>
      <c r="M61" s="484">
        <f t="shared" si="93"/>
        <v>19.57</v>
      </c>
      <c r="N61" s="485">
        <f t="shared" si="56"/>
        <v>19.57</v>
      </c>
      <c r="O61" s="485">
        <f t="shared" si="88"/>
        <v>0</v>
      </c>
      <c r="P61" s="485">
        <f t="shared" si="88"/>
        <v>0</v>
      </c>
      <c r="Q61" s="485">
        <f t="shared" si="57"/>
        <v>0</v>
      </c>
      <c r="R61" s="484">
        <f t="shared" si="58"/>
        <v>0</v>
      </c>
      <c r="S61" s="485">
        <f t="shared" si="59"/>
        <v>850.93</v>
      </c>
      <c r="T61" s="488">
        <f t="shared" si="94"/>
        <v>1016.4</v>
      </c>
      <c r="U61" s="487">
        <v>362.46</v>
      </c>
      <c r="V61" s="486">
        <f t="shared" si="60"/>
        <v>1.2763210000000001E-2</v>
      </c>
      <c r="W61" s="484">
        <f t="shared" si="95"/>
        <v>43.7</v>
      </c>
      <c r="X61" s="484">
        <v>0</v>
      </c>
      <c r="Y61" s="484">
        <f t="shared" si="96"/>
        <v>26.22</v>
      </c>
      <c r="Z61" s="484">
        <f t="shared" si="96"/>
        <v>-1.58</v>
      </c>
      <c r="AA61" s="484">
        <f t="shared" si="96"/>
        <v>-0.59</v>
      </c>
      <c r="AB61" s="485">
        <f t="shared" si="61"/>
        <v>67.75</v>
      </c>
      <c r="AC61" s="485">
        <f t="shared" si="97"/>
        <v>-12.2</v>
      </c>
      <c r="AD61" s="498">
        <f t="shared" si="62"/>
        <v>-80.16</v>
      </c>
      <c r="AE61" s="498">
        <v>0</v>
      </c>
      <c r="AF61" s="485">
        <f t="shared" si="63"/>
        <v>-80.16</v>
      </c>
      <c r="AG61" s="484">
        <f t="shared" si="64"/>
        <v>-92.36</v>
      </c>
      <c r="AH61" s="381">
        <f t="shared" si="65"/>
        <v>337.85</v>
      </c>
      <c r="AI61" s="483">
        <f t="shared" si="66"/>
        <v>1188.78</v>
      </c>
      <c r="AJ61" s="483">
        <f t="shared" si="98"/>
        <v>1414.56</v>
      </c>
      <c r="AK61" s="83"/>
      <c r="AL61" s="114">
        <v>831.36</v>
      </c>
      <c r="AM61" s="497">
        <f t="shared" si="99"/>
        <v>1132.8800000000001</v>
      </c>
      <c r="AN61" s="192">
        <f t="shared" si="67"/>
        <v>0</v>
      </c>
      <c r="AO61" s="114">
        <f t="shared" si="68"/>
        <v>-78.86</v>
      </c>
      <c r="AP61" s="137">
        <f t="shared" si="69"/>
        <v>0</v>
      </c>
      <c r="AQ61" s="137">
        <f t="shared" si="70"/>
        <v>19.57</v>
      </c>
      <c r="AR61" s="84">
        <f t="shared" si="71"/>
        <v>19.57</v>
      </c>
      <c r="AS61" s="84">
        <f t="shared" si="72"/>
        <v>0</v>
      </c>
      <c r="AT61" s="84">
        <f t="shared" si="73"/>
        <v>0</v>
      </c>
      <c r="AU61" s="84">
        <f t="shared" si="74"/>
        <v>0</v>
      </c>
      <c r="AV61" s="84">
        <f t="shared" si="75"/>
        <v>0</v>
      </c>
      <c r="AW61" s="487">
        <v>362.46</v>
      </c>
      <c r="AX61" s="137">
        <f t="shared" si="76"/>
        <v>43.7</v>
      </c>
      <c r="AY61" s="137">
        <f t="shared" si="77"/>
        <v>0</v>
      </c>
      <c r="AZ61" s="137">
        <f t="shared" si="78"/>
        <v>26.22</v>
      </c>
      <c r="BA61" s="137">
        <f t="shared" si="79"/>
        <v>-1.58</v>
      </c>
      <c r="BB61" s="137">
        <f t="shared" si="80"/>
        <v>-0.59</v>
      </c>
      <c r="BC61" s="84">
        <f t="shared" si="81"/>
        <v>67.75</v>
      </c>
      <c r="BD61" s="84">
        <f t="shared" si="82"/>
        <v>-12.2</v>
      </c>
      <c r="BE61" s="84">
        <f t="shared" si="83"/>
        <v>-80.16</v>
      </c>
      <c r="BF61" s="116">
        <f t="shared" si="84"/>
        <v>-92.36</v>
      </c>
      <c r="BG61" s="496">
        <f t="shared" si="85"/>
        <v>1073.5899999999999</v>
      </c>
      <c r="BH61" s="496">
        <f t="shared" si="86"/>
        <v>337.85</v>
      </c>
      <c r="BI61" s="496">
        <f t="shared" si="87"/>
        <v>1411.44</v>
      </c>
    </row>
    <row r="62" spans="1:61" s="480" customFormat="1" ht="16.149999999999999" customHeight="1">
      <c r="A62" s="495" t="s">
        <v>214</v>
      </c>
      <c r="B62" s="494" t="s">
        <v>453</v>
      </c>
      <c r="C62" s="493" t="s">
        <v>62</v>
      </c>
      <c r="D62" s="385" t="s">
        <v>12</v>
      </c>
      <c r="E62" s="314">
        <v>13881</v>
      </c>
      <c r="F62" s="500">
        <v>2</v>
      </c>
      <c r="G62" s="491">
        <v>317.89999999999998</v>
      </c>
      <c r="H62" s="485">
        <v>0</v>
      </c>
      <c r="I62" s="490">
        <f t="shared" si="55"/>
        <v>317.89999999999998</v>
      </c>
      <c r="J62" s="489">
        <f t="shared" si="91"/>
        <v>4.8804699999999996E-3</v>
      </c>
      <c r="K62" s="484">
        <f t="shared" si="92"/>
        <v>-30.15</v>
      </c>
      <c r="L62" s="484">
        <f t="shared" si="89"/>
        <v>0</v>
      </c>
      <c r="M62" s="484">
        <f t="shared" si="93"/>
        <v>7.49</v>
      </c>
      <c r="N62" s="485">
        <f t="shared" si="56"/>
        <v>7.49</v>
      </c>
      <c r="O62" s="485">
        <f t="shared" si="88"/>
        <v>0</v>
      </c>
      <c r="P62" s="485">
        <f t="shared" si="88"/>
        <v>0</v>
      </c>
      <c r="Q62" s="485">
        <f t="shared" si="57"/>
        <v>0</v>
      </c>
      <c r="R62" s="484">
        <f t="shared" si="58"/>
        <v>0</v>
      </c>
      <c r="S62" s="485">
        <f t="shared" si="59"/>
        <v>325.39</v>
      </c>
      <c r="T62" s="488">
        <f t="shared" si="94"/>
        <v>388.66</v>
      </c>
      <c r="U62" s="487">
        <v>150.51</v>
      </c>
      <c r="V62" s="486">
        <f t="shared" si="60"/>
        <v>4.8804699999999996E-3</v>
      </c>
      <c r="W62" s="484">
        <f t="shared" si="95"/>
        <v>16.71</v>
      </c>
      <c r="X62" s="484">
        <v>0</v>
      </c>
      <c r="Y62" s="484">
        <f t="shared" si="96"/>
        <v>10.029999999999999</v>
      </c>
      <c r="Z62" s="484">
        <f t="shared" si="96"/>
        <v>-0.6</v>
      </c>
      <c r="AA62" s="484">
        <f t="shared" si="96"/>
        <v>-0.22</v>
      </c>
      <c r="AB62" s="485">
        <f t="shared" si="61"/>
        <v>25.92</v>
      </c>
      <c r="AC62" s="485">
        <f t="shared" si="97"/>
        <v>-4.66</v>
      </c>
      <c r="AD62" s="498">
        <f t="shared" si="62"/>
        <v>-26.72</v>
      </c>
      <c r="AE62" s="498">
        <v>0</v>
      </c>
      <c r="AF62" s="485">
        <f t="shared" si="63"/>
        <v>-26.72</v>
      </c>
      <c r="AG62" s="484">
        <f t="shared" si="64"/>
        <v>-31.38</v>
      </c>
      <c r="AH62" s="381">
        <f t="shared" si="65"/>
        <v>145.05000000000001</v>
      </c>
      <c r="AI62" s="483">
        <f t="shared" si="66"/>
        <v>470.44</v>
      </c>
      <c r="AJ62" s="483">
        <f t="shared" si="98"/>
        <v>559.79</v>
      </c>
      <c r="AK62" s="83"/>
      <c r="AL62" s="114">
        <v>317.89999999999998</v>
      </c>
      <c r="AM62" s="497">
        <f t="shared" si="99"/>
        <v>433.2</v>
      </c>
      <c r="AN62" s="192">
        <f t="shared" si="67"/>
        <v>0</v>
      </c>
      <c r="AO62" s="114">
        <f t="shared" si="68"/>
        <v>-30.15</v>
      </c>
      <c r="AP62" s="137">
        <f t="shared" si="69"/>
        <v>0</v>
      </c>
      <c r="AQ62" s="137">
        <f t="shared" si="70"/>
        <v>7.49</v>
      </c>
      <c r="AR62" s="84">
        <f t="shared" si="71"/>
        <v>7.49</v>
      </c>
      <c r="AS62" s="84">
        <f t="shared" si="72"/>
        <v>0</v>
      </c>
      <c r="AT62" s="84">
        <f t="shared" si="73"/>
        <v>0</v>
      </c>
      <c r="AU62" s="84">
        <f t="shared" si="74"/>
        <v>0</v>
      </c>
      <c r="AV62" s="84">
        <f t="shared" si="75"/>
        <v>0</v>
      </c>
      <c r="AW62" s="487">
        <v>150.51</v>
      </c>
      <c r="AX62" s="137">
        <f t="shared" si="76"/>
        <v>16.71</v>
      </c>
      <c r="AY62" s="137">
        <f t="shared" si="77"/>
        <v>0</v>
      </c>
      <c r="AZ62" s="137">
        <f t="shared" si="78"/>
        <v>10.029999999999999</v>
      </c>
      <c r="BA62" s="137">
        <f t="shared" si="79"/>
        <v>-0.6</v>
      </c>
      <c r="BB62" s="137">
        <f t="shared" si="80"/>
        <v>-0.22</v>
      </c>
      <c r="BC62" s="84">
        <f t="shared" si="81"/>
        <v>25.92</v>
      </c>
      <c r="BD62" s="84">
        <f t="shared" si="82"/>
        <v>-4.66</v>
      </c>
      <c r="BE62" s="84">
        <f t="shared" si="83"/>
        <v>-26.72</v>
      </c>
      <c r="BF62" s="116">
        <f t="shared" si="84"/>
        <v>-31.38</v>
      </c>
      <c r="BG62" s="496">
        <f t="shared" si="85"/>
        <v>410.54</v>
      </c>
      <c r="BH62" s="496">
        <f t="shared" si="86"/>
        <v>145.05000000000001</v>
      </c>
      <c r="BI62" s="496">
        <f t="shared" si="87"/>
        <v>555.59</v>
      </c>
    </row>
    <row r="63" spans="1:61" s="480" customFormat="1" ht="16.149999999999999" customHeight="1">
      <c r="A63" s="495" t="s">
        <v>214</v>
      </c>
      <c r="B63" s="599" t="s">
        <v>428</v>
      </c>
      <c r="C63" s="600" t="s">
        <v>62</v>
      </c>
      <c r="D63" s="601" t="s">
        <v>12</v>
      </c>
      <c r="E63" s="314">
        <v>11689</v>
      </c>
      <c r="F63" s="500">
        <v>2</v>
      </c>
      <c r="G63" s="602">
        <v>554.29</v>
      </c>
      <c r="H63" s="603">
        <v>0</v>
      </c>
      <c r="I63" s="490">
        <f t="shared" si="55"/>
        <v>554.29</v>
      </c>
      <c r="J63" s="489">
        <f t="shared" si="91"/>
        <v>8.5095699999999993E-3</v>
      </c>
      <c r="K63" s="484">
        <f t="shared" si="92"/>
        <v>-52.57</v>
      </c>
      <c r="L63" s="484">
        <f t="shared" si="89"/>
        <v>0</v>
      </c>
      <c r="M63" s="484">
        <f t="shared" si="93"/>
        <v>13.05</v>
      </c>
      <c r="N63" s="485">
        <f t="shared" si="56"/>
        <v>13.05</v>
      </c>
      <c r="O63" s="485">
        <f t="shared" si="88"/>
        <v>0</v>
      </c>
      <c r="P63" s="485">
        <f t="shared" si="88"/>
        <v>0</v>
      </c>
      <c r="Q63" s="485">
        <f t="shared" si="57"/>
        <v>0</v>
      </c>
      <c r="R63" s="484">
        <f t="shared" si="58"/>
        <v>0</v>
      </c>
      <c r="S63" s="485">
        <f t="shared" si="59"/>
        <v>567.34</v>
      </c>
      <c r="T63" s="488">
        <f t="shared" si="94"/>
        <v>677.66</v>
      </c>
      <c r="U63" s="487">
        <v>322.47000000000003</v>
      </c>
      <c r="V63" s="486">
        <f t="shared" si="60"/>
        <v>8.5095699999999993E-3</v>
      </c>
      <c r="W63" s="484">
        <f t="shared" si="95"/>
        <v>29.14</v>
      </c>
      <c r="X63" s="484">
        <v>0</v>
      </c>
      <c r="Y63" s="484">
        <f t="shared" si="96"/>
        <v>17.48</v>
      </c>
      <c r="Z63" s="484">
        <f t="shared" si="96"/>
        <v>-1.05</v>
      </c>
      <c r="AA63" s="484">
        <f t="shared" si="96"/>
        <v>-0.39</v>
      </c>
      <c r="AB63" s="485">
        <f t="shared" si="61"/>
        <v>45.18</v>
      </c>
      <c r="AC63" s="485">
        <f t="shared" si="97"/>
        <v>-8.1300000000000008</v>
      </c>
      <c r="AD63" s="498">
        <f t="shared" si="62"/>
        <v>-26.72</v>
      </c>
      <c r="AE63" s="498">
        <v>0</v>
      </c>
      <c r="AF63" s="485">
        <f t="shared" si="63"/>
        <v>-26.72</v>
      </c>
      <c r="AG63" s="484">
        <f t="shared" si="64"/>
        <v>-34.85</v>
      </c>
      <c r="AH63" s="381">
        <f t="shared" si="65"/>
        <v>332.8</v>
      </c>
      <c r="AI63" s="483">
        <f t="shared" si="66"/>
        <v>900.14</v>
      </c>
      <c r="AJ63" s="483">
        <f t="shared" si="98"/>
        <v>1071.0999999999999</v>
      </c>
      <c r="AK63" s="83"/>
      <c r="AL63" s="114">
        <v>554.29</v>
      </c>
      <c r="AM63" s="497">
        <f t="shared" si="99"/>
        <v>755.32</v>
      </c>
      <c r="AN63" s="192">
        <f t="shared" si="67"/>
        <v>0</v>
      </c>
      <c r="AO63" s="114">
        <f t="shared" si="68"/>
        <v>-52.57</v>
      </c>
      <c r="AP63" s="137">
        <f t="shared" si="69"/>
        <v>0</v>
      </c>
      <c r="AQ63" s="137">
        <f t="shared" si="70"/>
        <v>13.05</v>
      </c>
      <c r="AR63" s="84">
        <f t="shared" si="71"/>
        <v>13.05</v>
      </c>
      <c r="AS63" s="84">
        <f t="shared" si="72"/>
        <v>0</v>
      </c>
      <c r="AT63" s="84">
        <f t="shared" si="73"/>
        <v>0</v>
      </c>
      <c r="AU63" s="84">
        <f t="shared" si="74"/>
        <v>0</v>
      </c>
      <c r="AV63" s="84">
        <f t="shared" si="75"/>
        <v>0</v>
      </c>
      <c r="AW63" s="487">
        <v>322.47000000000003</v>
      </c>
      <c r="AX63" s="137">
        <f t="shared" si="76"/>
        <v>29.14</v>
      </c>
      <c r="AY63" s="137">
        <f t="shared" si="77"/>
        <v>0</v>
      </c>
      <c r="AZ63" s="137">
        <f t="shared" si="78"/>
        <v>17.48</v>
      </c>
      <c r="BA63" s="137">
        <f t="shared" si="79"/>
        <v>-1.05</v>
      </c>
      <c r="BB63" s="137">
        <f t="shared" si="80"/>
        <v>-0.39</v>
      </c>
      <c r="BC63" s="84">
        <f t="shared" si="81"/>
        <v>45.18</v>
      </c>
      <c r="BD63" s="84">
        <f t="shared" si="82"/>
        <v>-8.1300000000000008</v>
      </c>
      <c r="BE63" s="84">
        <f t="shared" si="83"/>
        <v>-26.72</v>
      </c>
      <c r="BF63" s="116">
        <f t="shared" si="84"/>
        <v>-34.85</v>
      </c>
      <c r="BG63" s="496">
        <f t="shared" si="85"/>
        <v>715.8</v>
      </c>
      <c r="BH63" s="496">
        <f t="shared" si="86"/>
        <v>332.8</v>
      </c>
      <c r="BI63" s="496">
        <f t="shared" si="87"/>
        <v>1048.5999999999999</v>
      </c>
    </row>
    <row r="64" spans="1:61" s="480" customFormat="1" ht="16.149999999999999" customHeight="1">
      <c r="A64" s="495" t="s">
        <v>214</v>
      </c>
      <c r="B64" s="599" t="s">
        <v>429</v>
      </c>
      <c r="C64" s="600" t="s">
        <v>62</v>
      </c>
      <c r="D64" s="601" t="s">
        <v>12</v>
      </c>
      <c r="E64" s="314">
        <v>14246</v>
      </c>
      <c r="F64" s="500">
        <v>10</v>
      </c>
      <c r="G64" s="602">
        <v>1108.29</v>
      </c>
      <c r="H64" s="603">
        <v>0</v>
      </c>
      <c r="I64" s="490">
        <f t="shared" si="55"/>
        <v>1108.29</v>
      </c>
      <c r="J64" s="489">
        <f t="shared" si="91"/>
        <v>1.7014689999999999E-2</v>
      </c>
      <c r="K64" s="484">
        <f t="shared" si="92"/>
        <v>-105.12</v>
      </c>
      <c r="L64" s="484">
        <f t="shared" si="89"/>
        <v>0</v>
      </c>
      <c r="M64" s="484">
        <f t="shared" si="93"/>
        <v>26.1</v>
      </c>
      <c r="N64" s="485">
        <f t="shared" si="56"/>
        <v>26.1</v>
      </c>
      <c r="O64" s="485">
        <f t="shared" si="88"/>
        <v>0</v>
      </c>
      <c r="P64" s="485">
        <f t="shared" si="88"/>
        <v>0</v>
      </c>
      <c r="Q64" s="485">
        <f t="shared" si="57"/>
        <v>0</v>
      </c>
      <c r="R64" s="484">
        <f t="shared" si="58"/>
        <v>0</v>
      </c>
      <c r="S64" s="485">
        <f t="shared" si="59"/>
        <v>1134.3900000000001</v>
      </c>
      <c r="T64" s="488">
        <f t="shared" si="94"/>
        <v>1354.98</v>
      </c>
      <c r="U64" s="487">
        <v>402.36</v>
      </c>
      <c r="V64" s="486">
        <f t="shared" si="60"/>
        <v>1.7014689999999999E-2</v>
      </c>
      <c r="W64" s="484">
        <f t="shared" si="95"/>
        <v>58.26</v>
      </c>
      <c r="X64" s="484">
        <v>0</v>
      </c>
      <c r="Y64" s="484">
        <f t="shared" si="96"/>
        <v>34.96</v>
      </c>
      <c r="Z64" s="484">
        <f t="shared" si="96"/>
        <v>-2.11</v>
      </c>
      <c r="AA64" s="484">
        <f t="shared" si="96"/>
        <v>-0.78</v>
      </c>
      <c r="AB64" s="485">
        <f t="shared" si="61"/>
        <v>90.33</v>
      </c>
      <c r="AC64" s="485">
        <f t="shared" si="97"/>
        <v>-16.260000000000002</v>
      </c>
      <c r="AD64" s="498">
        <f t="shared" si="62"/>
        <v>-133.6</v>
      </c>
      <c r="AE64" s="498">
        <v>0</v>
      </c>
      <c r="AF64" s="485">
        <f t="shared" si="63"/>
        <v>-133.6</v>
      </c>
      <c r="AG64" s="484">
        <f t="shared" si="64"/>
        <v>-149.86000000000001</v>
      </c>
      <c r="AH64" s="381">
        <f t="shared" si="65"/>
        <v>342.83</v>
      </c>
      <c r="AI64" s="483">
        <f t="shared" si="66"/>
        <v>1477.22</v>
      </c>
      <c r="AJ64" s="483">
        <f t="shared" si="98"/>
        <v>1757.78</v>
      </c>
      <c r="AK64" s="83"/>
      <c r="AL64" s="114">
        <v>1108.29</v>
      </c>
      <c r="AM64" s="497">
        <f t="shared" si="99"/>
        <v>1510.25</v>
      </c>
      <c r="AN64" s="192">
        <f t="shared" si="67"/>
        <v>0</v>
      </c>
      <c r="AO64" s="114">
        <f t="shared" si="68"/>
        <v>-105.12</v>
      </c>
      <c r="AP64" s="137">
        <f t="shared" si="69"/>
        <v>0</v>
      </c>
      <c r="AQ64" s="137">
        <f t="shared" si="70"/>
        <v>26.1</v>
      </c>
      <c r="AR64" s="84">
        <f t="shared" si="71"/>
        <v>26.1</v>
      </c>
      <c r="AS64" s="84">
        <f t="shared" si="72"/>
        <v>0</v>
      </c>
      <c r="AT64" s="84">
        <f t="shared" si="73"/>
        <v>0</v>
      </c>
      <c r="AU64" s="84">
        <f t="shared" si="74"/>
        <v>0</v>
      </c>
      <c r="AV64" s="84">
        <f t="shared" si="75"/>
        <v>0</v>
      </c>
      <c r="AW64" s="487">
        <v>402.36</v>
      </c>
      <c r="AX64" s="137">
        <f t="shared" si="76"/>
        <v>58.26</v>
      </c>
      <c r="AY64" s="137">
        <f t="shared" si="77"/>
        <v>0</v>
      </c>
      <c r="AZ64" s="137">
        <f t="shared" si="78"/>
        <v>34.96</v>
      </c>
      <c r="BA64" s="137">
        <f t="shared" si="79"/>
        <v>-2.11</v>
      </c>
      <c r="BB64" s="137">
        <f t="shared" si="80"/>
        <v>-0.78</v>
      </c>
      <c r="BC64" s="84">
        <f t="shared" si="81"/>
        <v>90.33</v>
      </c>
      <c r="BD64" s="84">
        <f t="shared" si="82"/>
        <v>-16.260000000000002</v>
      </c>
      <c r="BE64" s="84">
        <f t="shared" si="83"/>
        <v>-133.6</v>
      </c>
      <c r="BF64" s="116">
        <f t="shared" si="84"/>
        <v>-149.86000000000001</v>
      </c>
      <c r="BG64" s="496">
        <f t="shared" si="85"/>
        <v>1431.23</v>
      </c>
      <c r="BH64" s="496">
        <f t="shared" si="86"/>
        <v>342.83</v>
      </c>
      <c r="BI64" s="496">
        <f t="shared" si="87"/>
        <v>1774.06</v>
      </c>
    </row>
    <row r="65" spans="1:61" s="480" customFormat="1" ht="16.149999999999999" customHeight="1">
      <c r="A65" s="495" t="s">
        <v>214</v>
      </c>
      <c r="B65" s="599" t="s">
        <v>427</v>
      </c>
      <c r="C65" s="600" t="s">
        <v>62</v>
      </c>
      <c r="D65" s="601" t="s">
        <v>12</v>
      </c>
      <c r="E65" s="314">
        <v>15707</v>
      </c>
      <c r="F65" s="500">
        <v>10</v>
      </c>
      <c r="G65" s="602">
        <v>1108.29</v>
      </c>
      <c r="H65" s="603">
        <v>0</v>
      </c>
      <c r="I65" s="490">
        <f t="shared" si="55"/>
        <v>1108.29</v>
      </c>
      <c r="J65" s="489">
        <f t="shared" si="91"/>
        <v>1.7014689999999999E-2</v>
      </c>
      <c r="K65" s="484">
        <f t="shared" si="92"/>
        <v>-105.12</v>
      </c>
      <c r="L65" s="484">
        <f t="shared" si="89"/>
        <v>0</v>
      </c>
      <c r="M65" s="484">
        <f t="shared" si="93"/>
        <v>26.1</v>
      </c>
      <c r="N65" s="485">
        <f t="shared" si="56"/>
        <v>26.1</v>
      </c>
      <c r="O65" s="485">
        <f t="shared" si="88"/>
        <v>0</v>
      </c>
      <c r="P65" s="485">
        <f t="shared" si="88"/>
        <v>0</v>
      </c>
      <c r="Q65" s="485">
        <f t="shared" si="57"/>
        <v>0</v>
      </c>
      <c r="R65" s="484">
        <f t="shared" si="58"/>
        <v>0</v>
      </c>
      <c r="S65" s="485">
        <f t="shared" si="59"/>
        <v>1134.3900000000001</v>
      </c>
      <c r="T65" s="488">
        <f t="shared" si="94"/>
        <v>1354.98</v>
      </c>
      <c r="U65" s="487">
        <v>402.35</v>
      </c>
      <c r="V65" s="486">
        <f t="shared" si="60"/>
        <v>1.7014689999999999E-2</v>
      </c>
      <c r="W65" s="484">
        <f t="shared" si="95"/>
        <v>58.26</v>
      </c>
      <c r="X65" s="484">
        <v>0</v>
      </c>
      <c r="Y65" s="484">
        <f t="shared" si="96"/>
        <v>34.96</v>
      </c>
      <c r="Z65" s="484">
        <f t="shared" si="96"/>
        <v>-2.11</v>
      </c>
      <c r="AA65" s="484">
        <f t="shared" si="96"/>
        <v>-0.78</v>
      </c>
      <c r="AB65" s="485">
        <f t="shared" si="61"/>
        <v>90.33</v>
      </c>
      <c r="AC65" s="485">
        <f t="shared" si="97"/>
        <v>-16.260000000000002</v>
      </c>
      <c r="AD65" s="498">
        <f t="shared" si="62"/>
        <v>-133.6</v>
      </c>
      <c r="AE65" s="498">
        <v>0</v>
      </c>
      <c r="AF65" s="485">
        <f t="shared" si="63"/>
        <v>-133.6</v>
      </c>
      <c r="AG65" s="484">
        <f t="shared" si="64"/>
        <v>-149.86000000000001</v>
      </c>
      <c r="AH65" s="381">
        <f t="shared" si="65"/>
        <v>342.82</v>
      </c>
      <c r="AI65" s="483">
        <f t="shared" si="66"/>
        <v>1477.21</v>
      </c>
      <c r="AJ65" s="483">
        <f t="shared" si="98"/>
        <v>1757.77</v>
      </c>
      <c r="AK65" s="83"/>
      <c r="AL65" s="114">
        <v>1108.29</v>
      </c>
      <c r="AM65" s="497">
        <f t="shared" si="99"/>
        <v>1510.25</v>
      </c>
      <c r="AN65" s="192">
        <f t="shared" si="67"/>
        <v>0</v>
      </c>
      <c r="AO65" s="114">
        <f t="shared" si="68"/>
        <v>-105.12</v>
      </c>
      <c r="AP65" s="137">
        <f t="shared" si="69"/>
        <v>0</v>
      </c>
      <c r="AQ65" s="137">
        <f t="shared" si="70"/>
        <v>26.1</v>
      </c>
      <c r="AR65" s="84">
        <f t="shared" si="71"/>
        <v>26.1</v>
      </c>
      <c r="AS65" s="84">
        <f t="shared" si="72"/>
        <v>0</v>
      </c>
      <c r="AT65" s="84">
        <f t="shared" si="73"/>
        <v>0</v>
      </c>
      <c r="AU65" s="84">
        <f t="shared" si="74"/>
        <v>0</v>
      </c>
      <c r="AV65" s="84">
        <f t="shared" si="75"/>
        <v>0</v>
      </c>
      <c r="AW65" s="487">
        <v>402.35</v>
      </c>
      <c r="AX65" s="137">
        <f t="shared" si="76"/>
        <v>58.26</v>
      </c>
      <c r="AY65" s="137">
        <f t="shared" si="77"/>
        <v>0</v>
      </c>
      <c r="AZ65" s="137">
        <f t="shared" si="78"/>
        <v>34.96</v>
      </c>
      <c r="BA65" s="137">
        <f t="shared" si="79"/>
        <v>-2.11</v>
      </c>
      <c r="BB65" s="137">
        <f t="shared" si="80"/>
        <v>-0.78</v>
      </c>
      <c r="BC65" s="84">
        <f t="shared" si="81"/>
        <v>90.33</v>
      </c>
      <c r="BD65" s="84">
        <f t="shared" si="82"/>
        <v>-16.260000000000002</v>
      </c>
      <c r="BE65" s="84">
        <f t="shared" si="83"/>
        <v>-133.6</v>
      </c>
      <c r="BF65" s="116">
        <f t="shared" si="84"/>
        <v>-149.86000000000001</v>
      </c>
      <c r="BG65" s="496">
        <f t="shared" si="85"/>
        <v>1431.23</v>
      </c>
      <c r="BH65" s="496">
        <f t="shared" si="86"/>
        <v>342.82</v>
      </c>
      <c r="BI65" s="496">
        <f t="shared" si="87"/>
        <v>1774.05</v>
      </c>
    </row>
    <row r="66" spans="1:61" s="480" customFormat="1" ht="16.149999999999999" customHeight="1">
      <c r="A66" s="495" t="s">
        <v>214</v>
      </c>
      <c r="B66" s="599" t="s">
        <v>430</v>
      </c>
      <c r="C66" s="600" t="s">
        <v>62</v>
      </c>
      <c r="D66" s="601" t="s">
        <v>12</v>
      </c>
      <c r="E66" s="314">
        <v>16803</v>
      </c>
      <c r="F66" s="500">
        <v>3</v>
      </c>
      <c r="G66" s="602">
        <v>554.29</v>
      </c>
      <c r="H66" s="603">
        <v>0</v>
      </c>
      <c r="I66" s="490">
        <f t="shared" si="55"/>
        <v>554.29</v>
      </c>
      <c r="J66" s="489">
        <f t="shared" si="91"/>
        <v>8.5095699999999993E-3</v>
      </c>
      <c r="K66" s="484">
        <f t="shared" si="92"/>
        <v>-52.57</v>
      </c>
      <c r="L66" s="484">
        <f t="shared" si="89"/>
        <v>0</v>
      </c>
      <c r="M66" s="484">
        <f t="shared" si="93"/>
        <v>13.05</v>
      </c>
      <c r="N66" s="485">
        <f t="shared" si="56"/>
        <v>13.05</v>
      </c>
      <c r="O66" s="485">
        <f t="shared" si="88"/>
        <v>0</v>
      </c>
      <c r="P66" s="485">
        <f t="shared" si="88"/>
        <v>0</v>
      </c>
      <c r="Q66" s="485">
        <f t="shared" si="57"/>
        <v>0</v>
      </c>
      <c r="R66" s="484">
        <f t="shared" si="58"/>
        <v>0</v>
      </c>
      <c r="S66" s="485">
        <f t="shared" si="59"/>
        <v>567.34</v>
      </c>
      <c r="T66" s="488">
        <f t="shared" si="94"/>
        <v>677.66</v>
      </c>
      <c r="U66" s="487">
        <v>282.05</v>
      </c>
      <c r="V66" s="486">
        <f t="shared" si="60"/>
        <v>8.5095699999999993E-3</v>
      </c>
      <c r="W66" s="484">
        <f t="shared" si="95"/>
        <v>29.14</v>
      </c>
      <c r="X66" s="484">
        <v>0</v>
      </c>
      <c r="Y66" s="484">
        <f t="shared" si="96"/>
        <v>17.48</v>
      </c>
      <c r="Z66" s="484">
        <f t="shared" si="96"/>
        <v>-1.05</v>
      </c>
      <c r="AA66" s="484">
        <f t="shared" si="96"/>
        <v>-0.39</v>
      </c>
      <c r="AB66" s="485">
        <f t="shared" si="61"/>
        <v>45.18</v>
      </c>
      <c r="AC66" s="485">
        <f t="shared" si="97"/>
        <v>-8.1300000000000008</v>
      </c>
      <c r="AD66" s="498">
        <f t="shared" si="62"/>
        <v>-40.08</v>
      </c>
      <c r="AE66" s="498">
        <v>0</v>
      </c>
      <c r="AF66" s="485">
        <f t="shared" si="63"/>
        <v>-40.08</v>
      </c>
      <c r="AG66" s="484">
        <f t="shared" si="64"/>
        <v>-48.21</v>
      </c>
      <c r="AH66" s="381">
        <f t="shared" si="65"/>
        <v>279.02</v>
      </c>
      <c r="AI66" s="483">
        <f t="shared" si="66"/>
        <v>846.36</v>
      </c>
      <c r="AJ66" s="483">
        <f t="shared" si="98"/>
        <v>1007.1</v>
      </c>
      <c r="AK66" s="83"/>
      <c r="AL66" s="114">
        <v>554.29</v>
      </c>
      <c r="AM66" s="497">
        <f t="shared" si="99"/>
        <v>755.32</v>
      </c>
      <c r="AN66" s="192">
        <f t="shared" si="67"/>
        <v>0</v>
      </c>
      <c r="AO66" s="114">
        <f t="shared" si="68"/>
        <v>-52.57</v>
      </c>
      <c r="AP66" s="137">
        <f t="shared" si="69"/>
        <v>0</v>
      </c>
      <c r="AQ66" s="137">
        <f t="shared" si="70"/>
        <v>13.05</v>
      </c>
      <c r="AR66" s="84">
        <f t="shared" si="71"/>
        <v>13.05</v>
      </c>
      <c r="AS66" s="84">
        <f t="shared" si="72"/>
        <v>0</v>
      </c>
      <c r="AT66" s="84">
        <f t="shared" si="73"/>
        <v>0</v>
      </c>
      <c r="AU66" s="84">
        <f t="shared" si="74"/>
        <v>0</v>
      </c>
      <c r="AV66" s="84">
        <f t="shared" si="75"/>
        <v>0</v>
      </c>
      <c r="AW66" s="487">
        <v>282.05</v>
      </c>
      <c r="AX66" s="137">
        <f t="shared" si="76"/>
        <v>29.14</v>
      </c>
      <c r="AY66" s="137">
        <f t="shared" si="77"/>
        <v>0</v>
      </c>
      <c r="AZ66" s="137">
        <f t="shared" si="78"/>
        <v>17.48</v>
      </c>
      <c r="BA66" s="137">
        <f t="shared" si="79"/>
        <v>-1.05</v>
      </c>
      <c r="BB66" s="137">
        <f t="shared" si="80"/>
        <v>-0.39</v>
      </c>
      <c r="BC66" s="84">
        <f t="shared" si="81"/>
        <v>45.18</v>
      </c>
      <c r="BD66" s="84">
        <f t="shared" si="82"/>
        <v>-8.1300000000000008</v>
      </c>
      <c r="BE66" s="84">
        <f t="shared" si="83"/>
        <v>-40.08</v>
      </c>
      <c r="BF66" s="116">
        <f t="shared" si="84"/>
        <v>-48.21</v>
      </c>
      <c r="BG66" s="496">
        <f t="shared" si="85"/>
        <v>715.8</v>
      </c>
      <c r="BH66" s="496">
        <f t="shared" si="86"/>
        <v>279.02</v>
      </c>
      <c r="BI66" s="496">
        <f t="shared" si="87"/>
        <v>994.82</v>
      </c>
    </row>
    <row r="67" spans="1:61" s="480" customFormat="1" ht="16.149999999999999" customHeight="1">
      <c r="A67" s="495" t="s">
        <v>214</v>
      </c>
      <c r="B67" s="494" t="s">
        <v>457</v>
      </c>
      <c r="C67" s="493" t="s">
        <v>63</v>
      </c>
      <c r="D67" s="385" t="s">
        <v>12</v>
      </c>
      <c r="E67" s="314">
        <v>13150</v>
      </c>
      <c r="F67" s="500">
        <v>0</v>
      </c>
      <c r="G67" s="491">
        <v>1108.29</v>
      </c>
      <c r="H67" s="485">
        <v>0</v>
      </c>
      <c r="I67" s="490">
        <f t="shared" si="55"/>
        <v>1108.29</v>
      </c>
      <c r="J67" s="489">
        <f t="shared" si="91"/>
        <v>1.7014689999999999E-2</v>
      </c>
      <c r="K67" s="484">
        <f t="shared" si="92"/>
        <v>-105.12</v>
      </c>
      <c r="L67" s="484">
        <f t="shared" si="89"/>
        <v>0</v>
      </c>
      <c r="M67" s="484">
        <f t="shared" si="93"/>
        <v>26.1</v>
      </c>
      <c r="N67" s="485">
        <f t="shared" si="56"/>
        <v>26.1</v>
      </c>
      <c r="O67" s="485">
        <f t="shared" si="88"/>
        <v>0</v>
      </c>
      <c r="P67" s="485">
        <f t="shared" si="88"/>
        <v>0</v>
      </c>
      <c r="Q67" s="485">
        <f t="shared" si="57"/>
        <v>0</v>
      </c>
      <c r="R67" s="484">
        <f t="shared" si="58"/>
        <v>0</v>
      </c>
      <c r="S67" s="485">
        <f t="shared" si="59"/>
        <v>1134.3900000000001</v>
      </c>
      <c r="T67" s="488">
        <f t="shared" si="94"/>
        <v>1354.98</v>
      </c>
      <c r="U67" s="487">
        <v>806.46</v>
      </c>
      <c r="V67" s="486">
        <f t="shared" si="60"/>
        <v>1.7014689999999999E-2</v>
      </c>
      <c r="W67" s="484">
        <f t="shared" si="95"/>
        <v>58.26</v>
      </c>
      <c r="X67" s="484">
        <v>0</v>
      </c>
      <c r="Y67" s="484">
        <f t="shared" si="96"/>
        <v>34.96</v>
      </c>
      <c r="Z67" s="484">
        <f t="shared" si="96"/>
        <v>-2.11</v>
      </c>
      <c r="AA67" s="484">
        <f t="shared" si="96"/>
        <v>-0.78</v>
      </c>
      <c r="AB67" s="485">
        <f t="shared" si="61"/>
        <v>90.33</v>
      </c>
      <c r="AC67" s="485">
        <f t="shared" si="97"/>
        <v>-16.260000000000002</v>
      </c>
      <c r="AD67" s="498">
        <f t="shared" si="62"/>
        <v>0</v>
      </c>
      <c r="AE67" s="498">
        <v>0</v>
      </c>
      <c r="AF67" s="485">
        <f t="shared" si="63"/>
        <v>0</v>
      </c>
      <c r="AG67" s="484">
        <f t="shared" si="64"/>
        <v>-16.260000000000002</v>
      </c>
      <c r="AH67" s="381">
        <f t="shared" si="65"/>
        <v>880.53</v>
      </c>
      <c r="AI67" s="483">
        <f t="shared" si="66"/>
        <v>2014.92</v>
      </c>
      <c r="AJ67" s="483">
        <f t="shared" si="98"/>
        <v>2397.6</v>
      </c>
      <c r="AK67" s="83"/>
      <c r="AL67" s="114">
        <v>1108.29</v>
      </c>
      <c r="AM67" s="497">
        <f t="shared" si="99"/>
        <v>1510.25</v>
      </c>
      <c r="AN67" s="192">
        <f t="shared" si="67"/>
        <v>0</v>
      </c>
      <c r="AO67" s="114">
        <f t="shared" si="68"/>
        <v>-105.12</v>
      </c>
      <c r="AP67" s="137">
        <f t="shared" si="69"/>
        <v>0</v>
      </c>
      <c r="AQ67" s="137">
        <f t="shared" si="70"/>
        <v>26.1</v>
      </c>
      <c r="AR67" s="84">
        <f t="shared" si="71"/>
        <v>26.1</v>
      </c>
      <c r="AS67" s="84">
        <f t="shared" si="72"/>
        <v>0</v>
      </c>
      <c r="AT67" s="84">
        <f t="shared" si="73"/>
        <v>0</v>
      </c>
      <c r="AU67" s="84">
        <f t="shared" si="74"/>
        <v>0</v>
      </c>
      <c r="AV67" s="84">
        <f t="shared" si="75"/>
        <v>0</v>
      </c>
      <c r="AW67" s="487">
        <v>806.46</v>
      </c>
      <c r="AX67" s="137">
        <f t="shared" si="76"/>
        <v>58.26</v>
      </c>
      <c r="AY67" s="137">
        <f t="shared" si="77"/>
        <v>0</v>
      </c>
      <c r="AZ67" s="137">
        <f t="shared" si="78"/>
        <v>34.96</v>
      </c>
      <c r="BA67" s="137">
        <f t="shared" si="79"/>
        <v>-2.11</v>
      </c>
      <c r="BB67" s="137">
        <f t="shared" si="80"/>
        <v>-0.78</v>
      </c>
      <c r="BC67" s="84">
        <f t="shared" si="81"/>
        <v>90.33</v>
      </c>
      <c r="BD67" s="84">
        <f t="shared" si="82"/>
        <v>-16.260000000000002</v>
      </c>
      <c r="BE67" s="84">
        <f t="shared" si="83"/>
        <v>0</v>
      </c>
      <c r="BF67" s="116">
        <f t="shared" si="84"/>
        <v>-16.260000000000002</v>
      </c>
      <c r="BG67" s="496">
        <f t="shared" si="85"/>
        <v>1431.23</v>
      </c>
      <c r="BH67" s="496">
        <f t="shared" si="86"/>
        <v>880.53</v>
      </c>
      <c r="BI67" s="496">
        <f t="shared" si="87"/>
        <v>2311.7600000000002</v>
      </c>
    </row>
    <row r="68" spans="1:61" s="480" customFormat="1" ht="16.149999999999999" customHeight="1">
      <c r="A68" s="495" t="s">
        <v>214</v>
      </c>
      <c r="B68" s="599" t="s">
        <v>431</v>
      </c>
      <c r="C68" s="600" t="s">
        <v>62</v>
      </c>
      <c r="D68" s="601" t="s">
        <v>12</v>
      </c>
      <c r="E68" s="314">
        <v>17533</v>
      </c>
      <c r="F68" s="500">
        <v>10</v>
      </c>
      <c r="G68" s="602">
        <v>1108.29</v>
      </c>
      <c r="H68" s="603">
        <v>0</v>
      </c>
      <c r="I68" s="490">
        <f t="shared" si="55"/>
        <v>1108.29</v>
      </c>
      <c r="J68" s="489">
        <f t="shared" si="91"/>
        <v>1.7014689999999999E-2</v>
      </c>
      <c r="K68" s="484">
        <f t="shared" si="92"/>
        <v>-105.12</v>
      </c>
      <c r="L68" s="484">
        <f t="shared" si="89"/>
        <v>0</v>
      </c>
      <c r="M68" s="484">
        <f t="shared" si="93"/>
        <v>26.1</v>
      </c>
      <c r="N68" s="485">
        <f t="shared" si="56"/>
        <v>26.1</v>
      </c>
      <c r="O68" s="485">
        <f t="shared" si="88"/>
        <v>0</v>
      </c>
      <c r="P68" s="485">
        <f t="shared" si="88"/>
        <v>0</v>
      </c>
      <c r="Q68" s="485">
        <f t="shared" si="57"/>
        <v>0</v>
      </c>
      <c r="R68" s="484">
        <f t="shared" si="58"/>
        <v>0</v>
      </c>
      <c r="S68" s="485">
        <f t="shared" si="59"/>
        <v>1134.3900000000001</v>
      </c>
      <c r="T68" s="488">
        <f t="shared" si="94"/>
        <v>1354.98</v>
      </c>
      <c r="U68" s="487">
        <v>402.35</v>
      </c>
      <c r="V68" s="486">
        <f t="shared" si="60"/>
        <v>1.7014689999999999E-2</v>
      </c>
      <c r="W68" s="484">
        <f t="shared" si="95"/>
        <v>58.26</v>
      </c>
      <c r="X68" s="484">
        <v>0</v>
      </c>
      <c r="Y68" s="484">
        <f t="shared" si="96"/>
        <v>34.96</v>
      </c>
      <c r="Z68" s="484">
        <f t="shared" si="96"/>
        <v>-2.11</v>
      </c>
      <c r="AA68" s="484">
        <f t="shared" si="96"/>
        <v>-0.78</v>
      </c>
      <c r="AB68" s="485">
        <f t="shared" si="61"/>
        <v>90.33</v>
      </c>
      <c r="AC68" s="485">
        <f t="shared" si="97"/>
        <v>-16.260000000000002</v>
      </c>
      <c r="AD68" s="498">
        <f t="shared" si="62"/>
        <v>-133.6</v>
      </c>
      <c r="AE68" s="498">
        <v>0</v>
      </c>
      <c r="AF68" s="485">
        <f t="shared" si="63"/>
        <v>-133.6</v>
      </c>
      <c r="AG68" s="484">
        <f t="shared" si="64"/>
        <v>-149.86000000000001</v>
      </c>
      <c r="AH68" s="381">
        <f t="shared" si="65"/>
        <v>342.82</v>
      </c>
      <c r="AI68" s="483">
        <f t="shared" si="66"/>
        <v>1477.21</v>
      </c>
      <c r="AJ68" s="483">
        <f t="shared" si="98"/>
        <v>1757.77</v>
      </c>
      <c r="AK68" s="83"/>
      <c r="AL68" s="114">
        <v>1108.29</v>
      </c>
      <c r="AM68" s="497">
        <f t="shared" si="99"/>
        <v>1510.25</v>
      </c>
      <c r="AN68" s="192">
        <f t="shared" si="67"/>
        <v>0</v>
      </c>
      <c r="AO68" s="114">
        <f t="shared" si="68"/>
        <v>-105.12</v>
      </c>
      <c r="AP68" s="137">
        <f t="shared" si="69"/>
        <v>0</v>
      </c>
      <c r="AQ68" s="137">
        <f t="shared" si="70"/>
        <v>26.1</v>
      </c>
      <c r="AR68" s="84">
        <f t="shared" si="71"/>
        <v>26.1</v>
      </c>
      <c r="AS68" s="84">
        <f t="shared" si="72"/>
        <v>0</v>
      </c>
      <c r="AT68" s="84">
        <f t="shared" si="73"/>
        <v>0</v>
      </c>
      <c r="AU68" s="84">
        <f t="shared" si="74"/>
        <v>0</v>
      </c>
      <c r="AV68" s="84">
        <f t="shared" si="75"/>
        <v>0</v>
      </c>
      <c r="AW68" s="487">
        <v>402.35</v>
      </c>
      <c r="AX68" s="137">
        <f t="shared" si="76"/>
        <v>58.26</v>
      </c>
      <c r="AY68" s="137">
        <f t="shared" si="77"/>
        <v>0</v>
      </c>
      <c r="AZ68" s="137">
        <f t="shared" si="78"/>
        <v>34.96</v>
      </c>
      <c r="BA68" s="137">
        <f t="shared" si="79"/>
        <v>-2.11</v>
      </c>
      <c r="BB68" s="137">
        <f t="shared" si="80"/>
        <v>-0.78</v>
      </c>
      <c r="BC68" s="84">
        <f t="shared" si="81"/>
        <v>90.33</v>
      </c>
      <c r="BD68" s="84">
        <f t="shared" si="82"/>
        <v>-16.260000000000002</v>
      </c>
      <c r="BE68" s="84">
        <f t="shared" si="83"/>
        <v>-133.6</v>
      </c>
      <c r="BF68" s="116">
        <f t="shared" si="84"/>
        <v>-149.86000000000001</v>
      </c>
      <c r="BG68" s="496">
        <f t="shared" si="85"/>
        <v>1431.23</v>
      </c>
      <c r="BH68" s="496">
        <f t="shared" si="86"/>
        <v>342.82</v>
      </c>
      <c r="BI68" s="496">
        <f t="shared" si="87"/>
        <v>1774.05</v>
      </c>
    </row>
    <row r="69" spans="1:61" s="480" customFormat="1" ht="16.149999999999999" customHeight="1">
      <c r="A69" s="495" t="s">
        <v>214</v>
      </c>
      <c r="B69" s="599" t="s">
        <v>434</v>
      </c>
      <c r="C69" s="600" t="s">
        <v>62</v>
      </c>
      <c r="D69" s="601" t="s">
        <v>12</v>
      </c>
      <c r="E69" s="314">
        <v>11689</v>
      </c>
      <c r="F69" s="500">
        <v>6</v>
      </c>
      <c r="G69" s="602">
        <v>1108.29</v>
      </c>
      <c r="H69" s="603">
        <v>0</v>
      </c>
      <c r="I69" s="490">
        <f t="shared" si="55"/>
        <v>1108.29</v>
      </c>
      <c r="J69" s="489">
        <f t="shared" si="91"/>
        <v>1.7014689999999999E-2</v>
      </c>
      <c r="K69" s="484">
        <f t="shared" si="92"/>
        <v>-105.12</v>
      </c>
      <c r="L69" s="484">
        <f t="shared" si="89"/>
        <v>0</v>
      </c>
      <c r="M69" s="484">
        <f t="shared" si="93"/>
        <v>26.1</v>
      </c>
      <c r="N69" s="485">
        <f t="shared" si="56"/>
        <v>26.1</v>
      </c>
      <c r="O69" s="485">
        <f t="shared" si="88"/>
        <v>0</v>
      </c>
      <c r="P69" s="485">
        <f t="shared" si="88"/>
        <v>0</v>
      </c>
      <c r="Q69" s="485">
        <f t="shared" si="57"/>
        <v>0</v>
      </c>
      <c r="R69" s="484">
        <f t="shared" si="58"/>
        <v>0</v>
      </c>
      <c r="S69" s="485">
        <f t="shared" si="59"/>
        <v>1134.3900000000001</v>
      </c>
      <c r="T69" s="488">
        <f t="shared" si="94"/>
        <v>1354.98</v>
      </c>
      <c r="U69" s="487">
        <v>563.99</v>
      </c>
      <c r="V69" s="486">
        <f t="shared" si="60"/>
        <v>1.7014689999999999E-2</v>
      </c>
      <c r="W69" s="484">
        <f t="shared" si="95"/>
        <v>58.26</v>
      </c>
      <c r="X69" s="484">
        <v>0</v>
      </c>
      <c r="Y69" s="484">
        <f t="shared" si="96"/>
        <v>34.96</v>
      </c>
      <c r="Z69" s="484">
        <f t="shared" si="96"/>
        <v>-2.11</v>
      </c>
      <c r="AA69" s="484">
        <f t="shared" si="96"/>
        <v>-0.78</v>
      </c>
      <c r="AB69" s="485">
        <f t="shared" si="61"/>
        <v>90.33</v>
      </c>
      <c r="AC69" s="485">
        <f t="shared" si="97"/>
        <v>-16.260000000000002</v>
      </c>
      <c r="AD69" s="498">
        <f t="shared" si="62"/>
        <v>-80.16</v>
      </c>
      <c r="AE69" s="498">
        <v>0</v>
      </c>
      <c r="AF69" s="485">
        <f t="shared" si="63"/>
        <v>-80.16</v>
      </c>
      <c r="AG69" s="484">
        <f t="shared" si="64"/>
        <v>-96.42</v>
      </c>
      <c r="AH69" s="381">
        <f t="shared" si="65"/>
        <v>557.9</v>
      </c>
      <c r="AI69" s="483">
        <f t="shared" si="66"/>
        <v>1692.29</v>
      </c>
      <c r="AJ69" s="483">
        <f t="shared" si="98"/>
        <v>2013.69</v>
      </c>
      <c r="AK69" s="83"/>
      <c r="AL69" s="114">
        <v>1108.29</v>
      </c>
      <c r="AM69" s="497">
        <f t="shared" si="99"/>
        <v>1510.25</v>
      </c>
      <c r="AN69" s="192">
        <f t="shared" si="67"/>
        <v>0</v>
      </c>
      <c r="AO69" s="114">
        <f t="shared" si="68"/>
        <v>-105.12</v>
      </c>
      <c r="AP69" s="137">
        <f t="shared" si="69"/>
        <v>0</v>
      </c>
      <c r="AQ69" s="137">
        <f t="shared" si="70"/>
        <v>26.1</v>
      </c>
      <c r="AR69" s="84">
        <f t="shared" si="71"/>
        <v>26.1</v>
      </c>
      <c r="AS69" s="84">
        <f t="shared" si="72"/>
        <v>0</v>
      </c>
      <c r="AT69" s="84">
        <f t="shared" si="73"/>
        <v>0</v>
      </c>
      <c r="AU69" s="84">
        <f t="shared" si="74"/>
        <v>0</v>
      </c>
      <c r="AV69" s="84">
        <f t="shared" si="75"/>
        <v>0</v>
      </c>
      <c r="AW69" s="487">
        <v>563.99</v>
      </c>
      <c r="AX69" s="137">
        <f t="shared" si="76"/>
        <v>58.26</v>
      </c>
      <c r="AY69" s="137">
        <f t="shared" si="77"/>
        <v>0</v>
      </c>
      <c r="AZ69" s="137">
        <f t="shared" si="78"/>
        <v>34.96</v>
      </c>
      <c r="BA69" s="137">
        <f t="shared" si="79"/>
        <v>-2.11</v>
      </c>
      <c r="BB69" s="137">
        <f t="shared" si="80"/>
        <v>-0.78</v>
      </c>
      <c r="BC69" s="84">
        <f t="shared" si="81"/>
        <v>90.33</v>
      </c>
      <c r="BD69" s="84">
        <f t="shared" si="82"/>
        <v>-16.260000000000002</v>
      </c>
      <c r="BE69" s="84">
        <f t="shared" si="83"/>
        <v>-80.16</v>
      </c>
      <c r="BF69" s="116">
        <f t="shared" si="84"/>
        <v>-96.42</v>
      </c>
      <c r="BG69" s="496">
        <f t="shared" si="85"/>
        <v>1431.23</v>
      </c>
      <c r="BH69" s="496">
        <f t="shared" si="86"/>
        <v>557.9</v>
      </c>
      <c r="BI69" s="496">
        <f t="shared" si="87"/>
        <v>1989.13</v>
      </c>
    </row>
    <row r="70" spans="1:61" s="480" customFormat="1" ht="16.149999999999999" customHeight="1">
      <c r="A70" s="495" t="s">
        <v>214</v>
      </c>
      <c r="B70" s="599" t="s">
        <v>432</v>
      </c>
      <c r="C70" s="600" t="s">
        <v>62</v>
      </c>
      <c r="D70" s="601" t="s">
        <v>12</v>
      </c>
      <c r="E70" s="314">
        <v>7672</v>
      </c>
      <c r="F70" s="500">
        <v>10</v>
      </c>
      <c r="G70" s="602">
        <v>1108.29</v>
      </c>
      <c r="H70" s="603">
        <v>0</v>
      </c>
      <c r="I70" s="490">
        <f t="shared" si="55"/>
        <v>1108.29</v>
      </c>
      <c r="J70" s="489">
        <f t="shared" si="91"/>
        <v>1.7014689999999999E-2</v>
      </c>
      <c r="K70" s="484">
        <f t="shared" si="92"/>
        <v>-105.12</v>
      </c>
      <c r="L70" s="484">
        <f t="shared" si="89"/>
        <v>0</v>
      </c>
      <c r="M70" s="484">
        <f t="shared" si="93"/>
        <v>26.1</v>
      </c>
      <c r="N70" s="485">
        <f t="shared" si="56"/>
        <v>26.1</v>
      </c>
      <c r="O70" s="485">
        <f t="shared" si="88"/>
        <v>0</v>
      </c>
      <c r="P70" s="485">
        <f t="shared" si="88"/>
        <v>0</v>
      </c>
      <c r="Q70" s="485">
        <f t="shared" si="57"/>
        <v>0</v>
      </c>
      <c r="R70" s="484">
        <f t="shared" si="58"/>
        <v>0</v>
      </c>
      <c r="S70" s="485">
        <f t="shared" si="59"/>
        <v>1134.3900000000001</v>
      </c>
      <c r="T70" s="488">
        <f t="shared" si="94"/>
        <v>1354.98</v>
      </c>
      <c r="U70" s="487">
        <v>402.35</v>
      </c>
      <c r="V70" s="486">
        <f t="shared" si="60"/>
        <v>1.7014689999999999E-2</v>
      </c>
      <c r="W70" s="484">
        <f t="shared" si="95"/>
        <v>58.26</v>
      </c>
      <c r="X70" s="484">
        <v>0</v>
      </c>
      <c r="Y70" s="484">
        <f t="shared" si="96"/>
        <v>34.96</v>
      </c>
      <c r="Z70" s="484">
        <f t="shared" si="96"/>
        <v>-2.11</v>
      </c>
      <c r="AA70" s="484">
        <f t="shared" si="96"/>
        <v>-0.78</v>
      </c>
      <c r="AB70" s="485">
        <f t="shared" si="61"/>
        <v>90.33</v>
      </c>
      <c r="AC70" s="485">
        <f t="shared" si="97"/>
        <v>-16.260000000000002</v>
      </c>
      <c r="AD70" s="498">
        <f t="shared" si="62"/>
        <v>-133.6</v>
      </c>
      <c r="AE70" s="498">
        <v>0</v>
      </c>
      <c r="AF70" s="485">
        <f t="shared" si="63"/>
        <v>-133.6</v>
      </c>
      <c r="AG70" s="484">
        <f t="shared" si="64"/>
        <v>-149.86000000000001</v>
      </c>
      <c r="AH70" s="381">
        <f t="shared" si="65"/>
        <v>342.82</v>
      </c>
      <c r="AI70" s="483">
        <f t="shared" si="66"/>
        <v>1477.21</v>
      </c>
      <c r="AJ70" s="483">
        <f t="shared" si="98"/>
        <v>1757.77</v>
      </c>
      <c r="AK70" s="83"/>
      <c r="AL70" s="114">
        <v>1108.29</v>
      </c>
      <c r="AM70" s="497">
        <f t="shared" si="99"/>
        <v>1510.25</v>
      </c>
      <c r="AN70" s="192">
        <f t="shared" si="67"/>
        <v>0</v>
      </c>
      <c r="AO70" s="114">
        <f t="shared" si="68"/>
        <v>-105.12</v>
      </c>
      <c r="AP70" s="137">
        <f t="shared" si="69"/>
        <v>0</v>
      </c>
      <c r="AQ70" s="137">
        <f t="shared" si="70"/>
        <v>26.1</v>
      </c>
      <c r="AR70" s="84">
        <f t="shared" si="71"/>
        <v>26.1</v>
      </c>
      <c r="AS70" s="84">
        <f t="shared" si="72"/>
        <v>0</v>
      </c>
      <c r="AT70" s="84">
        <f t="shared" si="73"/>
        <v>0</v>
      </c>
      <c r="AU70" s="84">
        <f t="shared" si="74"/>
        <v>0</v>
      </c>
      <c r="AV70" s="84">
        <f t="shared" si="75"/>
        <v>0</v>
      </c>
      <c r="AW70" s="487">
        <v>402.35</v>
      </c>
      <c r="AX70" s="137">
        <f t="shared" si="76"/>
        <v>58.26</v>
      </c>
      <c r="AY70" s="137">
        <f t="shared" si="77"/>
        <v>0</v>
      </c>
      <c r="AZ70" s="137">
        <f t="shared" si="78"/>
        <v>34.96</v>
      </c>
      <c r="BA70" s="137">
        <f t="shared" si="79"/>
        <v>-2.11</v>
      </c>
      <c r="BB70" s="137">
        <f t="shared" si="80"/>
        <v>-0.78</v>
      </c>
      <c r="BC70" s="84">
        <f t="shared" si="81"/>
        <v>90.33</v>
      </c>
      <c r="BD70" s="84">
        <f t="shared" si="82"/>
        <v>-16.260000000000002</v>
      </c>
      <c r="BE70" s="84">
        <f t="shared" si="83"/>
        <v>-133.6</v>
      </c>
      <c r="BF70" s="116">
        <f t="shared" si="84"/>
        <v>-149.86000000000001</v>
      </c>
      <c r="BG70" s="496">
        <f t="shared" si="85"/>
        <v>1431.23</v>
      </c>
      <c r="BH70" s="496">
        <f t="shared" si="86"/>
        <v>342.82</v>
      </c>
      <c r="BI70" s="496">
        <f t="shared" si="87"/>
        <v>1774.05</v>
      </c>
    </row>
    <row r="71" spans="1:61" s="480" customFormat="1" ht="16.149999999999999" customHeight="1">
      <c r="A71" s="495" t="s">
        <v>214</v>
      </c>
      <c r="B71" s="599" t="s">
        <v>433</v>
      </c>
      <c r="C71" s="600" t="s">
        <v>62</v>
      </c>
      <c r="D71" s="601" t="s">
        <v>12</v>
      </c>
      <c r="E71" s="314">
        <v>4750</v>
      </c>
      <c r="F71" s="500">
        <v>10</v>
      </c>
      <c r="G71" s="602">
        <v>831.34</v>
      </c>
      <c r="H71" s="603">
        <v>0</v>
      </c>
      <c r="I71" s="490">
        <f t="shared" si="55"/>
        <v>831.34</v>
      </c>
      <c r="J71" s="489">
        <f t="shared" si="91"/>
        <v>1.2762900000000001E-2</v>
      </c>
      <c r="K71" s="484">
        <f t="shared" si="92"/>
        <v>-78.849999999999994</v>
      </c>
      <c r="L71" s="484">
        <f t="shared" si="89"/>
        <v>0</v>
      </c>
      <c r="M71" s="484">
        <f t="shared" si="93"/>
        <v>19.57</v>
      </c>
      <c r="N71" s="485">
        <f t="shared" si="56"/>
        <v>19.57</v>
      </c>
      <c r="O71" s="485">
        <f t="shared" si="88"/>
        <v>0</v>
      </c>
      <c r="P71" s="485">
        <f t="shared" si="88"/>
        <v>0</v>
      </c>
      <c r="Q71" s="485">
        <f t="shared" si="57"/>
        <v>0</v>
      </c>
      <c r="R71" s="484">
        <f t="shared" si="58"/>
        <v>0</v>
      </c>
      <c r="S71" s="485">
        <f t="shared" si="59"/>
        <v>850.91</v>
      </c>
      <c r="T71" s="488">
        <f t="shared" si="94"/>
        <v>1016.38</v>
      </c>
      <c r="U71" s="487">
        <v>200.83</v>
      </c>
      <c r="V71" s="486">
        <f t="shared" si="60"/>
        <v>1.2762900000000001E-2</v>
      </c>
      <c r="W71" s="484">
        <f t="shared" si="95"/>
        <v>43.7</v>
      </c>
      <c r="X71" s="484">
        <v>0</v>
      </c>
      <c r="Y71" s="484">
        <f t="shared" si="96"/>
        <v>26.22</v>
      </c>
      <c r="Z71" s="484">
        <f t="shared" si="96"/>
        <v>-1.58</v>
      </c>
      <c r="AA71" s="484">
        <f t="shared" si="96"/>
        <v>-0.59</v>
      </c>
      <c r="AB71" s="485">
        <f t="shared" si="61"/>
        <v>67.75</v>
      </c>
      <c r="AC71" s="485">
        <f t="shared" si="97"/>
        <v>-12.2</v>
      </c>
      <c r="AD71" s="498">
        <f t="shared" si="62"/>
        <v>-133.6</v>
      </c>
      <c r="AE71" s="498">
        <v>0</v>
      </c>
      <c r="AF71" s="485">
        <f t="shared" si="63"/>
        <v>-133.6</v>
      </c>
      <c r="AG71" s="484">
        <f t="shared" si="64"/>
        <v>-145.80000000000001</v>
      </c>
      <c r="AH71" s="381">
        <f t="shared" si="65"/>
        <v>122.78</v>
      </c>
      <c r="AI71" s="483">
        <f t="shared" si="66"/>
        <v>973.69</v>
      </c>
      <c r="AJ71" s="483">
        <f t="shared" si="98"/>
        <v>1158.6199999999999</v>
      </c>
      <c r="AK71" s="83"/>
      <c r="AL71" s="114">
        <v>831.34</v>
      </c>
      <c r="AM71" s="497">
        <f t="shared" si="99"/>
        <v>1132.8599999999999</v>
      </c>
      <c r="AN71" s="192">
        <f t="shared" si="67"/>
        <v>0</v>
      </c>
      <c r="AO71" s="114">
        <f t="shared" si="68"/>
        <v>-78.849999999999994</v>
      </c>
      <c r="AP71" s="137">
        <f t="shared" si="69"/>
        <v>0</v>
      </c>
      <c r="AQ71" s="137">
        <f t="shared" si="70"/>
        <v>19.57</v>
      </c>
      <c r="AR71" s="84">
        <f t="shared" si="71"/>
        <v>19.57</v>
      </c>
      <c r="AS71" s="84">
        <f t="shared" si="72"/>
        <v>0</v>
      </c>
      <c r="AT71" s="84">
        <f t="shared" si="73"/>
        <v>0</v>
      </c>
      <c r="AU71" s="84">
        <f t="shared" si="74"/>
        <v>0</v>
      </c>
      <c r="AV71" s="84">
        <f t="shared" si="75"/>
        <v>0</v>
      </c>
      <c r="AW71" s="487">
        <v>200.83</v>
      </c>
      <c r="AX71" s="137">
        <f t="shared" si="76"/>
        <v>43.7</v>
      </c>
      <c r="AY71" s="137">
        <f t="shared" si="77"/>
        <v>0</v>
      </c>
      <c r="AZ71" s="137">
        <f t="shared" si="78"/>
        <v>26.22</v>
      </c>
      <c r="BA71" s="137">
        <f t="shared" si="79"/>
        <v>-1.58</v>
      </c>
      <c r="BB71" s="137">
        <f t="shared" si="80"/>
        <v>-0.59</v>
      </c>
      <c r="BC71" s="84">
        <f t="shared" si="81"/>
        <v>67.75</v>
      </c>
      <c r="BD71" s="84">
        <f t="shared" si="82"/>
        <v>-12.2</v>
      </c>
      <c r="BE71" s="84">
        <f t="shared" si="83"/>
        <v>-133.6</v>
      </c>
      <c r="BF71" s="116">
        <f t="shared" si="84"/>
        <v>-145.80000000000001</v>
      </c>
      <c r="BG71" s="496">
        <f t="shared" si="85"/>
        <v>1073.58</v>
      </c>
      <c r="BH71" s="496">
        <f t="shared" si="86"/>
        <v>122.78</v>
      </c>
      <c r="BI71" s="496">
        <f t="shared" si="87"/>
        <v>1196.3599999999999</v>
      </c>
    </row>
    <row r="72" spans="1:61" s="480" customFormat="1" ht="16.149999999999999" customHeight="1">
      <c r="A72" s="495" t="s">
        <v>214</v>
      </c>
      <c r="B72" s="599" t="s">
        <v>463</v>
      </c>
      <c r="C72" s="600" t="s">
        <v>62</v>
      </c>
      <c r="D72" s="601" t="s">
        <v>12</v>
      </c>
      <c r="E72" s="314">
        <v>8767</v>
      </c>
      <c r="F72" s="500">
        <v>5</v>
      </c>
      <c r="G72" s="602">
        <v>1108.29</v>
      </c>
      <c r="H72" s="603">
        <v>0</v>
      </c>
      <c r="I72" s="490">
        <f t="shared" si="55"/>
        <v>1108.29</v>
      </c>
      <c r="J72" s="489">
        <f t="shared" si="91"/>
        <v>1.7014689999999999E-2</v>
      </c>
      <c r="K72" s="484">
        <f t="shared" si="92"/>
        <v>-105.12</v>
      </c>
      <c r="L72" s="484">
        <f t="shared" si="89"/>
        <v>0</v>
      </c>
      <c r="M72" s="484">
        <f t="shared" si="93"/>
        <v>26.1</v>
      </c>
      <c r="N72" s="485">
        <f t="shared" si="56"/>
        <v>26.1</v>
      </c>
      <c r="O72" s="485">
        <f t="shared" ref="O72:P86" si="100">$J72*O$89</f>
        <v>0</v>
      </c>
      <c r="P72" s="485">
        <f t="shared" si="100"/>
        <v>0</v>
      </c>
      <c r="Q72" s="485">
        <f t="shared" si="57"/>
        <v>0</v>
      </c>
      <c r="R72" s="484">
        <f t="shared" si="58"/>
        <v>0</v>
      </c>
      <c r="S72" s="485">
        <f t="shared" si="59"/>
        <v>1134.3900000000001</v>
      </c>
      <c r="T72" s="488">
        <f t="shared" si="94"/>
        <v>1354.98</v>
      </c>
      <c r="U72" s="487">
        <v>604.4</v>
      </c>
      <c r="V72" s="486">
        <f t="shared" si="60"/>
        <v>1.7014689999999999E-2</v>
      </c>
      <c r="W72" s="484">
        <f t="shared" si="95"/>
        <v>58.26</v>
      </c>
      <c r="X72" s="484">
        <v>0</v>
      </c>
      <c r="Y72" s="484">
        <f t="shared" si="96"/>
        <v>34.96</v>
      </c>
      <c r="Z72" s="484">
        <f t="shared" si="96"/>
        <v>-2.11</v>
      </c>
      <c r="AA72" s="484">
        <f t="shared" si="96"/>
        <v>-0.78</v>
      </c>
      <c r="AB72" s="485">
        <f t="shared" si="61"/>
        <v>90.33</v>
      </c>
      <c r="AC72" s="485">
        <f t="shared" si="97"/>
        <v>-16.260000000000002</v>
      </c>
      <c r="AD72" s="498">
        <f t="shared" si="62"/>
        <v>-66.8</v>
      </c>
      <c r="AE72" s="498">
        <v>0</v>
      </c>
      <c r="AF72" s="485">
        <f t="shared" si="63"/>
        <v>-66.8</v>
      </c>
      <c r="AG72" s="484">
        <f t="shared" si="64"/>
        <v>-83.06</v>
      </c>
      <c r="AH72" s="381">
        <f t="shared" si="65"/>
        <v>611.66999999999996</v>
      </c>
      <c r="AI72" s="483">
        <f t="shared" si="66"/>
        <v>1746.06</v>
      </c>
      <c r="AJ72" s="483">
        <f t="shared" si="98"/>
        <v>2077.6799999999998</v>
      </c>
      <c r="AK72" s="83"/>
      <c r="AL72" s="114">
        <v>1108.29</v>
      </c>
      <c r="AM72" s="497">
        <f t="shared" si="99"/>
        <v>1510.25</v>
      </c>
      <c r="AN72" s="192">
        <f t="shared" si="67"/>
        <v>0</v>
      </c>
      <c r="AO72" s="114">
        <f t="shared" si="68"/>
        <v>-105.12</v>
      </c>
      <c r="AP72" s="137">
        <f t="shared" si="69"/>
        <v>0</v>
      </c>
      <c r="AQ72" s="137">
        <f t="shared" si="70"/>
        <v>26.1</v>
      </c>
      <c r="AR72" s="84">
        <f t="shared" si="71"/>
        <v>26.1</v>
      </c>
      <c r="AS72" s="84">
        <f t="shared" si="72"/>
        <v>0</v>
      </c>
      <c r="AT72" s="84">
        <f t="shared" si="73"/>
        <v>0</v>
      </c>
      <c r="AU72" s="84">
        <f t="shared" si="74"/>
        <v>0</v>
      </c>
      <c r="AV72" s="84">
        <f t="shared" si="75"/>
        <v>0</v>
      </c>
      <c r="AW72" s="487">
        <v>604.4</v>
      </c>
      <c r="AX72" s="137">
        <f t="shared" si="76"/>
        <v>58.26</v>
      </c>
      <c r="AY72" s="137">
        <f t="shared" si="77"/>
        <v>0</v>
      </c>
      <c r="AZ72" s="137">
        <f t="shared" si="78"/>
        <v>34.96</v>
      </c>
      <c r="BA72" s="137">
        <f t="shared" si="79"/>
        <v>-2.11</v>
      </c>
      <c r="BB72" s="137">
        <f t="shared" si="80"/>
        <v>-0.78</v>
      </c>
      <c r="BC72" s="84">
        <f t="shared" si="81"/>
        <v>90.33</v>
      </c>
      <c r="BD72" s="84">
        <f t="shared" si="82"/>
        <v>-16.260000000000002</v>
      </c>
      <c r="BE72" s="84">
        <f t="shared" si="83"/>
        <v>-66.8</v>
      </c>
      <c r="BF72" s="116">
        <f t="shared" si="84"/>
        <v>-83.06</v>
      </c>
      <c r="BG72" s="496">
        <f t="shared" si="85"/>
        <v>1431.23</v>
      </c>
      <c r="BH72" s="496">
        <f t="shared" si="86"/>
        <v>611.66999999999996</v>
      </c>
      <c r="BI72" s="496">
        <f t="shared" si="87"/>
        <v>2042.9</v>
      </c>
    </row>
    <row r="73" spans="1:61" s="480" customFormat="1" ht="16.149999999999999" customHeight="1">
      <c r="A73" s="495" t="s">
        <v>214</v>
      </c>
      <c r="B73" s="494" t="s">
        <v>458</v>
      </c>
      <c r="C73" s="493" t="s">
        <v>63</v>
      </c>
      <c r="D73" s="385" t="s">
        <v>12</v>
      </c>
      <c r="E73" s="314">
        <v>3654</v>
      </c>
      <c r="F73" s="500">
        <v>0</v>
      </c>
      <c r="G73" s="491">
        <v>1108.29</v>
      </c>
      <c r="H73" s="485">
        <v>0</v>
      </c>
      <c r="I73" s="490">
        <f t="shared" si="55"/>
        <v>1108.29</v>
      </c>
      <c r="J73" s="489">
        <f t="shared" si="91"/>
        <v>1.7014689999999999E-2</v>
      </c>
      <c r="K73" s="484">
        <f t="shared" si="92"/>
        <v>-105.12</v>
      </c>
      <c r="L73" s="484">
        <f t="shared" si="89"/>
        <v>0</v>
      </c>
      <c r="M73" s="484">
        <f t="shared" si="93"/>
        <v>26.1</v>
      </c>
      <c r="N73" s="485">
        <f t="shared" si="56"/>
        <v>26.1</v>
      </c>
      <c r="O73" s="485">
        <f t="shared" si="100"/>
        <v>0</v>
      </c>
      <c r="P73" s="485">
        <f t="shared" si="100"/>
        <v>0</v>
      </c>
      <c r="Q73" s="485">
        <f t="shared" si="57"/>
        <v>0</v>
      </c>
      <c r="R73" s="484">
        <f t="shared" si="58"/>
        <v>0</v>
      </c>
      <c r="S73" s="485">
        <f t="shared" si="59"/>
        <v>1134.3900000000001</v>
      </c>
      <c r="T73" s="488">
        <f t="shared" si="94"/>
        <v>1354.98</v>
      </c>
      <c r="U73" s="487">
        <v>806.46</v>
      </c>
      <c r="V73" s="486">
        <f t="shared" si="60"/>
        <v>1.7014689999999999E-2</v>
      </c>
      <c r="W73" s="484">
        <f t="shared" si="95"/>
        <v>58.26</v>
      </c>
      <c r="X73" s="484">
        <v>0</v>
      </c>
      <c r="Y73" s="484">
        <f t="shared" si="96"/>
        <v>34.96</v>
      </c>
      <c r="Z73" s="484">
        <f t="shared" si="96"/>
        <v>-2.11</v>
      </c>
      <c r="AA73" s="484">
        <f t="shared" si="96"/>
        <v>-0.78</v>
      </c>
      <c r="AB73" s="485">
        <f t="shared" si="61"/>
        <v>90.33</v>
      </c>
      <c r="AC73" s="485">
        <f t="shared" si="97"/>
        <v>-16.260000000000002</v>
      </c>
      <c r="AD73" s="498">
        <f t="shared" si="62"/>
        <v>0</v>
      </c>
      <c r="AE73" s="498">
        <v>0</v>
      </c>
      <c r="AF73" s="485">
        <f t="shared" si="63"/>
        <v>0</v>
      </c>
      <c r="AG73" s="484">
        <f t="shared" si="64"/>
        <v>-16.260000000000002</v>
      </c>
      <c r="AH73" s="381">
        <f t="shared" si="65"/>
        <v>880.53</v>
      </c>
      <c r="AI73" s="483">
        <f t="shared" si="66"/>
        <v>2014.92</v>
      </c>
      <c r="AJ73" s="483">
        <f t="shared" si="98"/>
        <v>2397.6</v>
      </c>
      <c r="AK73" s="83"/>
      <c r="AL73" s="114">
        <v>1108.29</v>
      </c>
      <c r="AM73" s="497">
        <f t="shared" si="99"/>
        <v>1510.25</v>
      </c>
      <c r="AN73" s="192">
        <f t="shared" si="67"/>
        <v>0</v>
      </c>
      <c r="AO73" s="114">
        <f t="shared" si="68"/>
        <v>-105.12</v>
      </c>
      <c r="AP73" s="137">
        <f t="shared" si="69"/>
        <v>0</v>
      </c>
      <c r="AQ73" s="137">
        <f t="shared" si="70"/>
        <v>26.1</v>
      </c>
      <c r="AR73" s="84">
        <f t="shared" si="71"/>
        <v>26.1</v>
      </c>
      <c r="AS73" s="84">
        <f t="shared" si="72"/>
        <v>0</v>
      </c>
      <c r="AT73" s="84">
        <f t="shared" si="73"/>
        <v>0</v>
      </c>
      <c r="AU73" s="84">
        <f t="shared" si="74"/>
        <v>0</v>
      </c>
      <c r="AV73" s="84">
        <f t="shared" si="75"/>
        <v>0</v>
      </c>
      <c r="AW73" s="487">
        <v>806.46</v>
      </c>
      <c r="AX73" s="137">
        <f t="shared" si="76"/>
        <v>58.26</v>
      </c>
      <c r="AY73" s="137">
        <f t="shared" si="77"/>
        <v>0</v>
      </c>
      <c r="AZ73" s="137">
        <f t="shared" si="78"/>
        <v>34.96</v>
      </c>
      <c r="BA73" s="137">
        <f t="shared" si="79"/>
        <v>-2.11</v>
      </c>
      <c r="BB73" s="137">
        <f t="shared" si="80"/>
        <v>-0.78</v>
      </c>
      <c r="BC73" s="84">
        <f t="shared" si="81"/>
        <v>90.33</v>
      </c>
      <c r="BD73" s="84">
        <f t="shared" si="82"/>
        <v>-16.260000000000002</v>
      </c>
      <c r="BE73" s="84">
        <f t="shared" si="83"/>
        <v>0</v>
      </c>
      <c r="BF73" s="116">
        <f t="shared" si="84"/>
        <v>-16.260000000000002</v>
      </c>
      <c r="BG73" s="496">
        <f t="shared" si="85"/>
        <v>1431.23</v>
      </c>
      <c r="BH73" s="496">
        <f t="shared" si="86"/>
        <v>880.53</v>
      </c>
      <c r="BI73" s="496">
        <f t="shared" si="87"/>
        <v>2311.7600000000002</v>
      </c>
    </row>
    <row r="74" spans="1:61" s="480" customFormat="1" ht="16.149999999999999" customHeight="1">
      <c r="A74" s="495" t="s">
        <v>214</v>
      </c>
      <c r="B74" s="494" t="s">
        <v>454</v>
      </c>
      <c r="C74" s="493" t="s">
        <v>62</v>
      </c>
      <c r="D74" s="385" t="s">
        <v>12</v>
      </c>
      <c r="E74" s="314">
        <v>14246</v>
      </c>
      <c r="F74" s="500">
        <v>2</v>
      </c>
      <c r="G74" s="491">
        <v>317.89999999999998</v>
      </c>
      <c r="H74" s="485">
        <v>0</v>
      </c>
      <c r="I74" s="490">
        <f t="shared" si="55"/>
        <v>317.89999999999998</v>
      </c>
      <c r="J74" s="489">
        <f t="shared" si="91"/>
        <v>4.8804699999999996E-3</v>
      </c>
      <c r="K74" s="484">
        <f t="shared" si="92"/>
        <v>-30.15</v>
      </c>
      <c r="L74" s="484">
        <f t="shared" si="89"/>
        <v>0</v>
      </c>
      <c r="M74" s="484">
        <f t="shared" si="93"/>
        <v>7.49</v>
      </c>
      <c r="N74" s="485">
        <f t="shared" si="56"/>
        <v>7.49</v>
      </c>
      <c r="O74" s="485">
        <f t="shared" si="100"/>
        <v>0</v>
      </c>
      <c r="P74" s="485">
        <f t="shared" si="100"/>
        <v>0</v>
      </c>
      <c r="Q74" s="485">
        <f t="shared" si="57"/>
        <v>0</v>
      </c>
      <c r="R74" s="484">
        <f t="shared" si="58"/>
        <v>0</v>
      </c>
      <c r="S74" s="485">
        <f t="shared" si="59"/>
        <v>325.39</v>
      </c>
      <c r="T74" s="488">
        <f t="shared" si="94"/>
        <v>388.66</v>
      </c>
      <c r="U74" s="487">
        <v>150.51</v>
      </c>
      <c r="V74" s="486">
        <f t="shared" si="60"/>
        <v>4.8804699999999996E-3</v>
      </c>
      <c r="W74" s="484">
        <f t="shared" si="95"/>
        <v>16.71</v>
      </c>
      <c r="X74" s="484">
        <v>0</v>
      </c>
      <c r="Y74" s="484">
        <f t="shared" si="96"/>
        <v>10.029999999999999</v>
      </c>
      <c r="Z74" s="484">
        <f t="shared" si="96"/>
        <v>-0.6</v>
      </c>
      <c r="AA74" s="484">
        <f t="shared" si="96"/>
        <v>-0.22</v>
      </c>
      <c r="AB74" s="485">
        <f t="shared" si="61"/>
        <v>25.92</v>
      </c>
      <c r="AC74" s="485">
        <f t="shared" si="97"/>
        <v>-4.66</v>
      </c>
      <c r="AD74" s="498">
        <f t="shared" si="62"/>
        <v>-26.72</v>
      </c>
      <c r="AE74" s="498">
        <v>0</v>
      </c>
      <c r="AF74" s="485">
        <f t="shared" si="63"/>
        <v>-26.72</v>
      </c>
      <c r="AG74" s="484">
        <f t="shared" si="64"/>
        <v>-31.38</v>
      </c>
      <c r="AH74" s="381">
        <f t="shared" si="65"/>
        <v>145.05000000000001</v>
      </c>
      <c r="AI74" s="483">
        <f t="shared" si="66"/>
        <v>470.44</v>
      </c>
      <c r="AJ74" s="483">
        <f t="shared" si="98"/>
        <v>559.79</v>
      </c>
      <c r="AK74" s="83"/>
      <c r="AL74" s="114">
        <v>317.89999999999998</v>
      </c>
      <c r="AM74" s="497">
        <f t="shared" si="99"/>
        <v>433.2</v>
      </c>
      <c r="AN74" s="192">
        <f t="shared" si="67"/>
        <v>0</v>
      </c>
      <c r="AO74" s="114">
        <f t="shared" si="68"/>
        <v>-30.15</v>
      </c>
      <c r="AP74" s="137">
        <f t="shared" si="69"/>
        <v>0</v>
      </c>
      <c r="AQ74" s="137">
        <f t="shared" si="70"/>
        <v>7.49</v>
      </c>
      <c r="AR74" s="84">
        <f t="shared" si="71"/>
        <v>7.49</v>
      </c>
      <c r="AS74" s="84">
        <f t="shared" si="72"/>
        <v>0</v>
      </c>
      <c r="AT74" s="84">
        <f t="shared" si="73"/>
        <v>0</v>
      </c>
      <c r="AU74" s="84">
        <f t="shared" si="74"/>
        <v>0</v>
      </c>
      <c r="AV74" s="84">
        <f t="shared" si="75"/>
        <v>0</v>
      </c>
      <c r="AW74" s="487">
        <v>150.51</v>
      </c>
      <c r="AX74" s="137">
        <f t="shared" si="76"/>
        <v>16.71</v>
      </c>
      <c r="AY74" s="137">
        <f t="shared" si="77"/>
        <v>0</v>
      </c>
      <c r="AZ74" s="137">
        <f t="shared" si="78"/>
        <v>10.029999999999999</v>
      </c>
      <c r="BA74" s="137">
        <f t="shared" si="79"/>
        <v>-0.6</v>
      </c>
      <c r="BB74" s="137">
        <f t="shared" si="80"/>
        <v>-0.22</v>
      </c>
      <c r="BC74" s="84">
        <f t="shared" si="81"/>
        <v>25.92</v>
      </c>
      <c r="BD74" s="84">
        <f t="shared" si="82"/>
        <v>-4.66</v>
      </c>
      <c r="BE74" s="84">
        <f t="shared" si="83"/>
        <v>-26.72</v>
      </c>
      <c r="BF74" s="116">
        <f t="shared" si="84"/>
        <v>-31.38</v>
      </c>
      <c r="BG74" s="496">
        <f t="shared" si="85"/>
        <v>410.54</v>
      </c>
      <c r="BH74" s="496">
        <f t="shared" si="86"/>
        <v>145.05000000000001</v>
      </c>
      <c r="BI74" s="496">
        <f t="shared" si="87"/>
        <v>555.59</v>
      </c>
    </row>
    <row r="75" spans="1:61" s="480" customFormat="1" ht="16.149999999999999" customHeight="1">
      <c r="A75" s="495" t="s">
        <v>214</v>
      </c>
      <c r="B75" s="494" t="s">
        <v>437</v>
      </c>
      <c r="C75" s="493" t="s">
        <v>62</v>
      </c>
      <c r="D75" s="385" t="s">
        <v>12</v>
      </c>
      <c r="E75" s="314">
        <v>5480</v>
      </c>
      <c r="F75" s="500">
        <v>3</v>
      </c>
      <c r="G75" s="491">
        <v>554.29</v>
      </c>
      <c r="H75" s="485">
        <v>0</v>
      </c>
      <c r="I75" s="490">
        <f t="shared" si="55"/>
        <v>554.29</v>
      </c>
      <c r="J75" s="489">
        <f t="shared" si="91"/>
        <v>8.5095699999999993E-3</v>
      </c>
      <c r="K75" s="484">
        <f t="shared" si="92"/>
        <v>-52.57</v>
      </c>
      <c r="L75" s="484">
        <f t="shared" si="89"/>
        <v>0</v>
      </c>
      <c r="M75" s="484">
        <f t="shared" si="93"/>
        <v>13.05</v>
      </c>
      <c r="N75" s="485">
        <f t="shared" si="56"/>
        <v>13.05</v>
      </c>
      <c r="O75" s="485">
        <f t="shared" si="100"/>
        <v>0</v>
      </c>
      <c r="P75" s="485">
        <f t="shared" si="100"/>
        <v>0</v>
      </c>
      <c r="Q75" s="485">
        <f t="shared" si="57"/>
        <v>0</v>
      </c>
      <c r="R75" s="484">
        <f t="shared" si="58"/>
        <v>0</v>
      </c>
      <c r="S75" s="485">
        <f t="shared" si="59"/>
        <v>567.34</v>
      </c>
      <c r="T75" s="488">
        <f t="shared" si="94"/>
        <v>677.66</v>
      </c>
      <c r="U75" s="487">
        <v>282.05</v>
      </c>
      <c r="V75" s="486">
        <f t="shared" si="60"/>
        <v>8.5095699999999993E-3</v>
      </c>
      <c r="W75" s="484">
        <f t="shared" si="95"/>
        <v>29.14</v>
      </c>
      <c r="X75" s="484">
        <v>0</v>
      </c>
      <c r="Y75" s="484">
        <f t="shared" si="96"/>
        <v>17.48</v>
      </c>
      <c r="Z75" s="484">
        <f t="shared" si="96"/>
        <v>-1.05</v>
      </c>
      <c r="AA75" s="484">
        <f t="shared" si="96"/>
        <v>-0.39</v>
      </c>
      <c r="AB75" s="485">
        <f t="shared" si="61"/>
        <v>45.18</v>
      </c>
      <c r="AC75" s="485">
        <f t="shared" si="97"/>
        <v>-8.1300000000000008</v>
      </c>
      <c r="AD75" s="498">
        <f t="shared" si="62"/>
        <v>-40.08</v>
      </c>
      <c r="AE75" s="498">
        <v>0</v>
      </c>
      <c r="AF75" s="485">
        <f t="shared" si="63"/>
        <v>-40.08</v>
      </c>
      <c r="AG75" s="484">
        <f t="shared" si="64"/>
        <v>-48.21</v>
      </c>
      <c r="AH75" s="381">
        <f t="shared" si="65"/>
        <v>279.02</v>
      </c>
      <c r="AI75" s="483">
        <f t="shared" si="66"/>
        <v>846.36</v>
      </c>
      <c r="AJ75" s="483">
        <f t="shared" si="98"/>
        <v>1007.1</v>
      </c>
      <c r="AK75" s="83"/>
      <c r="AL75" s="114">
        <v>554.29</v>
      </c>
      <c r="AM75" s="497">
        <f t="shared" si="99"/>
        <v>755.32</v>
      </c>
      <c r="AN75" s="192">
        <f t="shared" si="67"/>
        <v>0</v>
      </c>
      <c r="AO75" s="114">
        <f t="shared" si="68"/>
        <v>-52.57</v>
      </c>
      <c r="AP75" s="137">
        <f t="shared" si="69"/>
        <v>0</v>
      </c>
      <c r="AQ75" s="137">
        <f t="shared" si="70"/>
        <v>13.05</v>
      </c>
      <c r="AR75" s="84">
        <f t="shared" si="71"/>
        <v>13.05</v>
      </c>
      <c r="AS75" s="84">
        <f t="shared" si="72"/>
        <v>0</v>
      </c>
      <c r="AT75" s="84">
        <f t="shared" si="73"/>
        <v>0</v>
      </c>
      <c r="AU75" s="84">
        <f t="shared" si="74"/>
        <v>0</v>
      </c>
      <c r="AV75" s="84">
        <f t="shared" si="75"/>
        <v>0</v>
      </c>
      <c r="AW75" s="487">
        <v>282.05</v>
      </c>
      <c r="AX75" s="137">
        <f t="shared" si="76"/>
        <v>29.14</v>
      </c>
      <c r="AY75" s="137">
        <f t="shared" si="77"/>
        <v>0</v>
      </c>
      <c r="AZ75" s="137">
        <f t="shared" si="78"/>
        <v>17.48</v>
      </c>
      <c r="BA75" s="137">
        <f t="shared" si="79"/>
        <v>-1.05</v>
      </c>
      <c r="BB75" s="137">
        <f t="shared" si="80"/>
        <v>-0.39</v>
      </c>
      <c r="BC75" s="84">
        <f t="shared" si="81"/>
        <v>45.18</v>
      </c>
      <c r="BD75" s="84">
        <f t="shared" si="82"/>
        <v>-8.1300000000000008</v>
      </c>
      <c r="BE75" s="84">
        <f t="shared" si="83"/>
        <v>-40.08</v>
      </c>
      <c r="BF75" s="116">
        <f t="shared" si="84"/>
        <v>-48.21</v>
      </c>
      <c r="BG75" s="496">
        <f t="shared" si="85"/>
        <v>715.8</v>
      </c>
      <c r="BH75" s="496">
        <f t="shared" si="86"/>
        <v>279.02</v>
      </c>
      <c r="BI75" s="496">
        <f t="shared" si="87"/>
        <v>994.82</v>
      </c>
    </row>
    <row r="76" spans="1:61" s="480" customFormat="1" ht="16.149999999999999" customHeight="1">
      <c r="A76" s="495" t="s">
        <v>214</v>
      </c>
      <c r="B76" s="494" t="s">
        <v>438</v>
      </c>
      <c r="C76" s="493" t="s">
        <v>62</v>
      </c>
      <c r="D76" s="385" t="s">
        <v>12</v>
      </c>
      <c r="E76" s="314">
        <v>16803</v>
      </c>
      <c r="F76" s="500">
        <v>2</v>
      </c>
      <c r="G76" s="491">
        <v>554.29</v>
      </c>
      <c r="H76" s="485">
        <v>0</v>
      </c>
      <c r="I76" s="490">
        <f t="shared" ref="I76:I86" si="101">G76+H76</f>
        <v>554.29</v>
      </c>
      <c r="J76" s="489">
        <f t="shared" si="91"/>
        <v>8.5095699999999993E-3</v>
      </c>
      <c r="K76" s="484">
        <f t="shared" si="92"/>
        <v>-52.57</v>
      </c>
      <c r="L76" s="484">
        <f t="shared" si="89"/>
        <v>0</v>
      </c>
      <c r="M76" s="484">
        <f t="shared" si="93"/>
        <v>13.05</v>
      </c>
      <c r="N76" s="485">
        <f t="shared" ref="N76:N86" si="102">L76+M76</f>
        <v>13.05</v>
      </c>
      <c r="O76" s="485">
        <f t="shared" si="100"/>
        <v>0</v>
      </c>
      <c r="P76" s="485">
        <f t="shared" si="100"/>
        <v>0</v>
      </c>
      <c r="Q76" s="485">
        <f t="shared" ref="Q76:Q86" si="103">Q$89*J76</f>
        <v>0</v>
      </c>
      <c r="R76" s="484">
        <f t="shared" ref="R76:R86" si="104">P76+Q76</f>
        <v>0</v>
      </c>
      <c r="S76" s="485">
        <f t="shared" ref="S76:S86" si="105">G76+H76+N76+O76+R76</f>
        <v>567.34</v>
      </c>
      <c r="T76" s="488">
        <f t="shared" si="94"/>
        <v>677.66</v>
      </c>
      <c r="U76" s="487">
        <v>322.47000000000003</v>
      </c>
      <c r="V76" s="486">
        <f t="shared" ref="V76:V86" si="106">J76</f>
        <v>8.5095699999999993E-3</v>
      </c>
      <c r="W76" s="484">
        <f t="shared" si="95"/>
        <v>29.14</v>
      </c>
      <c r="X76" s="484">
        <v>0</v>
      </c>
      <c r="Y76" s="484">
        <f t="shared" si="96"/>
        <v>17.48</v>
      </c>
      <c r="Z76" s="484">
        <f t="shared" si="96"/>
        <v>-1.05</v>
      </c>
      <c r="AA76" s="484">
        <f t="shared" si="96"/>
        <v>-0.39</v>
      </c>
      <c r="AB76" s="485">
        <f t="shared" ref="AB76:AB86" si="107">SUM(W76:AA76)</f>
        <v>45.18</v>
      </c>
      <c r="AC76" s="485">
        <f t="shared" si="97"/>
        <v>-8.1300000000000008</v>
      </c>
      <c r="AD76" s="498">
        <f t="shared" ref="AD76:AD86" si="108">(F76/F$89)*AD$89</f>
        <v>-26.72</v>
      </c>
      <c r="AE76" s="498">
        <v>0</v>
      </c>
      <c r="AF76" s="485">
        <f t="shared" ref="AF76:AF86" si="109">AD76+AE76</f>
        <v>-26.72</v>
      </c>
      <c r="AG76" s="484">
        <f t="shared" ref="AG76:AG86" si="110">AC76+AF76</f>
        <v>-34.85</v>
      </c>
      <c r="AH76" s="381">
        <f t="shared" ref="AH76:AH86" si="111">U76+AB76+AG76</f>
        <v>332.8</v>
      </c>
      <c r="AI76" s="483">
        <f t="shared" ref="AI76:AI86" si="112">S76+AH76</f>
        <v>900.14</v>
      </c>
      <c r="AJ76" s="483">
        <f t="shared" si="98"/>
        <v>1071.0999999999999</v>
      </c>
      <c r="AK76" s="83"/>
      <c r="AL76" s="114">
        <v>554.29</v>
      </c>
      <c r="AM76" s="497">
        <f t="shared" si="99"/>
        <v>755.32</v>
      </c>
      <c r="AN76" s="192">
        <f t="shared" ref="AN76:AN86" si="113">H76</f>
        <v>0</v>
      </c>
      <c r="AO76" s="114">
        <f t="shared" ref="AO76:AO86" si="114">K76</f>
        <v>-52.57</v>
      </c>
      <c r="AP76" s="137">
        <f t="shared" ref="AP76:AP86" si="115">L76</f>
        <v>0</v>
      </c>
      <c r="AQ76" s="137">
        <f t="shared" ref="AQ76:AQ86" si="116">M76</f>
        <v>13.05</v>
      </c>
      <c r="AR76" s="84">
        <f t="shared" ref="AR76:AR86" si="117">AP76+AQ76</f>
        <v>13.05</v>
      </c>
      <c r="AS76" s="84">
        <f t="shared" ref="AS76:AS86" si="118">O76</f>
        <v>0</v>
      </c>
      <c r="AT76" s="84">
        <f t="shared" ref="AT76:AT86" si="119">P76</f>
        <v>0</v>
      </c>
      <c r="AU76" s="84">
        <f t="shared" ref="AU76:AU86" si="120">Q76</f>
        <v>0</v>
      </c>
      <c r="AV76" s="84">
        <f t="shared" ref="AV76:AV86" si="121">AT76+AU76</f>
        <v>0</v>
      </c>
      <c r="AW76" s="487">
        <v>322.47000000000003</v>
      </c>
      <c r="AX76" s="137">
        <f t="shared" ref="AX76:AX86" si="122">W76</f>
        <v>29.14</v>
      </c>
      <c r="AY76" s="137">
        <f t="shared" ref="AY76:AY86" si="123">X76</f>
        <v>0</v>
      </c>
      <c r="AZ76" s="137">
        <f t="shared" ref="AZ76:AZ86" si="124">Y76</f>
        <v>17.48</v>
      </c>
      <c r="BA76" s="137">
        <f t="shared" ref="BA76:BA86" si="125">Z76</f>
        <v>-1.05</v>
      </c>
      <c r="BB76" s="137">
        <f t="shared" ref="BB76:BB86" si="126">AA76</f>
        <v>-0.39</v>
      </c>
      <c r="BC76" s="84">
        <f t="shared" ref="BC76:BC86" si="127">SUM(AX76:BB76)</f>
        <v>45.18</v>
      </c>
      <c r="BD76" s="84">
        <f t="shared" ref="BD76:BD86" si="128">AC76</f>
        <v>-8.1300000000000008</v>
      </c>
      <c r="BE76" s="84">
        <f t="shared" ref="BE76:BE86" si="129">AF76</f>
        <v>-26.72</v>
      </c>
      <c r="BF76" s="116">
        <f t="shared" ref="BF76:BF86" si="130">BD76+BE76</f>
        <v>-34.85</v>
      </c>
      <c r="BG76" s="496">
        <f t="shared" ref="BG76:BG86" si="131">AM76+AN76+AO76+AR76+AS76+AV76</f>
        <v>715.8</v>
      </c>
      <c r="BH76" s="496">
        <f t="shared" ref="BH76:BH86" si="132">AW76+BC76+BF76</f>
        <v>332.8</v>
      </c>
      <c r="BI76" s="496">
        <f t="shared" ref="BI76:BI86" si="133">AM76+AN76+AO76+AR76+AS76+AV76+AW76+BC76+BF76</f>
        <v>1048.5999999999999</v>
      </c>
    </row>
    <row r="77" spans="1:61" s="480" customFormat="1" ht="16.149999999999999" customHeight="1">
      <c r="A77" s="495" t="s">
        <v>214</v>
      </c>
      <c r="B77" s="494" t="s">
        <v>439</v>
      </c>
      <c r="C77" s="493" t="s">
        <v>62</v>
      </c>
      <c r="D77" s="385" t="s">
        <v>12</v>
      </c>
      <c r="E77" s="314">
        <v>14977</v>
      </c>
      <c r="F77" s="500">
        <v>5</v>
      </c>
      <c r="G77" s="491">
        <v>1108.29</v>
      </c>
      <c r="H77" s="485">
        <v>0</v>
      </c>
      <c r="I77" s="490">
        <f t="shared" si="101"/>
        <v>1108.29</v>
      </c>
      <c r="J77" s="489">
        <f t="shared" si="91"/>
        <v>1.7014689999999999E-2</v>
      </c>
      <c r="K77" s="484">
        <f t="shared" si="92"/>
        <v>-105.12</v>
      </c>
      <c r="L77" s="484">
        <f t="shared" si="89"/>
        <v>0</v>
      </c>
      <c r="M77" s="484">
        <f t="shared" si="93"/>
        <v>26.1</v>
      </c>
      <c r="N77" s="485">
        <f t="shared" si="102"/>
        <v>26.1</v>
      </c>
      <c r="O77" s="485">
        <f t="shared" si="100"/>
        <v>0</v>
      </c>
      <c r="P77" s="485">
        <f t="shared" si="100"/>
        <v>0</v>
      </c>
      <c r="Q77" s="485">
        <f t="shared" si="103"/>
        <v>0</v>
      </c>
      <c r="R77" s="484">
        <f t="shared" si="104"/>
        <v>0</v>
      </c>
      <c r="S77" s="485">
        <f t="shared" si="105"/>
        <v>1134.3900000000001</v>
      </c>
      <c r="T77" s="488">
        <f t="shared" si="94"/>
        <v>1354.98</v>
      </c>
      <c r="U77" s="487">
        <v>604.4</v>
      </c>
      <c r="V77" s="486">
        <f t="shared" si="106"/>
        <v>1.7014689999999999E-2</v>
      </c>
      <c r="W77" s="484">
        <f t="shared" si="95"/>
        <v>58.26</v>
      </c>
      <c r="X77" s="484">
        <v>0</v>
      </c>
      <c r="Y77" s="484">
        <f t="shared" si="96"/>
        <v>34.96</v>
      </c>
      <c r="Z77" s="484">
        <f t="shared" si="96"/>
        <v>-2.11</v>
      </c>
      <c r="AA77" s="484">
        <f t="shared" si="96"/>
        <v>-0.78</v>
      </c>
      <c r="AB77" s="485">
        <f t="shared" si="107"/>
        <v>90.33</v>
      </c>
      <c r="AC77" s="485">
        <f t="shared" si="97"/>
        <v>-16.260000000000002</v>
      </c>
      <c r="AD77" s="498">
        <f t="shared" si="108"/>
        <v>-66.8</v>
      </c>
      <c r="AE77" s="498">
        <v>0</v>
      </c>
      <c r="AF77" s="485">
        <f t="shared" si="109"/>
        <v>-66.8</v>
      </c>
      <c r="AG77" s="484">
        <f t="shared" si="110"/>
        <v>-83.06</v>
      </c>
      <c r="AH77" s="381">
        <f t="shared" si="111"/>
        <v>611.66999999999996</v>
      </c>
      <c r="AI77" s="483">
        <f t="shared" si="112"/>
        <v>1746.06</v>
      </c>
      <c r="AJ77" s="483">
        <f t="shared" si="98"/>
        <v>2077.6799999999998</v>
      </c>
      <c r="AK77" s="83"/>
      <c r="AL77" s="114">
        <v>1108.29</v>
      </c>
      <c r="AM77" s="497">
        <f t="shared" si="99"/>
        <v>1510.25</v>
      </c>
      <c r="AN77" s="192">
        <f t="shared" si="113"/>
        <v>0</v>
      </c>
      <c r="AO77" s="114">
        <f t="shared" si="114"/>
        <v>-105.12</v>
      </c>
      <c r="AP77" s="137">
        <f t="shared" si="115"/>
        <v>0</v>
      </c>
      <c r="AQ77" s="137">
        <f t="shared" si="116"/>
        <v>26.1</v>
      </c>
      <c r="AR77" s="84">
        <f t="shared" si="117"/>
        <v>26.1</v>
      </c>
      <c r="AS77" s="84">
        <f t="shared" si="118"/>
        <v>0</v>
      </c>
      <c r="AT77" s="84">
        <f t="shared" si="119"/>
        <v>0</v>
      </c>
      <c r="AU77" s="84">
        <f t="shared" si="120"/>
        <v>0</v>
      </c>
      <c r="AV77" s="84">
        <f t="shared" si="121"/>
        <v>0</v>
      </c>
      <c r="AW77" s="487">
        <v>604.4</v>
      </c>
      <c r="AX77" s="137">
        <f t="shared" si="122"/>
        <v>58.26</v>
      </c>
      <c r="AY77" s="137">
        <f t="shared" si="123"/>
        <v>0</v>
      </c>
      <c r="AZ77" s="137">
        <f t="shared" si="124"/>
        <v>34.96</v>
      </c>
      <c r="BA77" s="137">
        <f t="shared" si="125"/>
        <v>-2.11</v>
      </c>
      <c r="BB77" s="137">
        <f t="shared" si="126"/>
        <v>-0.78</v>
      </c>
      <c r="BC77" s="84">
        <f t="shared" si="127"/>
        <v>90.33</v>
      </c>
      <c r="BD77" s="84">
        <f t="shared" si="128"/>
        <v>-16.260000000000002</v>
      </c>
      <c r="BE77" s="84">
        <f t="shared" si="129"/>
        <v>-66.8</v>
      </c>
      <c r="BF77" s="116">
        <f t="shared" si="130"/>
        <v>-83.06</v>
      </c>
      <c r="BG77" s="496">
        <f t="shared" si="131"/>
        <v>1431.23</v>
      </c>
      <c r="BH77" s="496">
        <f t="shared" si="132"/>
        <v>611.66999999999996</v>
      </c>
      <c r="BI77" s="496">
        <f t="shared" si="133"/>
        <v>2042.9</v>
      </c>
    </row>
    <row r="78" spans="1:61" s="480" customFormat="1" ht="16.149999999999999" customHeight="1">
      <c r="A78" s="495" t="s">
        <v>214</v>
      </c>
      <c r="B78" s="599" t="s">
        <v>435</v>
      </c>
      <c r="C78" s="600" t="s">
        <v>62</v>
      </c>
      <c r="D78" s="601" t="s">
        <v>12</v>
      </c>
      <c r="E78" s="314">
        <v>11324</v>
      </c>
      <c r="F78" s="500">
        <v>10</v>
      </c>
      <c r="G78" s="602">
        <v>831.34</v>
      </c>
      <c r="H78" s="603">
        <v>0</v>
      </c>
      <c r="I78" s="490">
        <f t="shared" si="101"/>
        <v>831.34</v>
      </c>
      <c r="J78" s="489">
        <f t="shared" si="91"/>
        <v>1.2762900000000001E-2</v>
      </c>
      <c r="K78" s="484">
        <f t="shared" si="92"/>
        <v>-78.849999999999994</v>
      </c>
      <c r="L78" s="484">
        <f t="shared" si="89"/>
        <v>0</v>
      </c>
      <c r="M78" s="484">
        <f t="shared" si="93"/>
        <v>19.57</v>
      </c>
      <c r="N78" s="485">
        <f t="shared" si="102"/>
        <v>19.57</v>
      </c>
      <c r="O78" s="485">
        <f t="shared" si="100"/>
        <v>0</v>
      </c>
      <c r="P78" s="485">
        <f t="shared" si="100"/>
        <v>0</v>
      </c>
      <c r="Q78" s="485">
        <f t="shared" si="103"/>
        <v>0</v>
      </c>
      <c r="R78" s="484">
        <f t="shared" si="104"/>
        <v>0</v>
      </c>
      <c r="S78" s="485">
        <f t="shared" si="105"/>
        <v>850.91</v>
      </c>
      <c r="T78" s="488">
        <f t="shared" si="94"/>
        <v>1016.38</v>
      </c>
      <c r="U78" s="487">
        <v>200.83</v>
      </c>
      <c r="V78" s="486">
        <f t="shared" si="106"/>
        <v>1.2762900000000001E-2</v>
      </c>
      <c r="W78" s="484">
        <f t="shared" si="95"/>
        <v>43.7</v>
      </c>
      <c r="X78" s="484">
        <v>0</v>
      </c>
      <c r="Y78" s="484">
        <f t="shared" si="96"/>
        <v>26.22</v>
      </c>
      <c r="Z78" s="484">
        <f t="shared" si="96"/>
        <v>-1.58</v>
      </c>
      <c r="AA78" s="484">
        <f t="shared" si="96"/>
        <v>-0.59</v>
      </c>
      <c r="AB78" s="485">
        <f t="shared" si="107"/>
        <v>67.75</v>
      </c>
      <c r="AC78" s="485">
        <f t="shared" si="97"/>
        <v>-12.2</v>
      </c>
      <c r="AD78" s="498">
        <f t="shared" si="108"/>
        <v>-133.6</v>
      </c>
      <c r="AE78" s="498">
        <v>0</v>
      </c>
      <c r="AF78" s="485">
        <f t="shared" si="109"/>
        <v>-133.6</v>
      </c>
      <c r="AG78" s="484">
        <f t="shared" si="110"/>
        <v>-145.80000000000001</v>
      </c>
      <c r="AH78" s="381">
        <f t="shared" si="111"/>
        <v>122.78</v>
      </c>
      <c r="AI78" s="483">
        <f t="shared" si="112"/>
        <v>973.69</v>
      </c>
      <c r="AJ78" s="483">
        <f t="shared" si="98"/>
        <v>1158.6199999999999</v>
      </c>
      <c r="AK78" s="83"/>
      <c r="AL78" s="114">
        <v>831.34</v>
      </c>
      <c r="AM78" s="497">
        <f t="shared" si="99"/>
        <v>1132.8599999999999</v>
      </c>
      <c r="AN78" s="192">
        <f t="shared" si="113"/>
        <v>0</v>
      </c>
      <c r="AO78" s="114">
        <f t="shared" si="114"/>
        <v>-78.849999999999994</v>
      </c>
      <c r="AP78" s="137">
        <f t="shared" si="115"/>
        <v>0</v>
      </c>
      <c r="AQ78" s="137">
        <f t="shared" si="116"/>
        <v>19.57</v>
      </c>
      <c r="AR78" s="84">
        <f t="shared" si="117"/>
        <v>19.57</v>
      </c>
      <c r="AS78" s="84">
        <f t="shared" si="118"/>
        <v>0</v>
      </c>
      <c r="AT78" s="84">
        <f t="shared" si="119"/>
        <v>0</v>
      </c>
      <c r="AU78" s="84">
        <f t="shared" si="120"/>
        <v>0</v>
      </c>
      <c r="AV78" s="84">
        <f t="shared" si="121"/>
        <v>0</v>
      </c>
      <c r="AW78" s="487">
        <v>200.83</v>
      </c>
      <c r="AX78" s="137">
        <f t="shared" si="122"/>
        <v>43.7</v>
      </c>
      <c r="AY78" s="137">
        <f t="shared" si="123"/>
        <v>0</v>
      </c>
      <c r="AZ78" s="137">
        <f t="shared" si="124"/>
        <v>26.22</v>
      </c>
      <c r="BA78" s="137">
        <f t="shared" si="125"/>
        <v>-1.58</v>
      </c>
      <c r="BB78" s="137">
        <f t="shared" si="126"/>
        <v>-0.59</v>
      </c>
      <c r="BC78" s="84">
        <f t="shared" si="127"/>
        <v>67.75</v>
      </c>
      <c r="BD78" s="84">
        <f t="shared" si="128"/>
        <v>-12.2</v>
      </c>
      <c r="BE78" s="84">
        <f t="shared" si="129"/>
        <v>-133.6</v>
      </c>
      <c r="BF78" s="116">
        <f t="shared" si="130"/>
        <v>-145.80000000000001</v>
      </c>
      <c r="BG78" s="496">
        <f t="shared" si="131"/>
        <v>1073.58</v>
      </c>
      <c r="BH78" s="496">
        <f t="shared" si="132"/>
        <v>122.78</v>
      </c>
      <c r="BI78" s="496">
        <f t="shared" si="133"/>
        <v>1196.3599999999999</v>
      </c>
    </row>
    <row r="79" spans="1:61" s="480" customFormat="1" ht="16.149999999999999" customHeight="1">
      <c r="A79" s="495" t="s">
        <v>214</v>
      </c>
      <c r="B79" s="494" t="s">
        <v>436</v>
      </c>
      <c r="C79" s="493" t="s">
        <v>62</v>
      </c>
      <c r="D79" s="385" t="s">
        <v>12</v>
      </c>
      <c r="E79" s="314">
        <v>13881</v>
      </c>
      <c r="F79" s="500">
        <v>5</v>
      </c>
      <c r="G79" s="491">
        <v>554.29</v>
      </c>
      <c r="H79" s="485">
        <v>0</v>
      </c>
      <c r="I79" s="490">
        <f t="shared" si="101"/>
        <v>554.29</v>
      </c>
      <c r="J79" s="489">
        <f t="shared" si="91"/>
        <v>8.5095699999999993E-3</v>
      </c>
      <c r="K79" s="484">
        <f t="shared" si="92"/>
        <v>-52.57</v>
      </c>
      <c r="L79" s="484">
        <f t="shared" si="89"/>
        <v>0</v>
      </c>
      <c r="M79" s="484">
        <f t="shared" si="93"/>
        <v>13.05</v>
      </c>
      <c r="N79" s="485">
        <f t="shared" si="102"/>
        <v>13.05</v>
      </c>
      <c r="O79" s="485">
        <f t="shared" si="100"/>
        <v>0</v>
      </c>
      <c r="P79" s="485">
        <f t="shared" si="100"/>
        <v>0</v>
      </c>
      <c r="Q79" s="485">
        <f t="shared" si="103"/>
        <v>0</v>
      </c>
      <c r="R79" s="484">
        <f t="shared" si="104"/>
        <v>0</v>
      </c>
      <c r="S79" s="485">
        <f t="shared" si="105"/>
        <v>567.34</v>
      </c>
      <c r="T79" s="488">
        <f t="shared" si="94"/>
        <v>677.66</v>
      </c>
      <c r="U79" s="487">
        <v>201.24</v>
      </c>
      <c r="V79" s="486">
        <f t="shared" si="106"/>
        <v>8.5095699999999993E-3</v>
      </c>
      <c r="W79" s="484">
        <f t="shared" si="95"/>
        <v>29.14</v>
      </c>
      <c r="X79" s="484">
        <v>0</v>
      </c>
      <c r="Y79" s="484">
        <f t="shared" si="96"/>
        <v>17.48</v>
      </c>
      <c r="Z79" s="484">
        <f t="shared" si="96"/>
        <v>-1.05</v>
      </c>
      <c r="AA79" s="484">
        <f t="shared" si="96"/>
        <v>-0.39</v>
      </c>
      <c r="AB79" s="485">
        <f t="shared" si="107"/>
        <v>45.18</v>
      </c>
      <c r="AC79" s="485">
        <f t="shared" si="97"/>
        <v>-8.1300000000000008</v>
      </c>
      <c r="AD79" s="498">
        <f t="shared" si="108"/>
        <v>-66.8</v>
      </c>
      <c r="AE79" s="498">
        <v>0</v>
      </c>
      <c r="AF79" s="485">
        <f t="shared" si="109"/>
        <v>-66.8</v>
      </c>
      <c r="AG79" s="484">
        <f t="shared" si="110"/>
        <v>-74.930000000000007</v>
      </c>
      <c r="AH79" s="381">
        <f t="shared" si="111"/>
        <v>171.49</v>
      </c>
      <c r="AI79" s="483">
        <f t="shared" si="112"/>
        <v>738.83</v>
      </c>
      <c r="AJ79" s="483">
        <f t="shared" si="98"/>
        <v>879.15</v>
      </c>
      <c r="AK79" s="83"/>
      <c r="AL79" s="114">
        <v>554.29</v>
      </c>
      <c r="AM79" s="497">
        <f t="shared" si="99"/>
        <v>755.32</v>
      </c>
      <c r="AN79" s="192">
        <f t="shared" si="113"/>
        <v>0</v>
      </c>
      <c r="AO79" s="114">
        <f t="shared" si="114"/>
        <v>-52.57</v>
      </c>
      <c r="AP79" s="137">
        <f t="shared" si="115"/>
        <v>0</v>
      </c>
      <c r="AQ79" s="137">
        <f t="shared" si="116"/>
        <v>13.05</v>
      </c>
      <c r="AR79" s="84">
        <f t="shared" si="117"/>
        <v>13.05</v>
      </c>
      <c r="AS79" s="84">
        <f t="shared" si="118"/>
        <v>0</v>
      </c>
      <c r="AT79" s="84">
        <f t="shared" si="119"/>
        <v>0</v>
      </c>
      <c r="AU79" s="84">
        <f t="shared" si="120"/>
        <v>0</v>
      </c>
      <c r="AV79" s="84">
        <f t="shared" si="121"/>
        <v>0</v>
      </c>
      <c r="AW79" s="487">
        <v>201.24</v>
      </c>
      <c r="AX79" s="137">
        <f t="shared" si="122"/>
        <v>29.14</v>
      </c>
      <c r="AY79" s="137">
        <f t="shared" si="123"/>
        <v>0</v>
      </c>
      <c r="AZ79" s="137">
        <f t="shared" si="124"/>
        <v>17.48</v>
      </c>
      <c r="BA79" s="137">
        <f t="shared" si="125"/>
        <v>-1.05</v>
      </c>
      <c r="BB79" s="137">
        <f t="shared" si="126"/>
        <v>-0.39</v>
      </c>
      <c r="BC79" s="84">
        <f t="shared" si="127"/>
        <v>45.18</v>
      </c>
      <c r="BD79" s="84">
        <f t="shared" si="128"/>
        <v>-8.1300000000000008</v>
      </c>
      <c r="BE79" s="84">
        <f t="shared" si="129"/>
        <v>-66.8</v>
      </c>
      <c r="BF79" s="116">
        <f t="shared" si="130"/>
        <v>-74.930000000000007</v>
      </c>
      <c r="BG79" s="496">
        <f t="shared" si="131"/>
        <v>715.8</v>
      </c>
      <c r="BH79" s="496">
        <f t="shared" si="132"/>
        <v>171.49</v>
      </c>
      <c r="BI79" s="496">
        <f t="shared" si="133"/>
        <v>887.29</v>
      </c>
    </row>
    <row r="80" spans="1:61" s="480" customFormat="1" ht="16.149999999999999" customHeight="1">
      <c r="A80" s="495" t="s">
        <v>214</v>
      </c>
      <c r="B80" s="494" t="s">
        <v>455</v>
      </c>
      <c r="C80" s="493" t="s">
        <v>62</v>
      </c>
      <c r="D80" s="385" t="s">
        <v>12</v>
      </c>
      <c r="E80" s="314">
        <v>15342</v>
      </c>
      <c r="F80" s="500">
        <v>2</v>
      </c>
      <c r="G80" s="491">
        <v>317.89999999999998</v>
      </c>
      <c r="H80" s="485">
        <v>0</v>
      </c>
      <c r="I80" s="490">
        <f t="shared" si="101"/>
        <v>317.89999999999998</v>
      </c>
      <c r="J80" s="489">
        <f t="shared" si="91"/>
        <v>4.8804699999999996E-3</v>
      </c>
      <c r="K80" s="484">
        <f t="shared" si="92"/>
        <v>-30.15</v>
      </c>
      <c r="L80" s="484">
        <f t="shared" si="89"/>
        <v>0</v>
      </c>
      <c r="M80" s="484">
        <f t="shared" si="93"/>
        <v>7.49</v>
      </c>
      <c r="N80" s="485">
        <f t="shared" si="102"/>
        <v>7.49</v>
      </c>
      <c r="O80" s="485">
        <f t="shared" si="100"/>
        <v>0</v>
      </c>
      <c r="P80" s="485">
        <f t="shared" si="100"/>
        <v>0</v>
      </c>
      <c r="Q80" s="485">
        <f t="shared" si="103"/>
        <v>0</v>
      </c>
      <c r="R80" s="484">
        <f t="shared" si="104"/>
        <v>0</v>
      </c>
      <c r="S80" s="485">
        <f t="shared" si="105"/>
        <v>325.39</v>
      </c>
      <c r="T80" s="488">
        <f t="shared" si="94"/>
        <v>388.66</v>
      </c>
      <c r="U80" s="487">
        <v>150.51</v>
      </c>
      <c r="V80" s="486">
        <f t="shared" si="106"/>
        <v>4.8804699999999996E-3</v>
      </c>
      <c r="W80" s="484">
        <f t="shared" si="95"/>
        <v>16.71</v>
      </c>
      <c r="X80" s="484">
        <v>0</v>
      </c>
      <c r="Y80" s="484">
        <f t="shared" si="96"/>
        <v>10.029999999999999</v>
      </c>
      <c r="Z80" s="484">
        <f t="shared" si="96"/>
        <v>-0.6</v>
      </c>
      <c r="AA80" s="484">
        <f t="shared" si="96"/>
        <v>-0.22</v>
      </c>
      <c r="AB80" s="485">
        <f t="shared" si="107"/>
        <v>25.92</v>
      </c>
      <c r="AC80" s="485">
        <f t="shared" si="97"/>
        <v>-4.66</v>
      </c>
      <c r="AD80" s="498">
        <f t="shared" si="108"/>
        <v>-26.72</v>
      </c>
      <c r="AE80" s="498">
        <v>0</v>
      </c>
      <c r="AF80" s="485">
        <f t="shared" si="109"/>
        <v>-26.72</v>
      </c>
      <c r="AG80" s="484">
        <f t="shared" si="110"/>
        <v>-31.38</v>
      </c>
      <c r="AH80" s="381">
        <f t="shared" si="111"/>
        <v>145.05000000000001</v>
      </c>
      <c r="AI80" s="483">
        <f t="shared" si="112"/>
        <v>470.44</v>
      </c>
      <c r="AJ80" s="483">
        <f t="shared" si="98"/>
        <v>559.79</v>
      </c>
      <c r="AK80" s="83"/>
      <c r="AL80" s="114">
        <v>317.89999999999998</v>
      </c>
      <c r="AM80" s="497">
        <f t="shared" si="99"/>
        <v>433.2</v>
      </c>
      <c r="AN80" s="192">
        <f t="shared" si="113"/>
        <v>0</v>
      </c>
      <c r="AO80" s="114">
        <f t="shared" si="114"/>
        <v>-30.15</v>
      </c>
      <c r="AP80" s="137">
        <f t="shared" si="115"/>
        <v>0</v>
      </c>
      <c r="AQ80" s="137">
        <f t="shared" si="116"/>
        <v>7.49</v>
      </c>
      <c r="AR80" s="84">
        <f t="shared" si="117"/>
        <v>7.49</v>
      </c>
      <c r="AS80" s="84">
        <f t="shared" si="118"/>
        <v>0</v>
      </c>
      <c r="AT80" s="84">
        <f t="shared" si="119"/>
        <v>0</v>
      </c>
      <c r="AU80" s="84">
        <f t="shared" si="120"/>
        <v>0</v>
      </c>
      <c r="AV80" s="84">
        <f t="shared" si="121"/>
        <v>0</v>
      </c>
      <c r="AW80" s="487">
        <v>150.51</v>
      </c>
      <c r="AX80" s="137">
        <f t="shared" si="122"/>
        <v>16.71</v>
      </c>
      <c r="AY80" s="137">
        <f t="shared" si="123"/>
        <v>0</v>
      </c>
      <c r="AZ80" s="137">
        <f t="shared" si="124"/>
        <v>10.029999999999999</v>
      </c>
      <c r="BA80" s="137">
        <f t="shared" si="125"/>
        <v>-0.6</v>
      </c>
      <c r="BB80" s="137">
        <f t="shared" si="126"/>
        <v>-0.22</v>
      </c>
      <c r="BC80" s="84">
        <f t="shared" si="127"/>
        <v>25.92</v>
      </c>
      <c r="BD80" s="84">
        <f t="shared" si="128"/>
        <v>-4.66</v>
      </c>
      <c r="BE80" s="84">
        <f t="shared" si="129"/>
        <v>-26.72</v>
      </c>
      <c r="BF80" s="116">
        <f t="shared" si="130"/>
        <v>-31.38</v>
      </c>
      <c r="BG80" s="496">
        <f t="shared" si="131"/>
        <v>410.54</v>
      </c>
      <c r="BH80" s="496">
        <f t="shared" si="132"/>
        <v>145.05000000000001</v>
      </c>
      <c r="BI80" s="496">
        <f t="shared" si="133"/>
        <v>555.59</v>
      </c>
    </row>
    <row r="81" spans="1:61" s="480" customFormat="1" ht="16.149999999999999" customHeight="1">
      <c r="A81" s="495" t="s">
        <v>214</v>
      </c>
      <c r="B81" s="494" t="s">
        <v>442</v>
      </c>
      <c r="C81" s="493" t="s">
        <v>62</v>
      </c>
      <c r="D81" s="385" t="s">
        <v>12</v>
      </c>
      <c r="E81" s="314">
        <v>19360</v>
      </c>
      <c r="F81" s="500">
        <v>10</v>
      </c>
      <c r="G81" s="491">
        <v>1108.28</v>
      </c>
      <c r="H81" s="485">
        <v>0</v>
      </c>
      <c r="I81" s="490">
        <f t="shared" si="101"/>
        <v>1108.28</v>
      </c>
      <c r="J81" s="489">
        <f t="shared" si="91"/>
        <v>1.7014540000000002E-2</v>
      </c>
      <c r="K81" s="484">
        <f t="shared" si="92"/>
        <v>-105.12</v>
      </c>
      <c r="L81" s="484">
        <f t="shared" si="89"/>
        <v>0</v>
      </c>
      <c r="M81" s="484">
        <f t="shared" si="93"/>
        <v>26.09</v>
      </c>
      <c r="N81" s="485">
        <f t="shared" si="102"/>
        <v>26.09</v>
      </c>
      <c r="O81" s="485">
        <f t="shared" si="100"/>
        <v>0</v>
      </c>
      <c r="P81" s="485">
        <f t="shared" si="100"/>
        <v>0</v>
      </c>
      <c r="Q81" s="485">
        <f t="shared" si="103"/>
        <v>0</v>
      </c>
      <c r="R81" s="484">
        <f t="shared" si="104"/>
        <v>0</v>
      </c>
      <c r="S81" s="485">
        <f t="shared" si="105"/>
        <v>1134.3699999999999</v>
      </c>
      <c r="T81" s="488">
        <f t="shared" si="94"/>
        <v>1354.96</v>
      </c>
      <c r="U81" s="487">
        <v>402.34</v>
      </c>
      <c r="V81" s="486">
        <f t="shared" si="106"/>
        <v>1.7014540000000002E-2</v>
      </c>
      <c r="W81" s="484">
        <f t="shared" si="95"/>
        <v>58.26</v>
      </c>
      <c r="X81" s="484">
        <v>0</v>
      </c>
      <c r="Y81" s="484">
        <f t="shared" si="96"/>
        <v>34.96</v>
      </c>
      <c r="Z81" s="484">
        <f t="shared" si="96"/>
        <v>-2.11</v>
      </c>
      <c r="AA81" s="484">
        <f t="shared" si="96"/>
        <v>-0.78</v>
      </c>
      <c r="AB81" s="485">
        <f t="shared" si="107"/>
        <v>90.33</v>
      </c>
      <c r="AC81" s="485">
        <f t="shared" si="97"/>
        <v>-16.260000000000002</v>
      </c>
      <c r="AD81" s="498">
        <f t="shared" si="108"/>
        <v>-133.6</v>
      </c>
      <c r="AE81" s="498">
        <v>0</v>
      </c>
      <c r="AF81" s="485">
        <f t="shared" si="109"/>
        <v>-133.6</v>
      </c>
      <c r="AG81" s="484">
        <f t="shared" si="110"/>
        <v>-149.86000000000001</v>
      </c>
      <c r="AH81" s="381">
        <f t="shared" si="111"/>
        <v>342.81</v>
      </c>
      <c r="AI81" s="483">
        <f t="shared" si="112"/>
        <v>1477.18</v>
      </c>
      <c r="AJ81" s="483">
        <f t="shared" si="98"/>
        <v>1757.73</v>
      </c>
      <c r="AK81" s="83"/>
      <c r="AL81" s="114">
        <v>1108.28</v>
      </c>
      <c r="AM81" s="497">
        <f t="shared" si="99"/>
        <v>1510.24</v>
      </c>
      <c r="AN81" s="192">
        <f t="shared" si="113"/>
        <v>0</v>
      </c>
      <c r="AO81" s="114">
        <f t="shared" si="114"/>
        <v>-105.12</v>
      </c>
      <c r="AP81" s="137">
        <f t="shared" si="115"/>
        <v>0</v>
      </c>
      <c r="AQ81" s="137">
        <f t="shared" si="116"/>
        <v>26.09</v>
      </c>
      <c r="AR81" s="84">
        <f t="shared" si="117"/>
        <v>26.09</v>
      </c>
      <c r="AS81" s="84">
        <f t="shared" si="118"/>
        <v>0</v>
      </c>
      <c r="AT81" s="84">
        <f t="shared" si="119"/>
        <v>0</v>
      </c>
      <c r="AU81" s="84">
        <f t="shared" si="120"/>
        <v>0</v>
      </c>
      <c r="AV81" s="84">
        <f t="shared" si="121"/>
        <v>0</v>
      </c>
      <c r="AW81" s="487">
        <v>402.34</v>
      </c>
      <c r="AX81" s="137">
        <f t="shared" si="122"/>
        <v>58.26</v>
      </c>
      <c r="AY81" s="137">
        <f t="shared" si="123"/>
        <v>0</v>
      </c>
      <c r="AZ81" s="137">
        <f t="shared" si="124"/>
        <v>34.96</v>
      </c>
      <c r="BA81" s="137">
        <f t="shared" si="125"/>
        <v>-2.11</v>
      </c>
      <c r="BB81" s="137">
        <f t="shared" si="126"/>
        <v>-0.78</v>
      </c>
      <c r="BC81" s="84">
        <f t="shared" si="127"/>
        <v>90.33</v>
      </c>
      <c r="BD81" s="84">
        <f t="shared" si="128"/>
        <v>-16.260000000000002</v>
      </c>
      <c r="BE81" s="84">
        <f t="shared" si="129"/>
        <v>-133.6</v>
      </c>
      <c r="BF81" s="116">
        <f t="shared" si="130"/>
        <v>-149.86000000000001</v>
      </c>
      <c r="BG81" s="496">
        <f t="shared" si="131"/>
        <v>1431.21</v>
      </c>
      <c r="BH81" s="496">
        <f t="shared" si="132"/>
        <v>342.81</v>
      </c>
      <c r="BI81" s="496">
        <f t="shared" si="133"/>
        <v>1774.02</v>
      </c>
    </row>
    <row r="82" spans="1:61" s="480" customFormat="1" ht="16.149999999999999" customHeight="1">
      <c r="A82" s="495" t="s">
        <v>214</v>
      </c>
      <c r="B82" s="494" t="s">
        <v>440</v>
      </c>
      <c r="C82" s="493" t="s">
        <v>62</v>
      </c>
      <c r="D82" s="385" t="s">
        <v>12</v>
      </c>
      <c r="E82" s="314">
        <v>15707</v>
      </c>
      <c r="F82" s="500">
        <v>10</v>
      </c>
      <c r="G82" s="491">
        <v>1108.29</v>
      </c>
      <c r="H82" s="485">
        <v>0</v>
      </c>
      <c r="I82" s="490">
        <f t="shared" si="101"/>
        <v>1108.29</v>
      </c>
      <c r="J82" s="489">
        <f t="shared" si="91"/>
        <v>1.7014689999999999E-2</v>
      </c>
      <c r="K82" s="484">
        <f t="shared" si="92"/>
        <v>-105.12</v>
      </c>
      <c r="L82" s="484">
        <f t="shared" si="89"/>
        <v>0</v>
      </c>
      <c r="M82" s="484">
        <f t="shared" si="93"/>
        <v>26.1</v>
      </c>
      <c r="N82" s="485">
        <f t="shared" si="102"/>
        <v>26.1</v>
      </c>
      <c r="O82" s="485">
        <f t="shared" si="100"/>
        <v>0</v>
      </c>
      <c r="P82" s="485">
        <f t="shared" si="100"/>
        <v>0</v>
      </c>
      <c r="Q82" s="485">
        <f t="shared" si="103"/>
        <v>0</v>
      </c>
      <c r="R82" s="484">
        <f t="shared" si="104"/>
        <v>0</v>
      </c>
      <c r="S82" s="485">
        <f t="shared" si="105"/>
        <v>1134.3900000000001</v>
      </c>
      <c r="T82" s="488">
        <f t="shared" si="94"/>
        <v>1354.98</v>
      </c>
      <c r="U82" s="487">
        <v>402.36</v>
      </c>
      <c r="V82" s="486">
        <f t="shared" si="106"/>
        <v>1.7014689999999999E-2</v>
      </c>
      <c r="W82" s="484">
        <f t="shared" si="95"/>
        <v>58.26</v>
      </c>
      <c r="X82" s="484">
        <v>0</v>
      </c>
      <c r="Y82" s="484">
        <f t="shared" si="96"/>
        <v>34.96</v>
      </c>
      <c r="Z82" s="484">
        <f t="shared" si="96"/>
        <v>-2.11</v>
      </c>
      <c r="AA82" s="484">
        <f t="shared" si="96"/>
        <v>-0.78</v>
      </c>
      <c r="AB82" s="485">
        <f t="shared" si="107"/>
        <v>90.33</v>
      </c>
      <c r="AC82" s="485">
        <f t="shared" si="97"/>
        <v>-16.260000000000002</v>
      </c>
      <c r="AD82" s="498">
        <f t="shared" si="108"/>
        <v>-133.6</v>
      </c>
      <c r="AE82" s="498">
        <v>0</v>
      </c>
      <c r="AF82" s="485">
        <f t="shared" si="109"/>
        <v>-133.6</v>
      </c>
      <c r="AG82" s="484">
        <f t="shared" si="110"/>
        <v>-149.86000000000001</v>
      </c>
      <c r="AH82" s="381">
        <f t="shared" si="111"/>
        <v>342.83</v>
      </c>
      <c r="AI82" s="483">
        <f t="shared" si="112"/>
        <v>1477.22</v>
      </c>
      <c r="AJ82" s="483">
        <f t="shared" si="98"/>
        <v>1757.78</v>
      </c>
      <c r="AK82" s="83"/>
      <c r="AL82" s="114">
        <v>1108.29</v>
      </c>
      <c r="AM82" s="497">
        <f t="shared" si="99"/>
        <v>1510.25</v>
      </c>
      <c r="AN82" s="192">
        <f t="shared" si="113"/>
        <v>0</v>
      </c>
      <c r="AO82" s="114">
        <f t="shared" si="114"/>
        <v>-105.12</v>
      </c>
      <c r="AP82" s="137">
        <f t="shared" si="115"/>
        <v>0</v>
      </c>
      <c r="AQ82" s="137">
        <f t="shared" si="116"/>
        <v>26.1</v>
      </c>
      <c r="AR82" s="84">
        <f t="shared" si="117"/>
        <v>26.1</v>
      </c>
      <c r="AS82" s="84">
        <f t="shared" si="118"/>
        <v>0</v>
      </c>
      <c r="AT82" s="84">
        <f t="shared" si="119"/>
        <v>0</v>
      </c>
      <c r="AU82" s="84">
        <f t="shared" si="120"/>
        <v>0</v>
      </c>
      <c r="AV82" s="84">
        <f t="shared" si="121"/>
        <v>0</v>
      </c>
      <c r="AW82" s="487">
        <v>402.36</v>
      </c>
      <c r="AX82" s="137">
        <f t="shared" si="122"/>
        <v>58.26</v>
      </c>
      <c r="AY82" s="137">
        <f t="shared" si="123"/>
        <v>0</v>
      </c>
      <c r="AZ82" s="137">
        <f t="shared" si="124"/>
        <v>34.96</v>
      </c>
      <c r="BA82" s="137">
        <f t="shared" si="125"/>
        <v>-2.11</v>
      </c>
      <c r="BB82" s="137">
        <f t="shared" si="126"/>
        <v>-0.78</v>
      </c>
      <c r="BC82" s="84">
        <f t="shared" si="127"/>
        <v>90.33</v>
      </c>
      <c r="BD82" s="84">
        <f t="shared" si="128"/>
        <v>-16.260000000000002</v>
      </c>
      <c r="BE82" s="84">
        <f t="shared" si="129"/>
        <v>-133.6</v>
      </c>
      <c r="BF82" s="116">
        <f t="shared" si="130"/>
        <v>-149.86000000000001</v>
      </c>
      <c r="BG82" s="496">
        <f t="shared" si="131"/>
        <v>1431.23</v>
      </c>
      <c r="BH82" s="496">
        <f t="shared" si="132"/>
        <v>342.83</v>
      </c>
      <c r="BI82" s="496">
        <f t="shared" si="133"/>
        <v>1774.06</v>
      </c>
    </row>
    <row r="83" spans="1:61" s="480" customFormat="1" ht="16.149999999999999" customHeight="1">
      <c r="A83" s="495" t="s">
        <v>214</v>
      </c>
      <c r="B83" s="494" t="s">
        <v>441</v>
      </c>
      <c r="C83" s="493" t="s">
        <v>62</v>
      </c>
      <c r="D83" s="385" t="s">
        <v>12</v>
      </c>
      <c r="E83" s="314">
        <v>14977</v>
      </c>
      <c r="F83" s="500">
        <v>10</v>
      </c>
      <c r="G83" s="491">
        <v>1108.28</v>
      </c>
      <c r="H83" s="485">
        <v>0</v>
      </c>
      <c r="I83" s="490">
        <f t="shared" si="101"/>
        <v>1108.28</v>
      </c>
      <c r="J83" s="489">
        <f t="shared" si="91"/>
        <v>1.7014540000000002E-2</v>
      </c>
      <c r="K83" s="484">
        <f t="shared" si="92"/>
        <v>-105.12</v>
      </c>
      <c r="L83" s="484">
        <f t="shared" si="89"/>
        <v>0</v>
      </c>
      <c r="M83" s="484">
        <f t="shared" si="93"/>
        <v>26.09</v>
      </c>
      <c r="N83" s="485">
        <f t="shared" si="102"/>
        <v>26.09</v>
      </c>
      <c r="O83" s="485">
        <f t="shared" si="100"/>
        <v>0</v>
      </c>
      <c r="P83" s="485">
        <f t="shared" si="100"/>
        <v>0</v>
      </c>
      <c r="Q83" s="485">
        <f t="shared" si="103"/>
        <v>0</v>
      </c>
      <c r="R83" s="484">
        <f t="shared" si="104"/>
        <v>0</v>
      </c>
      <c r="S83" s="485">
        <f t="shared" si="105"/>
        <v>1134.3699999999999</v>
      </c>
      <c r="T83" s="488">
        <f t="shared" si="94"/>
        <v>1354.96</v>
      </c>
      <c r="U83" s="487">
        <v>402.34</v>
      </c>
      <c r="V83" s="486">
        <f t="shared" si="106"/>
        <v>1.7014540000000002E-2</v>
      </c>
      <c r="W83" s="484">
        <f t="shared" si="95"/>
        <v>58.26</v>
      </c>
      <c r="X83" s="484">
        <v>0</v>
      </c>
      <c r="Y83" s="484">
        <f t="shared" si="96"/>
        <v>34.96</v>
      </c>
      <c r="Z83" s="484">
        <f t="shared" si="96"/>
        <v>-2.11</v>
      </c>
      <c r="AA83" s="484">
        <f t="shared" si="96"/>
        <v>-0.78</v>
      </c>
      <c r="AB83" s="485">
        <f t="shared" si="107"/>
        <v>90.33</v>
      </c>
      <c r="AC83" s="485">
        <f t="shared" si="97"/>
        <v>-16.260000000000002</v>
      </c>
      <c r="AD83" s="498">
        <f t="shared" si="108"/>
        <v>-133.6</v>
      </c>
      <c r="AE83" s="498">
        <v>0</v>
      </c>
      <c r="AF83" s="485">
        <f t="shared" si="109"/>
        <v>-133.6</v>
      </c>
      <c r="AG83" s="484">
        <f t="shared" si="110"/>
        <v>-149.86000000000001</v>
      </c>
      <c r="AH83" s="381">
        <f t="shared" si="111"/>
        <v>342.81</v>
      </c>
      <c r="AI83" s="483">
        <f t="shared" si="112"/>
        <v>1477.18</v>
      </c>
      <c r="AJ83" s="483">
        <f t="shared" si="98"/>
        <v>1757.73</v>
      </c>
      <c r="AK83" s="83"/>
      <c r="AL83" s="114">
        <v>1108.28</v>
      </c>
      <c r="AM83" s="497">
        <f t="shared" si="99"/>
        <v>1510.24</v>
      </c>
      <c r="AN83" s="192">
        <f t="shared" si="113"/>
        <v>0</v>
      </c>
      <c r="AO83" s="114">
        <f t="shared" si="114"/>
        <v>-105.12</v>
      </c>
      <c r="AP83" s="137">
        <f t="shared" si="115"/>
        <v>0</v>
      </c>
      <c r="AQ83" s="137">
        <f t="shared" si="116"/>
        <v>26.09</v>
      </c>
      <c r="AR83" s="84">
        <f t="shared" si="117"/>
        <v>26.09</v>
      </c>
      <c r="AS83" s="84">
        <f t="shared" si="118"/>
        <v>0</v>
      </c>
      <c r="AT83" s="84">
        <f t="shared" si="119"/>
        <v>0</v>
      </c>
      <c r="AU83" s="84">
        <f t="shared" si="120"/>
        <v>0</v>
      </c>
      <c r="AV83" s="84">
        <f t="shared" si="121"/>
        <v>0</v>
      </c>
      <c r="AW83" s="487">
        <v>402.34</v>
      </c>
      <c r="AX83" s="137">
        <f t="shared" si="122"/>
        <v>58.26</v>
      </c>
      <c r="AY83" s="137">
        <f t="shared" si="123"/>
        <v>0</v>
      </c>
      <c r="AZ83" s="137">
        <f t="shared" si="124"/>
        <v>34.96</v>
      </c>
      <c r="BA83" s="137">
        <f t="shared" si="125"/>
        <v>-2.11</v>
      </c>
      <c r="BB83" s="137">
        <f t="shared" si="126"/>
        <v>-0.78</v>
      </c>
      <c r="BC83" s="84">
        <f t="shared" si="127"/>
        <v>90.33</v>
      </c>
      <c r="BD83" s="84">
        <f t="shared" si="128"/>
        <v>-16.260000000000002</v>
      </c>
      <c r="BE83" s="84">
        <f t="shared" si="129"/>
        <v>-133.6</v>
      </c>
      <c r="BF83" s="116">
        <f t="shared" si="130"/>
        <v>-149.86000000000001</v>
      </c>
      <c r="BG83" s="496">
        <f t="shared" si="131"/>
        <v>1431.21</v>
      </c>
      <c r="BH83" s="496">
        <f t="shared" si="132"/>
        <v>342.81</v>
      </c>
      <c r="BI83" s="496">
        <f t="shared" si="133"/>
        <v>1774.02</v>
      </c>
    </row>
    <row r="84" spans="1:61" s="480" customFormat="1" ht="16.149999999999999" customHeight="1">
      <c r="A84" s="495" t="s">
        <v>214</v>
      </c>
      <c r="B84" s="494" t="s">
        <v>456</v>
      </c>
      <c r="C84" s="493" t="s">
        <v>63</v>
      </c>
      <c r="D84" s="385" t="s">
        <v>12</v>
      </c>
      <c r="E84" s="314">
        <v>7672</v>
      </c>
      <c r="F84" s="500">
        <v>2</v>
      </c>
      <c r="G84" s="491">
        <v>317.89999999999998</v>
      </c>
      <c r="H84" s="485">
        <v>0</v>
      </c>
      <c r="I84" s="490">
        <f t="shared" si="101"/>
        <v>317.89999999999998</v>
      </c>
      <c r="J84" s="489">
        <f t="shared" si="91"/>
        <v>4.8804699999999996E-3</v>
      </c>
      <c r="K84" s="484">
        <f t="shared" si="92"/>
        <v>-30.15</v>
      </c>
      <c r="L84" s="484">
        <f t="shared" si="89"/>
        <v>0</v>
      </c>
      <c r="M84" s="484">
        <f t="shared" si="93"/>
        <v>7.49</v>
      </c>
      <c r="N84" s="485">
        <f t="shared" si="102"/>
        <v>7.49</v>
      </c>
      <c r="O84" s="485">
        <f t="shared" si="100"/>
        <v>0</v>
      </c>
      <c r="P84" s="485">
        <f t="shared" si="100"/>
        <v>0</v>
      </c>
      <c r="Q84" s="485">
        <f t="shared" si="103"/>
        <v>0</v>
      </c>
      <c r="R84" s="484">
        <f t="shared" si="104"/>
        <v>0</v>
      </c>
      <c r="S84" s="485">
        <f t="shared" si="105"/>
        <v>325.39</v>
      </c>
      <c r="T84" s="488">
        <f t="shared" si="94"/>
        <v>388.66</v>
      </c>
      <c r="U84" s="487">
        <v>150.51</v>
      </c>
      <c r="V84" s="486">
        <f t="shared" si="106"/>
        <v>4.8804699999999996E-3</v>
      </c>
      <c r="W84" s="484">
        <f t="shared" si="95"/>
        <v>16.71</v>
      </c>
      <c r="X84" s="484">
        <v>0</v>
      </c>
      <c r="Y84" s="484">
        <f t="shared" si="96"/>
        <v>10.029999999999999</v>
      </c>
      <c r="Z84" s="484">
        <f t="shared" si="96"/>
        <v>-0.6</v>
      </c>
      <c r="AA84" s="484">
        <f t="shared" si="96"/>
        <v>-0.22</v>
      </c>
      <c r="AB84" s="485">
        <f t="shared" si="107"/>
        <v>25.92</v>
      </c>
      <c r="AC84" s="485">
        <f t="shared" si="97"/>
        <v>-4.66</v>
      </c>
      <c r="AD84" s="498">
        <f t="shared" si="108"/>
        <v>-26.72</v>
      </c>
      <c r="AE84" s="498">
        <v>0</v>
      </c>
      <c r="AF84" s="485">
        <f t="shared" si="109"/>
        <v>-26.72</v>
      </c>
      <c r="AG84" s="484">
        <f t="shared" si="110"/>
        <v>-31.38</v>
      </c>
      <c r="AH84" s="381">
        <f t="shared" si="111"/>
        <v>145.05000000000001</v>
      </c>
      <c r="AI84" s="483">
        <f t="shared" si="112"/>
        <v>470.44</v>
      </c>
      <c r="AJ84" s="483">
        <f t="shared" si="98"/>
        <v>559.79</v>
      </c>
      <c r="AK84" s="83"/>
      <c r="AL84" s="114">
        <v>317.89999999999998</v>
      </c>
      <c r="AM84" s="497">
        <f t="shared" si="99"/>
        <v>433.2</v>
      </c>
      <c r="AN84" s="192">
        <f t="shared" si="113"/>
        <v>0</v>
      </c>
      <c r="AO84" s="114">
        <f t="shared" si="114"/>
        <v>-30.15</v>
      </c>
      <c r="AP84" s="137">
        <f t="shared" si="115"/>
        <v>0</v>
      </c>
      <c r="AQ84" s="137">
        <f t="shared" si="116"/>
        <v>7.49</v>
      </c>
      <c r="AR84" s="84">
        <f t="shared" si="117"/>
        <v>7.49</v>
      </c>
      <c r="AS84" s="84">
        <f t="shared" si="118"/>
        <v>0</v>
      </c>
      <c r="AT84" s="84">
        <f t="shared" si="119"/>
        <v>0</v>
      </c>
      <c r="AU84" s="84">
        <f t="shared" si="120"/>
        <v>0</v>
      </c>
      <c r="AV84" s="84">
        <f t="shared" si="121"/>
        <v>0</v>
      </c>
      <c r="AW84" s="487">
        <v>150.51</v>
      </c>
      <c r="AX84" s="137">
        <f t="shared" si="122"/>
        <v>16.71</v>
      </c>
      <c r="AY84" s="137">
        <f t="shared" si="123"/>
        <v>0</v>
      </c>
      <c r="AZ84" s="137">
        <f t="shared" si="124"/>
        <v>10.029999999999999</v>
      </c>
      <c r="BA84" s="137">
        <f t="shared" si="125"/>
        <v>-0.6</v>
      </c>
      <c r="BB84" s="137">
        <f t="shared" si="126"/>
        <v>-0.22</v>
      </c>
      <c r="BC84" s="84">
        <f t="shared" si="127"/>
        <v>25.92</v>
      </c>
      <c r="BD84" s="84">
        <f t="shared" si="128"/>
        <v>-4.66</v>
      </c>
      <c r="BE84" s="84">
        <f t="shared" si="129"/>
        <v>-26.72</v>
      </c>
      <c r="BF84" s="116">
        <f t="shared" si="130"/>
        <v>-31.38</v>
      </c>
      <c r="BG84" s="496">
        <f t="shared" si="131"/>
        <v>410.54</v>
      </c>
      <c r="BH84" s="496">
        <f t="shared" si="132"/>
        <v>145.05000000000001</v>
      </c>
      <c r="BI84" s="496">
        <f t="shared" si="133"/>
        <v>555.59</v>
      </c>
    </row>
    <row r="85" spans="1:61" s="480" customFormat="1" ht="16.149999999999999" customHeight="1">
      <c r="A85" s="495" t="s">
        <v>214</v>
      </c>
      <c r="B85" s="494" t="s">
        <v>443</v>
      </c>
      <c r="C85" s="493" t="s">
        <v>62</v>
      </c>
      <c r="D85" s="385" t="s">
        <v>12</v>
      </c>
      <c r="E85" s="314">
        <v>13150</v>
      </c>
      <c r="F85" s="500">
        <v>2</v>
      </c>
      <c r="G85" s="491">
        <v>554.29</v>
      </c>
      <c r="H85" s="485">
        <v>0</v>
      </c>
      <c r="I85" s="490">
        <f t="shared" si="101"/>
        <v>554.29</v>
      </c>
      <c r="J85" s="489">
        <f t="shared" si="91"/>
        <v>8.5095699999999993E-3</v>
      </c>
      <c r="K85" s="484">
        <f t="shared" si="92"/>
        <v>-52.57</v>
      </c>
      <c r="L85" s="484">
        <f t="shared" si="89"/>
        <v>0</v>
      </c>
      <c r="M85" s="484">
        <f t="shared" si="93"/>
        <v>13.05</v>
      </c>
      <c r="N85" s="485">
        <f t="shared" si="102"/>
        <v>13.05</v>
      </c>
      <c r="O85" s="485">
        <f t="shared" si="100"/>
        <v>0</v>
      </c>
      <c r="P85" s="485">
        <f t="shared" si="100"/>
        <v>0</v>
      </c>
      <c r="Q85" s="485">
        <f t="shared" si="103"/>
        <v>0</v>
      </c>
      <c r="R85" s="484">
        <f t="shared" si="104"/>
        <v>0</v>
      </c>
      <c r="S85" s="485">
        <f t="shared" si="105"/>
        <v>567.34</v>
      </c>
      <c r="T85" s="488">
        <f t="shared" si="94"/>
        <v>677.66</v>
      </c>
      <c r="U85" s="487">
        <v>322.47000000000003</v>
      </c>
      <c r="V85" s="486">
        <f t="shared" si="106"/>
        <v>8.5095699999999993E-3</v>
      </c>
      <c r="W85" s="484">
        <f t="shared" si="95"/>
        <v>29.14</v>
      </c>
      <c r="X85" s="484">
        <v>0</v>
      </c>
      <c r="Y85" s="484">
        <f t="shared" si="96"/>
        <v>17.48</v>
      </c>
      <c r="Z85" s="484">
        <f t="shared" si="96"/>
        <v>-1.05</v>
      </c>
      <c r="AA85" s="484">
        <f t="shared" si="96"/>
        <v>-0.39</v>
      </c>
      <c r="AB85" s="485">
        <f t="shared" si="107"/>
        <v>45.18</v>
      </c>
      <c r="AC85" s="485">
        <f t="shared" si="97"/>
        <v>-8.1300000000000008</v>
      </c>
      <c r="AD85" s="498">
        <f t="shared" si="108"/>
        <v>-26.72</v>
      </c>
      <c r="AE85" s="498">
        <v>0</v>
      </c>
      <c r="AF85" s="485">
        <f t="shared" si="109"/>
        <v>-26.72</v>
      </c>
      <c r="AG85" s="484">
        <f t="shared" si="110"/>
        <v>-34.85</v>
      </c>
      <c r="AH85" s="381">
        <f t="shared" si="111"/>
        <v>332.8</v>
      </c>
      <c r="AI85" s="483">
        <f t="shared" si="112"/>
        <v>900.14</v>
      </c>
      <c r="AJ85" s="483">
        <f t="shared" si="98"/>
        <v>1071.0999999999999</v>
      </c>
      <c r="AK85" s="83"/>
      <c r="AL85" s="114">
        <v>554.29</v>
      </c>
      <c r="AM85" s="497">
        <f t="shared" si="99"/>
        <v>755.32</v>
      </c>
      <c r="AN85" s="192">
        <f t="shared" si="113"/>
        <v>0</v>
      </c>
      <c r="AO85" s="114">
        <f t="shared" si="114"/>
        <v>-52.57</v>
      </c>
      <c r="AP85" s="137">
        <f t="shared" si="115"/>
        <v>0</v>
      </c>
      <c r="AQ85" s="137">
        <f t="shared" si="116"/>
        <v>13.05</v>
      </c>
      <c r="AR85" s="84">
        <f t="shared" si="117"/>
        <v>13.05</v>
      </c>
      <c r="AS85" s="84">
        <f t="shared" si="118"/>
        <v>0</v>
      </c>
      <c r="AT85" s="84">
        <f t="shared" si="119"/>
        <v>0</v>
      </c>
      <c r="AU85" s="84">
        <f t="shared" si="120"/>
        <v>0</v>
      </c>
      <c r="AV85" s="84">
        <f t="shared" si="121"/>
        <v>0</v>
      </c>
      <c r="AW85" s="487">
        <v>322.47000000000003</v>
      </c>
      <c r="AX85" s="137">
        <f t="shared" si="122"/>
        <v>29.14</v>
      </c>
      <c r="AY85" s="137">
        <f t="shared" si="123"/>
        <v>0</v>
      </c>
      <c r="AZ85" s="137">
        <f t="shared" si="124"/>
        <v>17.48</v>
      </c>
      <c r="BA85" s="137">
        <f t="shared" si="125"/>
        <v>-1.05</v>
      </c>
      <c r="BB85" s="137">
        <f t="shared" si="126"/>
        <v>-0.39</v>
      </c>
      <c r="BC85" s="84">
        <f t="shared" si="127"/>
        <v>45.18</v>
      </c>
      <c r="BD85" s="84">
        <f t="shared" si="128"/>
        <v>-8.1300000000000008</v>
      </c>
      <c r="BE85" s="84">
        <f t="shared" si="129"/>
        <v>-26.72</v>
      </c>
      <c r="BF85" s="116">
        <f t="shared" si="130"/>
        <v>-34.85</v>
      </c>
      <c r="BG85" s="496">
        <f t="shared" si="131"/>
        <v>715.8</v>
      </c>
      <c r="BH85" s="496">
        <f t="shared" si="132"/>
        <v>332.8</v>
      </c>
      <c r="BI85" s="496">
        <f t="shared" si="133"/>
        <v>1048.5999999999999</v>
      </c>
    </row>
    <row r="86" spans="1:61" s="480" customFormat="1" ht="15.75" customHeight="1">
      <c r="A86" s="495" t="s">
        <v>214</v>
      </c>
      <c r="B86" s="494" t="s">
        <v>444</v>
      </c>
      <c r="C86" s="493" t="s">
        <v>62</v>
      </c>
      <c r="D86" s="385" t="s">
        <v>12</v>
      </c>
      <c r="E86" s="314">
        <v>13516</v>
      </c>
      <c r="F86" s="500">
        <v>10</v>
      </c>
      <c r="G86" s="491">
        <v>1108.28</v>
      </c>
      <c r="H86" s="485">
        <v>0</v>
      </c>
      <c r="I86" s="490">
        <f t="shared" si="101"/>
        <v>1108.28</v>
      </c>
      <c r="J86" s="489">
        <f t="shared" si="91"/>
        <v>1.7014540000000002E-2</v>
      </c>
      <c r="K86" s="484">
        <f t="shared" si="92"/>
        <v>-105.12</v>
      </c>
      <c r="L86" s="484">
        <f t="shared" si="89"/>
        <v>0</v>
      </c>
      <c r="M86" s="484">
        <f t="shared" si="93"/>
        <v>26.09</v>
      </c>
      <c r="N86" s="485">
        <f t="shared" si="102"/>
        <v>26.09</v>
      </c>
      <c r="O86" s="485">
        <f t="shared" si="100"/>
        <v>0</v>
      </c>
      <c r="P86" s="485">
        <f t="shared" si="100"/>
        <v>0</v>
      </c>
      <c r="Q86" s="485">
        <f t="shared" si="103"/>
        <v>0</v>
      </c>
      <c r="R86" s="484">
        <f t="shared" si="104"/>
        <v>0</v>
      </c>
      <c r="S86" s="485">
        <f t="shared" si="105"/>
        <v>1134.3699999999999</v>
      </c>
      <c r="T86" s="488">
        <f t="shared" si="94"/>
        <v>1354.96</v>
      </c>
      <c r="U86" s="487">
        <v>402.34</v>
      </c>
      <c r="V86" s="486">
        <f t="shared" si="106"/>
        <v>1.7014540000000002E-2</v>
      </c>
      <c r="W86" s="484">
        <f t="shared" si="95"/>
        <v>58.26</v>
      </c>
      <c r="X86" s="484">
        <v>0</v>
      </c>
      <c r="Y86" s="484">
        <f t="shared" si="96"/>
        <v>34.96</v>
      </c>
      <c r="Z86" s="484">
        <f t="shared" si="96"/>
        <v>-2.11</v>
      </c>
      <c r="AA86" s="484">
        <f t="shared" si="96"/>
        <v>-0.78</v>
      </c>
      <c r="AB86" s="485">
        <f t="shared" si="107"/>
        <v>90.33</v>
      </c>
      <c r="AC86" s="485">
        <f t="shared" si="97"/>
        <v>-16.260000000000002</v>
      </c>
      <c r="AD86" s="498">
        <f t="shared" si="108"/>
        <v>-133.6</v>
      </c>
      <c r="AE86" s="498">
        <v>0</v>
      </c>
      <c r="AF86" s="485">
        <f t="shared" si="109"/>
        <v>-133.6</v>
      </c>
      <c r="AG86" s="484">
        <f t="shared" si="110"/>
        <v>-149.86000000000001</v>
      </c>
      <c r="AH86" s="381">
        <f t="shared" si="111"/>
        <v>342.81</v>
      </c>
      <c r="AI86" s="483">
        <f t="shared" si="112"/>
        <v>1477.18</v>
      </c>
      <c r="AJ86" s="483">
        <f t="shared" si="98"/>
        <v>1757.73</v>
      </c>
      <c r="AK86" s="83"/>
      <c r="AL86" s="114">
        <v>1108.28</v>
      </c>
      <c r="AM86" s="497">
        <f t="shared" si="99"/>
        <v>1510.24</v>
      </c>
      <c r="AN86" s="192">
        <f t="shared" si="113"/>
        <v>0</v>
      </c>
      <c r="AO86" s="114">
        <f t="shared" si="114"/>
        <v>-105.12</v>
      </c>
      <c r="AP86" s="137">
        <f t="shared" si="115"/>
        <v>0</v>
      </c>
      <c r="AQ86" s="137">
        <f t="shared" si="116"/>
        <v>26.09</v>
      </c>
      <c r="AR86" s="84">
        <f t="shared" si="117"/>
        <v>26.09</v>
      </c>
      <c r="AS86" s="84">
        <f t="shared" si="118"/>
        <v>0</v>
      </c>
      <c r="AT86" s="84">
        <f t="shared" si="119"/>
        <v>0</v>
      </c>
      <c r="AU86" s="84">
        <f t="shared" si="120"/>
        <v>0</v>
      </c>
      <c r="AV86" s="84">
        <f t="shared" si="121"/>
        <v>0</v>
      </c>
      <c r="AW86" s="487">
        <v>402.34</v>
      </c>
      <c r="AX86" s="137">
        <f t="shared" si="122"/>
        <v>58.26</v>
      </c>
      <c r="AY86" s="137">
        <f t="shared" si="123"/>
        <v>0</v>
      </c>
      <c r="AZ86" s="137">
        <f t="shared" si="124"/>
        <v>34.96</v>
      </c>
      <c r="BA86" s="137">
        <f t="shared" si="125"/>
        <v>-2.11</v>
      </c>
      <c r="BB86" s="137">
        <f t="shared" si="126"/>
        <v>-0.78</v>
      </c>
      <c r="BC86" s="84">
        <f t="shared" si="127"/>
        <v>90.33</v>
      </c>
      <c r="BD86" s="84">
        <f t="shared" si="128"/>
        <v>-16.260000000000002</v>
      </c>
      <c r="BE86" s="84">
        <f t="shared" si="129"/>
        <v>-133.6</v>
      </c>
      <c r="BF86" s="116">
        <f t="shared" si="130"/>
        <v>-149.86000000000001</v>
      </c>
      <c r="BG86" s="496">
        <f t="shared" si="131"/>
        <v>1431.21</v>
      </c>
      <c r="BH86" s="496">
        <f t="shared" si="132"/>
        <v>342.81</v>
      </c>
      <c r="BI86" s="496">
        <f t="shared" si="133"/>
        <v>1774.02</v>
      </c>
    </row>
    <row r="87" spans="1:61" s="480" customFormat="1" ht="16.149999999999999" customHeight="1">
      <c r="A87" s="495"/>
      <c r="B87" s="494"/>
      <c r="C87" s="493"/>
      <c r="D87" s="385"/>
      <c r="E87" s="158"/>
      <c r="F87" s="492"/>
      <c r="G87" s="491"/>
      <c r="H87" s="485"/>
      <c r="I87" s="490"/>
      <c r="J87" s="489"/>
      <c r="K87" s="484"/>
      <c r="L87" s="484"/>
      <c r="M87" s="484"/>
      <c r="N87" s="485"/>
      <c r="O87" s="485"/>
      <c r="P87" s="485"/>
      <c r="Q87" s="485"/>
      <c r="R87" s="484"/>
      <c r="S87" s="485"/>
      <c r="T87" s="488"/>
      <c r="U87" s="487"/>
      <c r="V87" s="486"/>
      <c r="W87" s="484"/>
      <c r="X87" s="484"/>
      <c r="Y87" s="484"/>
      <c r="Z87" s="484"/>
      <c r="AA87" s="484"/>
      <c r="AB87" s="485"/>
      <c r="AC87" s="485"/>
      <c r="AD87" s="485"/>
      <c r="AE87" s="485"/>
      <c r="AF87" s="485"/>
      <c r="AG87" s="484"/>
      <c r="AH87" s="381"/>
      <c r="AI87" s="483"/>
      <c r="AJ87" s="483"/>
      <c r="AK87" s="83"/>
      <c r="AL87" s="178"/>
      <c r="AM87" s="441"/>
      <c r="AN87" s="192"/>
      <c r="AO87" s="114"/>
      <c r="AP87" s="137"/>
      <c r="AQ87" s="137"/>
      <c r="AR87" s="84"/>
      <c r="AS87" s="84"/>
      <c r="AT87" s="84"/>
      <c r="AU87" s="84"/>
      <c r="AV87" s="84"/>
      <c r="AW87" s="482"/>
      <c r="AX87" s="137"/>
      <c r="AY87" s="137"/>
      <c r="AZ87" s="137"/>
      <c r="BA87" s="137"/>
      <c r="BB87" s="137"/>
      <c r="BC87" s="84"/>
      <c r="BD87" s="84"/>
      <c r="BE87" s="84"/>
      <c r="BF87" s="116"/>
      <c r="BG87" s="481"/>
      <c r="BH87" s="481"/>
      <c r="BI87" s="481"/>
    </row>
    <row r="88" spans="1:61">
      <c r="B88" s="479"/>
      <c r="C88" s="478"/>
      <c r="D88" s="478"/>
      <c r="E88" s="477"/>
      <c r="F88" s="476"/>
      <c r="G88" s="475"/>
      <c r="H88" s="468"/>
      <c r="I88" s="474"/>
      <c r="J88" s="473"/>
      <c r="K88" s="470"/>
      <c r="L88" s="470"/>
      <c r="M88" s="470"/>
      <c r="N88" s="468"/>
      <c r="O88" s="468"/>
      <c r="P88" s="468"/>
      <c r="Q88" s="468"/>
      <c r="R88" s="470"/>
      <c r="S88" s="468"/>
      <c r="T88" s="472"/>
      <c r="U88" s="471"/>
      <c r="V88" s="468"/>
      <c r="W88" s="470"/>
      <c r="X88" s="470"/>
      <c r="Y88" s="470"/>
      <c r="Z88" s="470"/>
      <c r="AA88" s="470"/>
      <c r="AB88" s="468"/>
      <c r="AC88" s="469"/>
      <c r="AD88" s="469"/>
      <c r="AE88" s="469"/>
      <c r="AF88" s="468"/>
      <c r="AG88" s="467"/>
      <c r="AH88" s="466"/>
      <c r="AI88" s="465"/>
      <c r="AJ88" s="465"/>
      <c r="AK88" s="464"/>
      <c r="AL88" s="463"/>
      <c r="AM88" s="466"/>
      <c r="AN88" s="461"/>
      <c r="AO88" s="459"/>
      <c r="AP88" s="459"/>
      <c r="AQ88" s="459"/>
      <c r="AR88" s="458"/>
      <c r="AS88" s="458"/>
      <c r="AT88" s="458"/>
      <c r="AU88" s="458"/>
      <c r="AV88" s="460"/>
      <c r="AW88" s="460"/>
      <c r="AX88" s="459"/>
      <c r="AY88" s="459"/>
      <c r="AZ88" s="459"/>
      <c r="BA88" s="459"/>
      <c r="BB88" s="459"/>
      <c r="BC88" s="458"/>
      <c r="BD88" s="458"/>
      <c r="BE88" s="458"/>
      <c r="BF88" s="457"/>
      <c r="BG88" s="456"/>
      <c r="BH88" s="456"/>
      <c r="BI88" s="456"/>
    </row>
    <row r="89" spans="1:61" s="435" customFormat="1" ht="18.75" customHeight="1" thickBot="1">
      <c r="A89" s="455"/>
      <c r="B89" s="454" t="s">
        <v>2</v>
      </c>
      <c r="C89" s="453"/>
      <c r="D89" s="453"/>
      <c r="E89" s="452"/>
      <c r="F89" s="451">
        <f>SUM(F12:F87)</f>
        <v>494</v>
      </c>
      <c r="G89" s="440">
        <f>SUM(G12:G87)</f>
        <v>65137.23</v>
      </c>
      <c r="H89" s="437">
        <f>SUM(H12:H87)</f>
        <v>0</v>
      </c>
      <c r="I89" s="450">
        <f>SUM(I12:I87)</f>
        <v>65137.23</v>
      </c>
      <c r="J89" s="449">
        <f>SUM(J12:J88)</f>
        <v>1</v>
      </c>
      <c r="K89" s="448">
        <f>'06.30.20'!AS12</f>
        <v>-6178.31</v>
      </c>
      <c r="L89" s="438">
        <v>0</v>
      </c>
      <c r="M89" s="438">
        <f>'06.30.20'!AV12</f>
        <v>1533.68</v>
      </c>
      <c r="N89" s="437">
        <f>SUM(N12:N87)</f>
        <v>1533.68</v>
      </c>
      <c r="O89" s="437">
        <f>'06.30.20'!AW12</f>
        <v>0</v>
      </c>
      <c r="P89" s="437">
        <f>'06.30.20'!AX12</f>
        <v>0</v>
      </c>
      <c r="Q89" s="437">
        <f>'06.30.20'!AY12</f>
        <v>0</v>
      </c>
      <c r="R89" s="438">
        <f>SUM(R12:R87)</f>
        <v>0</v>
      </c>
      <c r="S89" s="437">
        <f>SUM(S12:S87)</f>
        <v>66670.91</v>
      </c>
      <c r="T89" s="436">
        <f>'06.30.20'!S12</f>
        <v>79635.66</v>
      </c>
      <c r="U89" s="447">
        <f>SUM(U12:U87)</f>
        <v>27434.37</v>
      </c>
      <c r="V89" s="446">
        <f>SUM(V12:V88)</f>
        <v>1</v>
      </c>
      <c r="W89" s="438">
        <f>'06.30.20'!BB12</f>
        <v>3424.27</v>
      </c>
      <c r="X89" s="445">
        <v>0</v>
      </c>
      <c r="Y89" s="445">
        <f>'06.30.20'!BC12</f>
        <v>2054.5500000000002</v>
      </c>
      <c r="Z89" s="445">
        <f>'06.30.20'!BD12+'06.30.20'!BE12</f>
        <v>-123.74</v>
      </c>
      <c r="AA89" s="445">
        <f>'06.30.20'!BF12+'06.30.20'!BG12</f>
        <v>-45.86</v>
      </c>
      <c r="AB89" s="437">
        <f>SUM(AB12:AB87)</f>
        <v>5309.22</v>
      </c>
      <c r="AC89" s="444">
        <f>'06.30.20'!BI12</f>
        <v>-955.85</v>
      </c>
      <c r="AD89" s="444">
        <v>-6599.84</v>
      </c>
      <c r="AE89" s="437">
        <f>SUM(AE12:AE87)</f>
        <v>0</v>
      </c>
      <c r="AF89" s="437">
        <f>SUM(AF12:AF87)</f>
        <v>-6599.84</v>
      </c>
      <c r="AG89" s="438">
        <f>SUM(AG12:AG88)</f>
        <v>-7555.69</v>
      </c>
      <c r="AH89" s="443">
        <f>SUM(AH12:AH88)</f>
        <v>25187.9</v>
      </c>
      <c r="AI89" s="442">
        <f>SUM(AI12:AI87)</f>
        <v>91858.81</v>
      </c>
      <c r="AJ89" s="442">
        <f>'06.30.20'!AN12</f>
        <v>109304.89</v>
      </c>
      <c r="AK89" s="53"/>
      <c r="AL89" s="177">
        <f>SUM(AL12:AL87)</f>
        <v>65137.23</v>
      </c>
      <c r="AM89" s="650">
        <v>88761.62</v>
      </c>
      <c r="AN89" s="440">
        <v>0</v>
      </c>
      <c r="AO89" s="438">
        <f t="shared" ref="AO89:BI89" si="134">SUM(AO12:AO87)</f>
        <v>-6178.31</v>
      </c>
      <c r="AP89" s="438">
        <f t="shared" si="134"/>
        <v>0</v>
      </c>
      <c r="AQ89" s="438">
        <f t="shared" si="134"/>
        <v>1533.68</v>
      </c>
      <c r="AR89" s="437">
        <f t="shared" si="134"/>
        <v>1533.68</v>
      </c>
      <c r="AS89" s="437">
        <f t="shared" si="134"/>
        <v>0</v>
      </c>
      <c r="AT89" s="437">
        <f t="shared" si="134"/>
        <v>0</v>
      </c>
      <c r="AU89" s="437">
        <f t="shared" si="134"/>
        <v>0</v>
      </c>
      <c r="AV89" s="437">
        <f t="shared" si="134"/>
        <v>0</v>
      </c>
      <c r="AW89" s="439">
        <f t="shared" si="134"/>
        <v>27434.37</v>
      </c>
      <c r="AX89" s="438">
        <f t="shared" si="134"/>
        <v>3424.27</v>
      </c>
      <c r="AY89" s="438">
        <f t="shared" si="134"/>
        <v>0</v>
      </c>
      <c r="AZ89" s="438">
        <f t="shared" si="134"/>
        <v>2054.5500000000002</v>
      </c>
      <c r="BA89" s="438">
        <f t="shared" si="134"/>
        <v>-123.74</v>
      </c>
      <c r="BB89" s="438">
        <f t="shared" si="134"/>
        <v>-45.86</v>
      </c>
      <c r="BC89" s="437">
        <f t="shared" si="134"/>
        <v>5309.22</v>
      </c>
      <c r="BD89" s="437">
        <f t="shared" si="134"/>
        <v>-955.85</v>
      </c>
      <c r="BE89" s="437">
        <f t="shared" si="134"/>
        <v>-6599.84</v>
      </c>
      <c r="BF89" s="436">
        <f t="shared" si="134"/>
        <v>-7555.69</v>
      </c>
      <c r="BG89" s="436">
        <f t="shared" si="134"/>
        <v>84116.99</v>
      </c>
      <c r="BH89" s="436">
        <f t="shared" si="134"/>
        <v>25187.9</v>
      </c>
      <c r="BI89" s="436">
        <f t="shared" si="134"/>
        <v>109304.89</v>
      </c>
    </row>
    <row r="90" spans="1:61" ht="16.149999999999999" customHeight="1">
      <c r="N90" s="81"/>
    </row>
    <row r="91" spans="1:61" s="430" customFormat="1" ht="16.149999999999999" hidden="1" customHeight="1">
      <c r="B91" s="423"/>
      <c r="C91" s="434"/>
      <c r="D91" s="434"/>
      <c r="G91" s="431">
        <f>'06.30.19'!R12</f>
        <v>65137.23</v>
      </c>
      <c r="I91" s="431">
        <f>SUM(I12:I86)</f>
        <v>65137.23</v>
      </c>
      <c r="J91" s="431"/>
      <c r="K91" s="431">
        <f>SUM(K12:K86)</f>
        <v>-6178.31</v>
      </c>
      <c r="L91" s="431">
        <f>SUM(L12:L86)</f>
        <v>0</v>
      </c>
      <c r="M91" s="431">
        <f>SUM(M12:M86)</f>
        <v>1533.68</v>
      </c>
      <c r="N91" s="433"/>
      <c r="Q91" s="431">
        <f>SUM(Q12:Q86)</f>
        <v>0</v>
      </c>
      <c r="S91" s="433">
        <f>'06.30.20'!R12</f>
        <v>66670.91</v>
      </c>
      <c r="T91" s="431">
        <f>SUM(T12:T86)</f>
        <v>79635.66</v>
      </c>
      <c r="U91" s="431">
        <f>'06.30.20'!BA12</f>
        <v>27434.37</v>
      </c>
      <c r="W91" s="431">
        <f>SUM(W12:W86)</f>
        <v>3424.27</v>
      </c>
      <c r="X91" s="431">
        <f>SUM(X12:X86)</f>
        <v>0</v>
      </c>
      <c r="Y91" s="431">
        <f>SUM(Y12:Y86)</f>
        <v>2054.5500000000002</v>
      </c>
      <c r="Z91" s="431">
        <f>SUM(Z12:Z86)</f>
        <v>-123.74</v>
      </c>
      <c r="AA91" s="431">
        <f>SUM(AA12:AA86)</f>
        <v>-45.86</v>
      </c>
      <c r="AC91" s="431">
        <f>SUM(AC12:AC86)</f>
        <v>-955.85</v>
      </c>
      <c r="AD91" s="431">
        <f>SUM(AD12:AD86)</f>
        <v>-6599.84</v>
      </c>
      <c r="AE91" s="431">
        <f>SUM(AE12:AE86)</f>
        <v>0</v>
      </c>
      <c r="AF91" s="431">
        <f>SUM(AF12:AF86)</f>
        <v>-6599.84</v>
      </c>
      <c r="AG91" s="423"/>
      <c r="AH91" s="432">
        <f>'06.30.20'!AJ12</f>
        <v>25187.9</v>
      </c>
      <c r="AI91" s="432">
        <f>'06.30.20'!AM12</f>
        <v>91858.81</v>
      </c>
      <c r="AJ91" s="431">
        <f>SUM(AJ12:AJ86)</f>
        <v>109304.89</v>
      </c>
      <c r="AM91" s="580">
        <f>SUM(AM12:AM86)</f>
        <v>88761.62</v>
      </c>
    </row>
    <row r="92" spans="1:61" s="427" customFormat="1" ht="16.149999999999999" hidden="1" customHeight="1">
      <c r="B92" s="423"/>
      <c r="C92" s="429"/>
      <c r="D92" s="429"/>
      <c r="I92" s="197"/>
      <c r="J92" s="429"/>
      <c r="Q92" s="428"/>
      <c r="AM92" s="197"/>
    </row>
    <row r="93" spans="1:61" s="421" customFormat="1" ht="16.149999999999999" hidden="1" customHeight="1">
      <c r="B93" s="423"/>
      <c r="C93" s="425"/>
      <c r="D93" s="425"/>
      <c r="G93" s="427"/>
      <c r="I93" s="426"/>
      <c r="J93" s="425"/>
      <c r="N93" s="427"/>
      <c r="Q93" s="428"/>
      <c r="S93" s="427"/>
      <c r="T93" s="427"/>
      <c r="U93" s="422"/>
      <c r="X93" s="423"/>
      <c r="Y93" s="423"/>
      <c r="Z93" s="423"/>
      <c r="AA93" s="423"/>
      <c r="AH93" s="422"/>
      <c r="AI93" s="427"/>
      <c r="AJ93" s="427"/>
      <c r="AM93" s="426"/>
    </row>
    <row r="94" spans="1:61" s="370" customFormat="1" ht="16.149999999999999" hidden="1" customHeight="1">
      <c r="C94" s="413"/>
      <c r="D94" s="413"/>
      <c r="J94" s="413"/>
      <c r="K94" s="369"/>
      <c r="L94" s="369"/>
      <c r="M94" s="369"/>
      <c r="N94" s="420"/>
      <c r="P94" s="369"/>
      <c r="R94" s="369"/>
      <c r="S94" s="369"/>
      <c r="W94" s="369"/>
      <c r="X94" s="369"/>
      <c r="Y94" s="369"/>
      <c r="Z94" s="369"/>
      <c r="AA94" s="369"/>
      <c r="AG94" s="369"/>
      <c r="AI94" s="369"/>
      <c r="AJ94" s="369"/>
      <c r="AK94" s="371"/>
      <c r="AL94" s="371"/>
      <c r="AO94" s="369"/>
      <c r="AV94" s="369"/>
      <c r="AW94" s="369"/>
      <c r="AX94" s="369"/>
      <c r="AY94" s="369"/>
      <c r="AZ94" s="369"/>
      <c r="BA94" s="369"/>
      <c r="BB94" s="369"/>
      <c r="BF94" s="369"/>
    </row>
    <row r="95" spans="1:61" s="421" customFormat="1" ht="16.149999999999999" hidden="1" customHeight="1">
      <c r="C95" s="425"/>
      <c r="D95" s="425"/>
      <c r="G95" s="422"/>
      <c r="I95" s="426"/>
      <c r="J95" s="425"/>
      <c r="N95" s="424"/>
      <c r="Q95" s="422"/>
      <c r="S95" s="422"/>
      <c r="T95" s="422"/>
      <c r="U95" s="422"/>
      <c r="X95" s="423"/>
      <c r="Y95" s="423"/>
      <c r="Z95" s="423"/>
      <c r="AA95" s="423"/>
      <c r="AH95" s="422"/>
      <c r="AI95" s="422"/>
      <c r="AJ95" s="422"/>
      <c r="AM95" s="426"/>
    </row>
    <row r="96" spans="1:61" s="370" customFormat="1" ht="16.149999999999999" hidden="1" customHeight="1">
      <c r="C96" s="413"/>
      <c r="D96" s="413"/>
      <c r="J96" s="413"/>
      <c r="K96" s="369"/>
      <c r="L96" s="369"/>
      <c r="M96" s="369"/>
      <c r="N96" s="420"/>
      <c r="P96" s="369"/>
      <c r="R96" s="369"/>
      <c r="S96" s="369"/>
      <c r="W96" s="369"/>
      <c r="X96" s="369"/>
      <c r="Y96" s="369"/>
      <c r="Z96" s="369"/>
      <c r="AA96" s="369"/>
      <c r="AG96" s="369"/>
      <c r="AI96" s="369"/>
      <c r="AJ96" s="369"/>
      <c r="AK96" s="371"/>
      <c r="AL96" s="371"/>
      <c r="AO96" s="369"/>
      <c r="AV96" s="369"/>
      <c r="AW96" s="369"/>
      <c r="AX96" s="369"/>
      <c r="AY96" s="369"/>
      <c r="AZ96" s="369"/>
      <c r="BA96" s="369"/>
      <c r="BB96" s="369"/>
      <c r="BF96" s="369"/>
    </row>
    <row r="97" spans="1:58" s="370" customFormat="1" ht="16.149999999999999" hidden="1" customHeight="1">
      <c r="C97" s="419"/>
      <c r="D97" s="419"/>
      <c r="E97" s="418"/>
      <c r="F97" s="418"/>
      <c r="G97" s="415"/>
      <c r="H97" s="415"/>
      <c r="I97" s="415"/>
      <c r="J97" s="417"/>
      <c r="K97" s="382"/>
      <c r="L97" s="382"/>
      <c r="M97" s="382"/>
      <c r="N97" s="415"/>
      <c r="O97" s="415"/>
      <c r="P97" s="382"/>
      <c r="Q97" s="415"/>
      <c r="R97" s="382"/>
      <c r="S97" s="382"/>
      <c r="T97" s="415"/>
      <c r="U97" s="415"/>
      <c r="V97" s="415"/>
      <c r="W97" s="382"/>
      <c r="X97" s="382"/>
      <c r="Y97" s="382"/>
      <c r="Z97" s="382"/>
      <c r="AA97" s="382"/>
      <c r="AB97" s="415"/>
      <c r="AC97" s="416"/>
      <c r="AD97" s="416"/>
      <c r="AE97" s="416"/>
      <c r="AF97" s="415"/>
      <c r="AG97" s="382"/>
      <c r="AH97" s="415"/>
      <c r="AI97" s="382"/>
      <c r="AJ97" s="382"/>
      <c r="AK97" s="371"/>
      <c r="AL97" s="371"/>
      <c r="AM97" s="418"/>
      <c r="AO97" s="369"/>
      <c r="AV97" s="369"/>
      <c r="AW97" s="369"/>
      <c r="AX97" s="369"/>
      <c r="AY97" s="369"/>
      <c r="AZ97" s="369"/>
      <c r="BA97" s="369"/>
      <c r="BB97" s="369"/>
      <c r="BF97" s="369"/>
    </row>
    <row r="98" spans="1:58" s="370" customFormat="1" ht="18" hidden="1" customHeight="1">
      <c r="B98" s="408"/>
      <c r="C98" s="413"/>
      <c r="D98" s="414"/>
      <c r="J98" s="413"/>
      <c r="K98" s="369"/>
      <c r="L98" s="369"/>
      <c r="M98" s="369"/>
      <c r="P98" s="369"/>
      <c r="R98" s="369"/>
      <c r="S98" s="369"/>
      <c r="W98" s="369"/>
      <c r="X98" s="369"/>
      <c r="Y98" s="369"/>
      <c r="Z98" s="369"/>
      <c r="AA98" s="369"/>
      <c r="AG98" s="369"/>
      <c r="AI98" s="369"/>
      <c r="AJ98" s="369"/>
      <c r="AK98" s="371"/>
      <c r="AL98" s="371"/>
      <c r="AM98" s="367"/>
      <c r="AO98" s="369"/>
      <c r="AV98" s="369"/>
      <c r="AW98" s="369"/>
      <c r="AX98" s="369"/>
      <c r="AY98" s="369"/>
      <c r="AZ98" s="369"/>
      <c r="BA98" s="369"/>
      <c r="BB98" s="369"/>
      <c r="BF98" s="369"/>
    </row>
    <row r="99" spans="1:58" s="400" customFormat="1" ht="12.75">
      <c r="A99" s="408"/>
      <c r="C99" s="407"/>
      <c r="D99" s="407"/>
      <c r="E99" s="406"/>
      <c r="F99" s="406"/>
      <c r="G99" s="380"/>
      <c r="H99" s="380"/>
      <c r="I99" s="415"/>
      <c r="J99" s="412"/>
      <c r="K99" s="382"/>
      <c r="L99" s="382"/>
      <c r="M99" s="382"/>
      <c r="N99" s="380"/>
      <c r="O99" s="380"/>
      <c r="P99" s="380"/>
      <c r="Q99" s="380"/>
      <c r="R99" s="382"/>
      <c r="S99" s="380"/>
      <c r="T99" s="380"/>
      <c r="U99" s="380"/>
      <c r="V99" s="412"/>
      <c r="W99" s="382"/>
      <c r="X99" s="382"/>
      <c r="Y99" s="382"/>
      <c r="Z99" s="382"/>
      <c r="AA99" s="382"/>
      <c r="AB99" s="380"/>
      <c r="AC99" s="380"/>
      <c r="AD99" s="380"/>
      <c r="AE99" s="380"/>
      <c r="AF99" s="380"/>
      <c r="AG99" s="382"/>
      <c r="AH99" s="380"/>
      <c r="AI99" s="380"/>
      <c r="AJ99" s="380"/>
      <c r="AK99" s="411"/>
      <c r="AL99" s="594"/>
      <c r="AM99" s="379"/>
      <c r="AN99" s="409"/>
      <c r="AO99" s="596"/>
      <c r="AP99" s="596"/>
      <c r="AQ99" s="596"/>
      <c r="AR99" s="409"/>
      <c r="AS99" s="409"/>
      <c r="AT99" s="409"/>
      <c r="AU99" s="409"/>
      <c r="AV99" s="409"/>
      <c r="AW99" s="410"/>
      <c r="AX99" s="597"/>
      <c r="AY99" s="597"/>
      <c r="AZ99" s="597"/>
      <c r="BA99" s="597"/>
      <c r="BB99" s="597"/>
      <c r="BC99" s="409"/>
      <c r="BD99" s="409"/>
      <c r="BE99" s="409"/>
      <c r="BF99" s="409"/>
    </row>
    <row r="100" spans="1:58" s="400" customFormat="1" ht="12.75">
      <c r="A100" s="408"/>
      <c r="C100" s="407"/>
      <c r="D100" s="407"/>
      <c r="E100" s="406"/>
      <c r="F100" s="406"/>
      <c r="G100" s="380"/>
      <c r="H100" s="380"/>
      <c r="I100" s="415"/>
      <c r="J100" s="405"/>
      <c r="K100" s="382"/>
      <c r="L100" s="382"/>
      <c r="M100" s="382"/>
      <c r="N100" s="380"/>
      <c r="O100" s="380"/>
      <c r="P100" s="380"/>
      <c r="Q100" s="380"/>
      <c r="R100" s="382"/>
      <c r="S100" s="380"/>
      <c r="T100" s="380"/>
      <c r="U100" s="380"/>
      <c r="V100" s="405"/>
      <c r="W100" s="382"/>
      <c r="X100" s="382"/>
      <c r="Y100" s="382"/>
      <c r="Z100" s="382"/>
      <c r="AA100" s="382"/>
      <c r="AB100" s="381"/>
      <c r="AC100" s="404"/>
      <c r="AD100" s="404"/>
      <c r="AE100" s="404"/>
      <c r="AF100" s="380"/>
      <c r="AG100" s="382"/>
      <c r="AH100" s="380"/>
      <c r="AI100" s="380"/>
      <c r="AJ100" s="380"/>
      <c r="AK100" s="403"/>
      <c r="AL100" s="595"/>
      <c r="AM100" s="379"/>
      <c r="AN100" s="402"/>
      <c r="AO100" s="587"/>
      <c r="AP100" s="587"/>
      <c r="AQ100" s="587"/>
      <c r="AR100" s="402"/>
      <c r="AS100" s="402"/>
      <c r="AT100" s="402"/>
      <c r="AU100" s="402"/>
      <c r="AV100" s="402"/>
      <c r="AX100" s="408"/>
      <c r="AY100" s="408"/>
      <c r="AZ100" s="408"/>
      <c r="BA100" s="408"/>
      <c r="BB100" s="408"/>
      <c r="BC100" s="402"/>
      <c r="BD100" s="402"/>
      <c r="BE100" s="402"/>
      <c r="BF100" s="402"/>
    </row>
    <row r="101" spans="1:58" s="400" customFormat="1" ht="12.75">
      <c r="A101" s="408"/>
      <c r="B101" s="379"/>
      <c r="C101" s="407"/>
      <c r="D101" s="407"/>
      <c r="E101" s="406"/>
      <c r="F101" s="406"/>
      <c r="G101" s="380"/>
      <c r="H101" s="380"/>
      <c r="I101" s="415"/>
      <c r="J101" s="405"/>
      <c r="K101" s="382"/>
      <c r="L101" s="382"/>
      <c r="M101" s="382"/>
      <c r="N101" s="380"/>
      <c r="O101" s="380"/>
      <c r="P101" s="380"/>
      <c r="Q101" s="380"/>
      <c r="R101" s="382"/>
      <c r="S101" s="380"/>
      <c r="T101" s="380"/>
      <c r="U101" s="380"/>
      <c r="V101" s="405"/>
      <c r="W101" s="382"/>
      <c r="X101" s="382"/>
      <c r="Y101" s="382"/>
      <c r="Z101" s="382"/>
      <c r="AA101" s="382"/>
      <c r="AB101" s="381"/>
      <c r="AC101" s="404"/>
      <c r="AD101" s="404"/>
      <c r="AE101" s="404"/>
      <c r="AF101" s="380"/>
      <c r="AG101" s="382"/>
      <c r="AH101" s="380"/>
      <c r="AI101" s="380"/>
      <c r="AJ101" s="380"/>
      <c r="AK101" s="403"/>
      <c r="AL101" s="595"/>
      <c r="AM101" s="379"/>
      <c r="AN101" s="401"/>
      <c r="AO101" s="587"/>
      <c r="AP101" s="587"/>
      <c r="AQ101" s="587"/>
      <c r="AR101" s="401"/>
      <c r="AS101" s="401"/>
      <c r="AT101" s="401"/>
      <c r="AU101" s="401"/>
      <c r="AV101" s="401"/>
      <c r="AX101" s="408"/>
      <c r="AY101" s="408"/>
      <c r="AZ101" s="408"/>
      <c r="BA101" s="408"/>
      <c r="BB101" s="408"/>
      <c r="BC101" s="401"/>
      <c r="BD101" s="401"/>
      <c r="BE101" s="401"/>
      <c r="BF101" s="401"/>
    </row>
    <row r="102" spans="1:58">
      <c r="B102" s="399"/>
      <c r="C102" s="385"/>
      <c r="D102" s="385"/>
      <c r="E102" s="398"/>
      <c r="F102" s="398"/>
      <c r="G102" s="381"/>
      <c r="H102" s="381"/>
      <c r="I102" s="415"/>
      <c r="J102" s="397"/>
      <c r="K102" s="382"/>
      <c r="L102" s="382"/>
      <c r="M102" s="382"/>
      <c r="N102" s="381"/>
      <c r="O102" s="381"/>
      <c r="P102" s="380"/>
      <c r="Q102" s="381"/>
      <c r="R102" s="382"/>
      <c r="S102" s="380"/>
      <c r="T102" s="381"/>
      <c r="U102" s="381"/>
      <c r="V102" s="397"/>
      <c r="W102" s="382"/>
      <c r="X102" s="382"/>
      <c r="Y102" s="382"/>
      <c r="Z102" s="382"/>
      <c r="AA102" s="382"/>
      <c r="AB102" s="381"/>
      <c r="AC102" s="383"/>
      <c r="AD102" s="383"/>
      <c r="AE102" s="383"/>
      <c r="AF102" s="381"/>
      <c r="AG102" s="382"/>
      <c r="AH102" s="381"/>
      <c r="AI102" s="380"/>
      <c r="AJ102" s="380"/>
      <c r="AK102" s="396"/>
      <c r="AM102" s="379"/>
      <c r="AN102" s="394"/>
      <c r="AO102" s="141"/>
      <c r="AP102" s="141"/>
      <c r="AQ102" s="141"/>
      <c r="AR102" s="394"/>
      <c r="AS102" s="394"/>
      <c r="AT102" s="394"/>
      <c r="AU102" s="394"/>
      <c r="AV102" s="394"/>
      <c r="AW102" s="395"/>
      <c r="AX102" s="598"/>
      <c r="AY102" s="181"/>
      <c r="AZ102" s="181"/>
      <c r="BA102" s="181"/>
      <c r="BB102" s="181"/>
      <c r="BC102" s="394"/>
      <c r="BD102" s="394"/>
      <c r="BE102" s="394"/>
      <c r="BF102" s="394"/>
    </row>
    <row r="103" spans="1:58" s="386" customFormat="1" ht="15.75">
      <c r="A103" s="390"/>
      <c r="C103" s="393"/>
      <c r="D103" s="393"/>
      <c r="E103" s="392"/>
      <c r="F103" s="392"/>
      <c r="I103" s="593"/>
      <c r="K103" s="592"/>
      <c r="L103" s="390"/>
      <c r="M103" s="390"/>
      <c r="R103" s="390"/>
      <c r="W103" s="390"/>
      <c r="X103" s="391"/>
      <c r="Y103" s="391"/>
      <c r="Z103" s="391"/>
      <c r="AA103" s="391"/>
      <c r="AG103" s="390"/>
      <c r="AK103" s="389"/>
      <c r="AL103" s="390"/>
      <c r="AM103" s="388"/>
      <c r="AO103" s="390"/>
      <c r="AP103" s="390"/>
      <c r="AQ103" s="390"/>
      <c r="AW103" s="387"/>
      <c r="AX103" s="592"/>
      <c r="AY103" s="592"/>
      <c r="AZ103" s="592"/>
      <c r="BA103" s="592"/>
      <c r="BB103" s="592"/>
    </row>
    <row r="104" spans="1:58">
      <c r="C104" s="385"/>
      <c r="D104" s="385"/>
      <c r="E104" s="379"/>
      <c r="F104" s="379"/>
      <c r="G104" s="381"/>
      <c r="H104" s="381"/>
      <c r="I104" s="415"/>
      <c r="J104" s="384"/>
      <c r="K104" s="382"/>
      <c r="L104" s="382"/>
      <c r="M104" s="382"/>
      <c r="N104" s="381"/>
      <c r="O104" s="381"/>
      <c r="P104" s="380"/>
      <c r="Q104" s="381"/>
      <c r="R104" s="382"/>
      <c r="S104" s="380"/>
      <c r="T104" s="381"/>
      <c r="U104" s="381"/>
      <c r="V104" s="381"/>
      <c r="W104" s="382"/>
      <c r="X104" s="382"/>
      <c r="Y104" s="382"/>
      <c r="Z104" s="382"/>
      <c r="AA104" s="382"/>
      <c r="AB104" s="381"/>
      <c r="AC104" s="383"/>
      <c r="AD104" s="383"/>
      <c r="AE104" s="383"/>
      <c r="AF104" s="381"/>
      <c r="AG104" s="382"/>
      <c r="AH104" s="381"/>
      <c r="AI104" s="380"/>
      <c r="AJ104" s="380"/>
      <c r="AM104" s="379"/>
    </row>
    <row r="105" spans="1:58">
      <c r="B105" s="379"/>
      <c r="C105" s="385"/>
      <c r="D105" s="385"/>
      <c r="E105" s="379"/>
      <c r="F105" s="379"/>
      <c r="G105" s="381"/>
      <c r="H105" s="381"/>
      <c r="I105" s="415"/>
      <c r="J105" s="384"/>
      <c r="K105" s="382"/>
      <c r="L105" s="382"/>
      <c r="M105" s="382"/>
      <c r="N105" s="381"/>
      <c r="O105" s="381"/>
      <c r="P105" s="380"/>
      <c r="Q105" s="381"/>
      <c r="R105" s="382"/>
      <c r="S105" s="380"/>
      <c r="T105" s="381"/>
      <c r="U105" s="381"/>
      <c r="V105" s="381"/>
      <c r="W105" s="382"/>
      <c r="X105" s="382"/>
      <c r="Y105" s="382"/>
      <c r="Z105" s="382"/>
      <c r="AA105" s="382"/>
      <c r="AB105" s="381"/>
      <c r="AC105" s="383"/>
      <c r="AD105" s="383"/>
      <c r="AE105" s="383"/>
      <c r="AF105" s="381"/>
      <c r="AG105" s="382"/>
      <c r="AH105" s="381"/>
      <c r="AI105" s="380"/>
      <c r="AJ105" s="380"/>
      <c r="AM105" s="379"/>
    </row>
    <row r="106" spans="1:58">
      <c r="C106" s="378"/>
      <c r="D106" s="377"/>
    </row>
    <row r="107" spans="1:58">
      <c r="C107" s="374"/>
      <c r="D107" s="374"/>
    </row>
    <row r="108" spans="1:58">
      <c r="C108" s="376"/>
      <c r="D108" s="375"/>
    </row>
    <row r="109" spans="1:58">
      <c r="C109" s="376"/>
      <c r="D109" s="375"/>
    </row>
    <row r="110" spans="1:58">
      <c r="C110" s="376"/>
      <c r="D110" s="375"/>
    </row>
    <row r="111" spans="1:58">
      <c r="C111" s="376"/>
      <c r="D111" s="375"/>
    </row>
    <row r="112" spans="1:58">
      <c r="C112" s="376"/>
      <c r="D112" s="375"/>
    </row>
    <row r="113" spans="3:4">
      <c r="C113" s="376"/>
      <c r="D113" s="375"/>
    </row>
    <row r="114" spans="3:4">
      <c r="C114" s="376"/>
      <c r="D114" s="375"/>
    </row>
    <row r="115" spans="3:4">
      <c r="C115" s="376"/>
      <c r="D115" s="375"/>
    </row>
    <row r="116" spans="3:4">
      <c r="C116" s="376"/>
      <c r="D116" s="375"/>
    </row>
    <row r="117" spans="3:4">
      <c r="C117" s="376"/>
      <c r="D117" s="375"/>
    </row>
    <row r="118" spans="3:4">
      <c r="C118" s="376"/>
      <c r="D118" s="375"/>
    </row>
    <row r="119" spans="3:4">
      <c r="C119" s="376"/>
      <c r="D119" s="375"/>
    </row>
    <row r="120" spans="3:4">
      <c r="C120" s="376"/>
      <c r="D120" s="375"/>
    </row>
    <row r="121" spans="3:4">
      <c r="C121" s="374"/>
      <c r="D121" s="374"/>
    </row>
  </sheetData>
  <sortState ref="A12:IG86">
    <sortCondition ref="B12:B86"/>
  </sortState>
  <mergeCells count="3">
    <mergeCell ref="G8:T8"/>
    <mergeCell ref="U8:AH8"/>
    <mergeCell ref="AM8:BI8"/>
  </mergeCells>
  <dataValidations count="1">
    <dataValidation type="list" allowBlank="1" showInputMessage="1" showErrorMessage="1" sqref="C12:C87">
      <formula1>Purpose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5"/>
  <sheetViews>
    <sheetView workbookViewId="0">
      <selection activeCell="A13" sqref="A13"/>
    </sheetView>
  </sheetViews>
  <sheetFormatPr defaultColWidth="8.77734375" defaultRowHeight="15"/>
  <cols>
    <col min="1" max="1" width="15.21875" style="160" customWidth="1"/>
    <col min="2" max="2" width="15.21875" style="1" customWidth="1"/>
    <col min="3" max="16384" width="8.77734375" style="1"/>
  </cols>
  <sheetData>
    <row r="1" spans="1:1">
      <c r="A1" s="160" t="s">
        <v>60</v>
      </c>
    </row>
    <row r="3" spans="1:1">
      <c r="A3" s="160" t="s">
        <v>59</v>
      </c>
    </row>
    <row r="4" spans="1:1">
      <c r="A4" s="160" t="s">
        <v>61</v>
      </c>
    </row>
    <row r="5" spans="1:1">
      <c r="A5" s="160" t="s">
        <v>76</v>
      </c>
    </row>
    <row r="6" spans="1:1">
      <c r="A6" s="160" t="s">
        <v>62</v>
      </c>
    </row>
    <row r="7" spans="1:1">
      <c r="A7" s="160" t="s">
        <v>63</v>
      </c>
    </row>
    <row r="8" spans="1:1">
      <c r="A8" s="160" t="s">
        <v>77</v>
      </c>
    </row>
    <row r="9" spans="1:1">
      <c r="A9" s="160" t="s">
        <v>135</v>
      </c>
    </row>
    <row r="10" spans="1:1">
      <c r="A10" s="160" t="s">
        <v>64</v>
      </c>
    </row>
    <row r="11" spans="1:1">
      <c r="A11" s="160" t="s">
        <v>65</v>
      </c>
    </row>
    <row r="12" spans="1:1">
      <c r="A12" s="160" t="s">
        <v>66</v>
      </c>
    </row>
    <row r="13" spans="1:1">
      <c r="A13" s="160" t="s">
        <v>67</v>
      </c>
    </row>
    <row r="14" spans="1:1">
      <c r="A14" s="160" t="s">
        <v>136</v>
      </c>
    </row>
    <row r="15" spans="1:1">
      <c r="A15" s="160" t="s">
        <v>58</v>
      </c>
    </row>
    <row r="16" spans="1:1">
      <c r="A16" s="160" t="s">
        <v>68</v>
      </c>
    </row>
    <row r="17" spans="1:1">
      <c r="A17" s="160" t="s">
        <v>137</v>
      </c>
    </row>
    <row r="18" spans="1:1">
      <c r="A18" s="160" t="s">
        <v>69</v>
      </c>
    </row>
    <row r="19" spans="1:1">
      <c r="A19" s="160" t="s">
        <v>70</v>
      </c>
    </row>
    <row r="20" spans="1:1">
      <c r="A20" s="160" t="s">
        <v>71</v>
      </c>
    </row>
    <row r="21" spans="1:1">
      <c r="A21" s="160" t="s">
        <v>138</v>
      </c>
    </row>
    <row r="22" spans="1:1">
      <c r="A22" s="160" t="s">
        <v>72</v>
      </c>
    </row>
    <row r="23" spans="1:1">
      <c r="A23" s="160" t="s">
        <v>73</v>
      </c>
    </row>
    <row r="24" spans="1:1">
      <c r="A24" s="160" t="s">
        <v>74</v>
      </c>
    </row>
    <row r="25" spans="1:1">
      <c r="A25" s="160" t="s">
        <v>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BK55"/>
  <sheetViews>
    <sheetView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2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145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82</v>
      </c>
      <c r="C12" s="179" t="s">
        <v>62</v>
      </c>
      <c r="D12" s="20" t="s">
        <v>12</v>
      </c>
      <c r="E12" s="314">
        <v>20455</v>
      </c>
      <c r="F12" s="45">
        <v>65137.23</v>
      </c>
      <c r="G12" s="9">
        <v>0</v>
      </c>
      <c r="H12" s="129">
        <f t="shared" ref="H12:H28" si="0">F12+G12+P12</f>
        <v>65137.23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31.73</v>
      </c>
      <c r="M12" s="9">
        <f t="shared" ref="M12:M28" si="3">K12+L12</f>
        <v>31.73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65168.959999999999</v>
      </c>
      <c r="S12" s="14">
        <f t="shared" ref="S12:S23" si="7">(R12/(R$31-1575)*(S$31-1575))</f>
        <v>82373.34</v>
      </c>
      <c r="T12" s="86">
        <v>27434.37</v>
      </c>
      <c r="U12" s="79">
        <f t="shared" ref="U12:U28" si="8">I12</f>
        <v>1.7592139999999999E-2</v>
      </c>
      <c r="V12" s="203"/>
      <c r="W12" s="264"/>
      <c r="X12" s="204">
        <f>$U12*X$31</f>
        <v>122.42</v>
      </c>
      <c r="Y12" s="268">
        <f>$U12*Y$31</f>
        <v>121.4</v>
      </c>
      <c r="Z12" s="124">
        <f t="shared" ref="Z12:Z28" si="9">X12+Y12</f>
        <v>243.82</v>
      </c>
      <c r="AA12" s="268">
        <f t="shared" ref="AA12:AE23" si="10">$U12*AA$31</f>
        <v>22.75</v>
      </c>
      <c r="AB12" s="204">
        <f t="shared" si="10"/>
        <v>0</v>
      </c>
      <c r="AC12" s="268">
        <f t="shared" si="10"/>
        <v>-26.8</v>
      </c>
      <c r="AD12" s="204">
        <f t="shared" si="10"/>
        <v>0</v>
      </c>
      <c r="AE12" s="268">
        <f t="shared" si="10"/>
        <v>-1.54</v>
      </c>
      <c r="AF12" s="7">
        <f t="shared" ref="AF12:AF28" si="11">SUM(Z12:AE12)</f>
        <v>238.23</v>
      </c>
      <c r="AG12" s="7">
        <f t="shared" ref="AG12:AG23" si="12">U12*AG$31</f>
        <v>-78.45</v>
      </c>
      <c r="AH12" s="7">
        <v>-3299.92</v>
      </c>
      <c r="AI12" s="124">
        <f t="shared" ref="AI12:AI28" si="13">AG12+AH12</f>
        <v>-3378.37</v>
      </c>
      <c r="AJ12" s="14">
        <f t="shared" ref="AJ12:AJ28" si="14">T12+AF12+AI12</f>
        <v>24294.23</v>
      </c>
      <c r="AK12" s="233"/>
      <c r="AL12" s="236"/>
      <c r="AM12" s="33">
        <f t="shared" ref="AM12:AM28" si="15">R12+AJ12</f>
        <v>89463.19</v>
      </c>
      <c r="AN12" s="33">
        <f t="shared" ref="AN12:AN23" si="16">(S12+AJ12)+((AJ12/AJ$31)*AO$49)</f>
        <v>112721.60000000001</v>
      </c>
      <c r="AO12" s="83"/>
      <c r="AP12" s="114">
        <v>62445.99</v>
      </c>
      <c r="AQ12" s="186">
        <v>74329.64</v>
      </c>
      <c r="AR12" s="192">
        <f>G12+'06.30.19'!AR12</f>
        <v>0</v>
      </c>
      <c r="AS12" s="114">
        <f t="shared" ref="AS12:AS17" si="17">AN12-AM12</f>
        <v>23258.41</v>
      </c>
      <c r="AT12" s="137">
        <f>K12+'06.30.19'!AT12</f>
        <v>0</v>
      </c>
      <c r="AU12" s="137">
        <f>L12+'06.30.19'!AU12</f>
        <v>31.73</v>
      </c>
      <c r="AV12" s="84">
        <f t="shared" ref="AV12:AV17" si="18">AT12+AU12</f>
        <v>31.73</v>
      </c>
      <c r="AW12" s="84">
        <f>N12+'06.30.19'!AW12</f>
        <v>0</v>
      </c>
      <c r="AX12" s="84">
        <f>O12+'06.30.19'!AX12</f>
        <v>0</v>
      </c>
      <c r="AY12" s="84">
        <f>P12+'06.30.19'!AY12</f>
        <v>0</v>
      </c>
      <c r="AZ12" s="84">
        <f t="shared" ref="AZ12:AZ17" si="19">AX12+AY12</f>
        <v>0</v>
      </c>
      <c r="BA12" s="224">
        <v>27434.37</v>
      </c>
      <c r="BB12" s="137">
        <f>Z12+'06.30.19'!BB12</f>
        <v>243.82</v>
      </c>
      <c r="BC12" s="137">
        <f>AA12+'06.30.19'!BC12</f>
        <v>22.75</v>
      </c>
      <c r="BD12" s="276">
        <f>AB12+'06.30.19'!BD12</f>
        <v>0</v>
      </c>
      <c r="BE12" s="280">
        <f>AC12+'06.30.19'!BE12</f>
        <v>-26.8</v>
      </c>
      <c r="BF12" s="276">
        <f>AD12+'06.30.19'!BF12</f>
        <v>0</v>
      </c>
      <c r="BG12" s="280">
        <f>AE12+'06.30.19'!BG12</f>
        <v>-1.54</v>
      </c>
      <c r="BH12" s="84">
        <f t="shared" ref="BH12:BH17" si="20">SUM(BB12:BG12)</f>
        <v>238.23</v>
      </c>
      <c r="BI12" s="84">
        <f>AG12+'06.30.19'!BI12</f>
        <v>-78.45</v>
      </c>
      <c r="BJ12" s="84">
        <f>AH12+'06.30.19'!BJ12</f>
        <v>-3299.92</v>
      </c>
      <c r="BK12" s="116">
        <f t="shared" ref="BK12:BK17" si="21">BI12+BJ12</f>
        <v>-3378.37</v>
      </c>
    </row>
    <row r="13" spans="1:63" s="82" customFormat="1" ht="16.149999999999999" customHeight="1">
      <c r="A13" s="159" t="s">
        <v>80</v>
      </c>
      <c r="B13" s="67" t="s">
        <v>85</v>
      </c>
      <c r="C13" s="179" t="s">
        <v>63</v>
      </c>
      <c r="D13" s="20" t="s">
        <v>12</v>
      </c>
      <c r="E13" s="314">
        <v>25204</v>
      </c>
      <c r="F13" s="45">
        <v>5147.26</v>
      </c>
      <c r="G13" s="9">
        <v>0</v>
      </c>
      <c r="H13" s="129">
        <f t="shared" si="0"/>
        <v>5147.26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2.5099999999999998</v>
      </c>
      <c r="M13" s="9">
        <f t="shared" si="3"/>
        <v>2.5099999999999998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5149.7700000000004</v>
      </c>
      <c r="S13" s="14">
        <f t="shared" si="7"/>
        <v>6509.29</v>
      </c>
      <c r="T13" s="86">
        <v>3726.67</v>
      </c>
      <c r="U13" s="79">
        <f t="shared" si="8"/>
        <v>1.3901600000000001E-3</v>
      </c>
      <c r="V13" s="203"/>
      <c r="W13" s="264"/>
      <c r="X13" s="204">
        <f>$U13*X$31</f>
        <v>9.67</v>
      </c>
      <c r="Y13" s="268">
        <f>$U13*Y$31</f>
        <v>9.59</v>
      </c>
      <c r="Z13" s="124">
        <f t="shared" si="9"/>
        <v>19.260000000000002</v>
      </c>
      <c r="AA13" s="268">
        <f t="shared" si="10"/>
        <v>1.8</v>
      </c>
      <c r="AB13" s="204">
        <f t="shared" si="10"/>
        <v>0</v>
      </c>
      <c r="AC13" s="268">
        <f t="shared" si="10"/>
        <v>-2.12</v>
      </c>
      <c r="AD13" s="204">
        <f t="shared" si="10"/>
        <v>0</v>
      </c>
      <c r="AE13" s="268">
        <f t="shared" si="10"/>
        <v>-0.12</v>
      </c>
      <c r="AF13" s="7">
        <f t="shared" si="11"/>
        <v>18.82</v>
      </c>
      <c r="AG13" s="7">
        <f t="shared" si="12"/>
        <v>-6.2</v>
      </c>
      <c r="AH13" s="7">
        <v>0</v>
      </c>
      <c r="AI13" s="124">
        <f t="shared" si="13"/>
        <v>-6.2</v>
      </c>
      <c r="AJ13" s="14">
        <f t="shared" si="14"/>
        <v>3739.29</v>
      </c>
      <c r="AK13" s="233"/>
      <c r="AL13" s="236"/>
      <c r="AM13" s="33">
        <f t="shared" si="15"/>
        <v>8889.06</v>
      </c>
      <c r="AN13" s="33">
        <f t="shared" si="16"/>
        <v>11180.4</v>
      </c>
      <c r="AO13" s="83"/>
      <c r="AP13" s="114">
        <v>4934.59</v>
      </c>
      <c r="AQ13" s="186">
        <v>5873.66</v>
      </c>
      <c r="AR13" s="192">
        <f>G13+'06.30.19'!AR13</f>
        <v>0</v>
      </c>
      <c r="AS13" s="114">
        <f t="shared" si="17"/>
        <v>2291.34</v>
      </c>
      <c r="AT13" s="137">
        <f>K13+'06.30.19'!AT13</f>
        <v>0</v>
      </c>
      <c r="AU13" s="137">
        <f>L13+'06.30.19'!AU13</f>
        <v>2.5099999999999998</v>
      </c>
      <c r="AV13" s="84">
        <f t="shared" si="18"/>
        <v>2.5099999999999998</v>
      </c>
      <c r="AW13" s="84">
        <f>N13+'06.30.19'!AW13</f>
        <v>0</v>
      </c>
      <c r="AX13" s="84">
        <f>O13+'06.30.19'!AX13</f>
        <v>0</v>
      </c>
      <c r="AY13" s="84">
        <f>P13+'06.30.19'!AY13</f>
        <v>0</v>
      </c>
      <c r="AZ13" s="84">
        <f t="shared" si="19"/>
        <v>0</v>
      </c>
      <c r="BA13" s="224">
        <v>3726.67</v>
      </c>
      <c r="BB13" s="137">
        <f>Z13+'06.30.19'!BB13</f>
        <v>19.260000000000002</v>
      </c>
      <c r="BC13" s="137">
        <f>AA13+'06.30.19'!BC13</f>
        <v>1.8</v>
      </c>
      <c r="BD13" s="276">
        <f>AB13+'06.30.19'!BD13</f>
        <v>0</v>
      </c>
      <c r="BE13" s="280">
        <f>AC13+'06.30.19'!BE13</f>
        <v>-2.12</v>
      </c>
      <c r="BF13" s="276">
        <f>AD13+'06.30.19'!BF13</f>
        <v>0</v>
      </c>
      <c r="BG13" s="280">
        <f>AE13+'06.30.19'!BG13</f>
        <v>-0.12</v>
      </c>
      <c r="BH13" s="84">
        <f t="shared" si="20"/>
        <v>18.82</v>
      </c>
      <c r="BI13" s="84">
        <f>AG13+'06.30.19'!BI13</f>
        <v>-6.2</v>
      </c>
      <c r="BJ13" s="84">
        <f>AH13+'06.30.19'!BJ13</f>
        <v>0</v>
      </c>
      <c r="BK13" s="116">
        <f t="shared" si="21"/>
        <v>-6.2</v>
      </c>
    </row>
    <row r="14" spans="1:63" s="82" customFormat="1" ht="16.149999999999999" customHeight="1">
      <c r="A14" s="159" t="s">
        <v>80</v>
      </c>
      <c r="B14" s="67" t="s">
        <v>90</v>
      </c>
      <c r="C14" s="179" t="s">
        <v>64</v>
      </c>
      <c r="D14" s="20" t="s">
        <v>12</v>
      </c>
      <c r="E14" s="158" t="s">
        <v>143</v>
      </c>
      <c r="F14" s="45">
        <v>378784.62</v>
      </c>
      <c r="G14" s="9">
        <v>0</v>
      </c>
      <c r="H14" s="129">
        <f t="shared" si="0"/>
        <v>378784.62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184.49</v>
      </c>
      <c r="M14" s="9">
        <f t="shared" si="3"/>
        <v>184.49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378969.11</v>
      </c>
      <c r="S14" s="14">
        <f t="shared" si="7"/>
        <v>479015.65</v>
      </c>
      <c r="T14" s="86">
        <v>321639.82</v>
      </c>
      <c r="U14" s="79">
        <f t="shared" si="8"/>
        <v>0.10230141</v>
      </c>
      <c r="V14" s="304"/>
      <c r="W14" s="304"/>
      <c r="X14" s="204">
        <f>($U14*X$31)</f>
        <v>711.89</v>
      </c>
      <c r="Y14" s="268">
        <f>($U14*Y$31)</f>
        <v>705.97</v>
      </c>
      <c r="Z14" s="124">
        <f t="shared" si="9"/>
        <v>1417.86</v>
      </c>
      <c r="AA14" s="268">
        <f t="shared" si="10"/>
        <v>132.28</v>
      </c>
      <c r="AB14" s="204">
        <f t="shared" si="10"/>
        <v>0</v>
      </c>
      <c r="AC14" s="268">
        <f t="shared" si="10"/>
        <v>-155.85</v>
      </c>
      <c r="AD14" s="204">
        <f t="shared" si="10"/>
        <v>0</v>
      </c>
      <c r="AE14" s="268">
        <f t="shared" si="10"/>
        <v>-8.9499999999999993</v>
      </c>
      <c r="AF14" s="7">
        <f t="shared" si="11"/>
        <v>1385.34</v>
      </c>
      <c r="AG14" s="7">
        <f t="shared" si="12"/>
        <v>-456.19</v>
      </c>
      <c r="AH14" s="7">
        <v>0</v>
      </c>
      <c r="AI14" s="124">
        <f t="shared" si="13"/>
        <v>-456.19</v>
      </c>
      <c r="AJ14" s="14">
        <f t="shared" si="14"/>
        <v>322568.96999999997</v>
      </c>
      <c r="AK14" s="233"/>
      <c r="AL14" s="236"/>
      <c r="AM14" s="33">
        <f t="shared" si="15"/>
        <v>701538.08</v>
      </c>
      <c r="AN14" s="33">
        <f t="shared" si="16"/>
        <v>881967.56</v>
      </c>
      <c r="AO14" s="83"/>
      <c r="AP14" s="114">
        <v>363134.62</v>
      </c>
      <c r="AQ14" s="186">
        <v>432240.15</v>
      </c>
      <c r="AR14" s="192">
        <f>G14+'06.30.19'!AR14</f>
        <v>0</v>
      </c>
      <c r="AS14" s="114">
        <f t="shared" si="17"/>
        <v>180429.48</v>
      </c>
      <c r="AT14" s="137">
        <f>K14+'06.30.19'!AT14</f>
        <v>0</v>
      </c>
      <c r="AU14" s="137">
        <f>L14+'06.30.19'!AU14</f>
        <v>184.49</v>
      </c>
      <c r="AV14" s="84">
        <f t="shared" si="18"/>
        <v>184.49</v>
      </c>
      <c r="AW14" s="84">
        <f>N14+'06.30.19'!AW14</f>
        <v>0</v>
      </c>
      <c r="AX14" s="84">
        <f>O14+'06.30.19'!AX14</f>
        <v>0</v>
      </c>
      <c r="AY14" s="84">
        <f>P14+'06.30.19'!AY14</f>
        <v>0</v>
      </c>
      <c r="AZ14" s="84">
        <f t="shared" si="19"/>
        <v>0</v>
      </c>
      <c r="BA14" s="224">
        <v>321639.82</v>
      </c>
      <c r="BB14" s="137">
        <f>Z14+'06.30.19'!BB14</f>
        <v>1417.86</v>
      </c>
      <c r="BC14" s="137">
        <f>AA14+'06.30.19'!BC14</f>
        <v>132.28</v>
      </c>
      <c r="BD14" s="276">
        <f>AB14+'06.30.19'!BD14</f>
        <v>0</v>
      </c>
      <c r="BE14" s="280">
        <f>AC14+'06.30.19'!BE14</f>
        <v>-155.85</v>
      </c>
      <c r="BF14" s="276">
        <f>AD14+'06.30.19'!BF14</f>
        <v>0</v>
      </c>
      <c r="BG14" s="280">
        <f>AE14+'06.30.19'!BG14</f>
        <v>-8.9499999999999993</v>
      </c>
      <c r="BH14" s="84">
        <f t="shared" si="20"/>
        <v>1385.34</v>
      </c>
      <c r="BI14" s="84">
        <f>AG14+'06.30.19'!BI14</f>
        <v>-456.19</v>
      </c>
      <c r="BJ14" s="84">
        <f>AH14+'06.30.19'!BJ14</f>
        <v>0</v>
      </c>
      <c r="BK14" s="116">
        <f t="shared" si="21"/>
        <v>-456.19</v>
      </c>
    </row>
    <row r="15" spans="1:63" s="82" customFormat="1" ht="16.149999999999999" customHeight="1">
      <c r="A15" s="159" t="s">
        <v>80</v>
      </c>
      <c r="B15" s="67" t="s">
        <v>86</v>
      </c>
      <c r="C15" s="179" t="s">
        <v>66</v>
      </c>
      <c r="D15" s="20" t="s">
        <v>12</v>
      </c>
      <c r="E15" s="314">
        <v>18629</v>
      </c>
      <c r="F15" s="45">
        <v>164049.47</v>
      </c>
      <c r="G15" s="9">
        <v>0</v>
      </c>
      <c r="H15" s="129">
        <f t="shared" si="0"/>
        <v>164049.47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79.900000000000006</v>
      </c>
      <c r="M15" s="9">
        <f t="shared" si="3"/>
        <v>79.900000000000006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164129.37</v>
      </c>
      <c r="S15" s="14">
        <f t="shared" si="7"/>
        <v>207458.96</v>
      </c>
      <c r="T15" s="86">
        <v>172723.67</v>
      </c>
      <c r="U15" s="79">
        <f t="shared" si="8"/>
        <v>4.4306159999999997E-2</v>
      </c>
      <c r="V15" s="203"/>
      <c r="W15" s="264"/>
      <c r="X15" s="204">
        <f t="shared" ref="X15:Y23" si="22">$U15*X$31</f>
        <v>308.31</v>
      </c>
      <c r="Y15" s="268">
        <f t="shared" si="22"/>
        <v>305.75</v>
      </c>
      <c r="Z15" s="124">
        <f t="shared" si="9"/>
        <v>614.05999999999995</v>
      </c>
      <c r="AA15" s="268">
        <f t="shared" si="10"/>
        <v>57.29</v>
      </c>
      <c r="AB15" s="204">
        <f t="shared" si="10"/>
        <v>0</v>
      </c>
      <c r="AC15" s="268">
        <f t="shared" si="10"/>
        <v>-67.5</v>
      </c>
      <c r="AD15" s="204">
        <f t="shared" si="10"/>
        <v>0</v>
      </c>
      <c r="AE15" s="268">
        <f t="shared" si="10"/>
        <v>-3.88</v>
      </c>
      <c r="AF15" s="7">
        <f t="shared" si="11"/>
        <v>599.97</v>
      </c>
      <c r="AG15" s="7">
        <f t="shared" si="12"/>
        <v>-197.58</v>
      </c>
      <c r="AH15" s="7">
        <v>0</v>
      </c>
      <c r="AI15" s="124">
        <f t="shared" si="13"/>
        <v>-197.58</v>
      </c>
      <c r="AJ15" s="14">
        <f t="shared" si="14"/>
        <v>173126.06</v>
      </c>
      <c r="AK15" s="233"/>
      <c r="AL15" s="236"/>
      <c r="AM15" s="33">
        <f t="shared" si="15"/>
        <v>337255.43</v>
      </c>
      <c r="AN15" s="33">
        <f t="shared" si="16"/>
        <v>423727.37</v>
      </c>
      <c r="AO15" s="83"/>
      <c r="AP15" s="114">
        <v>157271.56</v>
      </c>
      <c r="AQ15" s="186">
        <v>187200.78</v>
      </c>
      <c r="AR15" s="192">
        <f>G15+'06.30.19'!AR15</f>
        <v>0</v>
      </c>
      <c r="AS15" s="114">
        <f t="shared" si="17"/>
        <v>86471.94</v>
      </c>
      <c r="AT15" s="137">
        <f>K15+'06.30.19'!AT15</f>
        <v>0</v>
      </c>
      <c r="AU15" s="137">
        <f>L15+'06.30.19'!AU15</f>
        <v>79.900000000000006</v>
      </c>
      <c r="AV15" s="84">
        <f t="shared" si="18"/>
        <v>79.900000000000006</v>
      </c>
      <c r="AW15" s="84">
        <f>N15+'06.30.19'!AW15</f>
        <v>0</v>
      </c>
      <c r="AX15" s="84">
        <f>O15+'06.30.19'!AX15</f>
        <v>0</v>
      </c>
      <c r="AY15" s="84">
        <f>P15+'06.30.19'!AY15</f>
        <v>0</v>
      </c>
      <c r="AZ15" s="84">
        <f t="shared" si="19"/>
        <v>0</v>
      </c>
      <c r="BA15" s="224">
        <v>172723.67</v>
      </c>
      <c r="BB15" s="137">
        <f>Z15+'06.30.19'!BB15</f>
        <v>614.05999999999995</v>
      </c>
      <c r="BC15" s="137">
        <f>AA15+'06.30.19'!BC15</f>
        <v>57.29</v>
      </c>
      <c r="BD15" s="276">
        <f>AB15+'06.30.19'!BD15</f>
        <v>0</v>
      </c>
      <c r="BE15" s="280">
        <f>AC15+'06.30.19'!BE15</f>
        <v>-67.5</v>
      </c>
      <c r="BF15" s="276">
        <f>AD15+'06.30.19'!BF15</f>
        <v>0</v>
      </c>
      <c r="BG15" s="280">
        <f>AE15+'06.30.19'!BG15</f>
        <v>-3.88</v>
      </c>
      <c r="BH15" s="84">
        <f t="shared" si="20"/>
        <v>599.97</v>
      </c>
      <c r="BI15" s="84">
        <f>AG15+'06.30.19'!BI15</f>
        <v>-197.58</v>
      </c>
      <c r="BJ15" s="84">
        <f>AH15+'06.30.19'!BJ15</f>
        <v>0</v>
      </c>
      <c r="BK15" s="116">
        <f t="shared" si="21"/>
        <v>-197.58</v>
      </c>
    </row>
    <row r="16" spans="1:63" s="82" customFormat="1" ht="16.149999999999999" customHeight="1">
      <c r="A16" s="159" t="s">
        <v>80</v>
      </c>
      <c r="B16" s="67" t="s">
        <v>83</v>
      </c>
      <c r="C16" s="179" t="s">
        <v>62</v>
      </c>
      <c r="D16" s="20" t="s">
        <v>12</v>
      </c>
      <c r="E16" s="314">
        <v>25569</v>
      </c>
      <c r="F16" s="45">
        <v>10104.89</v>
      </c>
      <c r="G16" s="9">
        <v>0</v>
      </c>
      <c r="H16" s="129">
        <f t="shared" si="0"/>
        <v>10104.89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4.92</v>
      </c>
      <c r="M16" s="9">
        <f t="shared" si="3"/>
        <v>4.92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10109.81</v>
      </c>
      <c r="S16" s="14">
        <f t="shared" si="7"/>
        <v>12778.76</v>
      </c>
      <c r="T16" s="86">
        <v>7331.55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18.989999999999998</v>
      </c>
      <c r="Y16" s="268">
        <f t="shared" si="22"/>
        <v>18.829999999999998</v>
      </c>
      <c r="Z16" s="124">
        <f t="shared" si="9"/>
        <v>37.82</v>
      </c>
      <c r="AA16" s="268">
        <f t="shared" si="10"/>
        <v>3.53</v>
      </c>
      <c r="AB16" s="204">
        <f t="shared" si="10"/>
        <v>0</v>
      </c>
      <c r="AC16" s="268">
        <f t="shared" si="10"/>
        <v>-4.16</v>
      </c>
      <c r="AD16" s="204">
        <f t="shared" si="10"/>
        <v>0</v>
      </c>
      <c r="AE16" s="268">
        <f t="shared" si="10"/>
        <v>-0.24</v>
      </c>
      <c r="AF16" s="7">
        <f t="shared" si="11"/>
        <v>36.950000000000003</v>
      </c>
      <c r="AG16" s="7">
        <f t="shared" si="12"/>
        <v>-12.17</v>
      </c>
      <c r="AH16" s="7">
        <v>0</v>
      </c>
      <c r="AI16" s="124">
        <f t="shared" si="13"/>
        <v>-12.17</v>
      </c>
      <c r="AJ16" s="14">
        <f t="shared" si="14"/>
        <v>7356.33</v>
      </c>
      <c r="AK16" s="233" t="s">
        <v>118</v>
      </c>
      <c r="AL16" s="236" t="s">
        <v>114</v>
      </c>
      <c r="AM16" s="33">
        <f t="shared" si="15"/>
        <v>17466.14</v>
      </c>
      <c r="AN16" s="33">
        <f t="shared" si="16"/>
        <v>21968.26</v>
      </c>
      <c r="AO16" s="83"/>
      <c r="AP16" s="114">
        <v>9687.4</v>
      </c>
      <c r="AQ16" s="186">
        <v>11530.94</v>
      </c>
      <c r="AR16" s="192">
        <f>G16+'06.30.19'!AR16</f>
        <v>0</v>
      </c>
      <c r="AS16" s="114">
        <f t="shared" si="17"/>
        <v>4502.12</v>
      </c>
      <c r="AT16" s="137">
        <f>K16+'06.30.19'!AT16</f>
        <v>0</v>
      </c>
      <c r="AU16" s="137">
        <f>L16+'06.30.19'!AU16</f>
        <v>4.92</v>
      </c>
      <c r="AV16" s="84">
        <f t="shared" si="18"/>
        <v>4.92</v>
      </c>
      <c r="AW16" s="84">
        <f>N16+'06.30.19'!AW16</f>
        <v>0</v>
      </c>
      <c r="AX16" s="84">
        <f>O16+'06.30.19'!AX16</f>
        <v>0</v>
      </c>
      <c r="AY16" s="84">
        <f>P16+'06.30.19'!AY16</f>
        <v>0</v>
      </c>
      <c r="AZ16" s="84">
        <f t="shared" si="19"/>
        <v>0</v>
      </c>
      <c r="BA16" s="224">
        <v>7331.55</v>
      </c>
      <c r="BB16" s="137">
        <f>Z16+'06.30.19'!BB16</f>
        <v>37.82</v>
      </c>
      <c r="BC16" s="137">
        <f>AA16+'06.30.19'!BC16</f>
        <v>3.53</v>
      </c>
      <c r="BD16" s="276">
        <f>AB16+'06.30.19'!BD16</f>
        <v>0</v>
      </c>
      <c r="BE16" s="280">
        <f>AC16+'06.30.19'!BE16</f>
        <v>-4.16</v>
      </c>
      <c r="BF16" s="276">
        <f>AD16+'06.30.19'!BF16</f>
        <v>0</v>
      </c>
      <c r="BG16" s="280">
        <f>AE16+'06.30.19'!BG16</f>
        <v>-0.24</v>
      </c>
      <c r="BH16" s="84">
        <f t="shared" si="20"/>
        <v>36.950000000000003</v>
      </c>
      <c r="BI16" s="84">
        <f>AG16+'06.30.19'!BI16</f>
        <v>-12.17</v>
      </c>
      <c r="BJ16" s="84">
        <f>AH16+'06.30.19'!BJ16</f>
        <v>0</v>
      </c>
      <c r="BK16" s="116">
        <f t="shared" si="21"/>
        <v>-12.17</v>
      </c>
    </row>
    <row r="17" spans="1:63" s="82" customFormat="1" ht="16.149999999999999" customHeight="1">
      <c r="A17" s="159" t="s">
        <v>80</v>
      </c>
      <c r="B17" s="67" t="s">
        <v>84</v>
      </c>
      <c r="C17" s="179" t="s">
        <v>62</v>
      </c>
      <c r="D17" s="20" t="s">
        <v>12</v>
      </c>
      <c r="E17" s="314">
        <v>25569</v>
      </c>
      <c r="F17" s="45">
        <v>880.59</v>
      </c>
      <c r="G17" s="9">
        <v>0</v>
      </c>
      <c r="H17" s="129">
        <f t="shared" si="0"/>
        <v>880.59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0.43</v>
      </c>
      <c r="M17" s="9">
        <f t="shared" si="3"/>
        <v>0.43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881.02</v>
      </c>
      <c r="S17" s="14">
        <f t="shared" si="7"/>
        <v>1113.6099999999999</v>
      </c>
      <c r="T17" s="86">
        <v>650.23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1.65</v>
      </c>
      <c r="Y17" s="268">
        <f t="shared" si="22"/>
        <v>1.64</v>
      </c>
      <c r="Z17" s="124">
        <f t="shared" si="9"/>
        <v>3.29</v>
      </c>
      <c r="AA17" s="268">
        <f t="shared" si="10"/>
        <v>0.31</v>
      </c>
      <c r="AB17" s="204">
        <f t="shared" si="10"/>
        <v>0</v>
      </c>
      <c r="AC17" s="268">
        <f t="shared" si="10"/>
        <v>-0.36</v>
      </c>
      <c r="AD17" s="204">
        <f t="shared" si="10"/>
        <v>0</v>
      </c>
      <c r="AE17" s="268">
        <f t="shared" si="10"/>
        <v>-0.02</v>
      </c>
      <c r="AF17" s="7">
        <f t="shared" si="11"/>
        <v>3.22</v>
      </c>
      <c r="AG17" s="7">
        <f t="shared" si="12"/>
        <v>-1.06</v>
      </c>
      <c r="AH17" s="7">
        <v>0</v>
      </c>
      <c r="AI17" s="124">
        <f t="shared" si="13"/>
        <v>-1.06</v>
      </c>
      <c r="AJ17" s="14">
        <f t="shared" si="14"/>
        <v>652.39</v>
      </c>
      <c r="AK17" s="233" t="s">
        <v>129</v>
      </c>
      <c r="AL17" s="282" t="s">
        <v>128</v>
      </c>
      <c r="AM17" s="33">
        <f t="shared" si="15"/>
        <v>1533.41</v>
      </c>
      <c r="AN17" s="33">
        <f t="shared" si="16"/>
        <v>1928.57</v>
      </c>
      <c r="AO17" s="83"/>
      <c r="AP17" s="114">
        <v>844.21</v>
      </c>
      <c r="AQ17" s="186">
        <v>1004.87</v>
      </c>
      <c r="AR17" s="192">
        <f>G17+'06.30.19'!AR17</f>
        <v>0</v>
      </c>
      <c r="AS17" s="114">
        <f t="shared" si="17"/>
        <v>395.16</v>
      </c>
      <c r="AT17" s="137">
        <f>K17+'06.30.19'!AT17</f>
        <v>0</v>
      </c>
      <c r="AU17" s="137">
        <f>L17+'06.30.19'!AU17</f>
        <v>0.43</v>
      </c>
      <c r="AV17" s="84">
        <f t="shared" si="18"/>
        <v>0.43</v>
      </c>
      <c r="AW17" s="84">
        <f>N17+'06.30.19'!AW17</f>
        <v>0</v>
      </c>
      <c r="AX17" s="84">
        <f>O17+'06.30.19'!AX17</f>
        <v>0</v>
      </c>
      <c r="AY17" s="84">
        <f>P17+'06.30.19'!AY17</f>
        <v>0</v>
      </c>
      <c r="AZ17" s="84">
        <f t="shared" si="19"/>
        <v>0</v>
      </c>
      <c r="BA17" s="224">
        <v>650.23</v>
      </c>
      <c r="BB17" s="137">
        <f>Z17+'06.30.19'!BB17</f>
        <v>3.29</v>
      </c>
      <c r="BC17" s="137">
        <f>AA17+'06.30.19'!BC17</f>
        <v>0.31</v>
      </c>
      <c r="BD17" s="276">
        <f>AB17+'06.30.19'!BD17</f>
        <v>0</v>
      </c>
      <c r="BE17" s="280">
        <f>AC17+'06.30.19'!BE17</f>
        <v>-0.36</v>
      </c>
      <c r="BF17" s="276">
        <f>AD17+'06.30.19'!BF17</f>
        <v>0</v>
      </c>
      <c r="BG17" s="280">
        <f>AE17+'06.30.19'!BG17</f>
        <v>-0.02</v>
      </c>
      <c r="BH17" s="84">
        <f t="shared" si="20"/>
        <v>3.22</v>
      </c>
      <c r="BI17" s="84">
        <f>AG17+'06.30.19'!BI17</f>
        <v>-1.06</v>
      </c>
      <c r="BJ17" s="84">
        <f>AH17+'06.30.19'!BJ17</f>
        <v>0</v>
      </c>
      <c r="BK17" s="116">
        <f t="shared" si="21"/>
        <v>-1.06</v>
      </c>
    </row>
    <row r="18" spans="1:63" s="82" customFormat="1" ht="16.149999999999999" customHeight="1">
      <c r="A18" s="159" t="s">
        <v>80</v>
      </c>
      <c r="B18" s="67" t="s">
        <v>89</v>
      </c>
      <c r="C18" s="179" t="s">
        <v>58</v>
      </c>
      <c r="D18" s="20" t="s">
        <v>12</v>
      </c>
      <c r="E18" s="314">
        <v>23377</v>
      </c>
      <c r="F18" s="45">
        <v>27757.43</v>
      </c>
      <c r="G18" s="9">
        <v>0</v>
      </c>
      <c r="H18" s="129">
        <f t="shared" si="0"/>
        <v>27757.43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13.52</v>
      </c>
      <c r="M18" s="9">
        <f t="shared" si="3"/>
        <v>13.52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27770.95</v>
      </c>
      <c r="S18" s="14">
        <f t="shared" si="7"/>
        <v>35102.39</v>
      </c>
      <c r="T18" s="86">
        <v>7244.82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52.17</v>
      </c>
      <c r="Y18" s="268">
        <f t="shared" si="22"/>
        <v>51.73</v>
      </c>
      <c r="Z18" s="124">
        <f t="shared" si="9"/>
        <v>103.9</v>
      </c>
      <c r="AA18" s="268">
        <f t="shared" si="10"/>
        <v>9.69</v>
      </c>
      <c r="AB18" s="204">
        <f t="shared" si="10"/>
        <v>0</v>
      </c>
      <c r="AC18" s="268">
        <f t="shared" si="10"/>
        <v>-11.42</v>
      </c>
      <c r="AD18" s="204">
        <f t="shared" si="10"/>
        <v>0</v>
      </c>
      <c r="AE18" s="268">
        <f t="shared" si="10"/>
        <v>-0.66</v>
      </c>
      <c r="AF18" s="7">
        <f t="shared" si="11"/>
        <v>101.51</v>
      </c>
      <c r="AG18" s="7">
        <f t="shared" si="12"/>
        <v>-33.43</v>
      </c>
      <c r="AH18" s="7">
        <v>0</v>
      </c>
      <c r="AI18" s="124">
        <f t="shared" si="13"/>
        <v>-33.43</v>
      </c>
      <c r="AJ18" s="14">
        <f t="shared" si="14"/>
        <v>7312.9</v>
      </c>
      <c r="AK18" s="281"/>
      <c r="AL18" s="281"/>
      <c r="AM18" s="33">
        <f t="shared" si="15"/>
        <v>35083.85</v>
      </c>
      <c r="AN18" s="33">
        <f t="shared" si="16"/>
        <v>44237.64</v>
      </c>
      <c r="AO18" s="83"/>
      <c r="AP18" s="114">
        <v>26610.59</v>
      </c>
      <c r="AQ18" s="186">
        <v>31674.66</v>
      </c>
      <c r="AR18" s="192">
        <f>G18+'06.30.19'!AR18</f>
        <v>0</v>
      </c>
      <c r="AS18" s="114">
        <f t="shared" ref="AS18:AS28" si="23">AN18-AM18</f>
        <v>9153.7900000000009</v>
      </c>
      <c r="AT18" s="137">
        <f>K18+'06.30.19'!AT18</f>
        <v>0</v>
      </c>
      <c r="AU18" s="137">
        <f>L18+'06.30.19'!AU18</f>
        <v>13.52</v>
      </c>
      <c r="AV18" s="84">
        <f t="shared" ref="AV18:AV28" si="24">AT18+AU18</f>
        <v>13.52</v>
      </c>
      <c r="AW18" s="84">
        <f>N18+'06.30.19'!AW18</f>
        <v>0</v>
      </c>
      <c r="AX18" s="84">
        <f>O18+'06.30.19'!AX18</f>
        <v>0</v>
      </c>
      <c r="AY18" s="84">
        <f>P18+'06.30.19'!AY18</f>
        <v>0</v>
      </c>
      <c r="AZ18" s="84">
        <f t="shared" ref="AZ18:AZ28" si="25">AX18+AY18</f>
        <v>0</v>
      </c>
      <c r="BA18" s="224">
        <v>7244.82</v>
      </c>
      <c r="BB18" s="137">
        <f>Z18+'06.30.19'!BB18</f>
        <v>103.9</v>
      </c>
      <c r="BC18" s="137">
        <f>AA18+'06.30.19'!BC18</f>
        <v>9.69</v>
      </c>
      <c r="BD18" s="276">
        <f>AB18+'06.30.19'!BD18</f>
        <v>0</v>
      </c>
      <c r="BE18" s="280">
        <f>AC18+'06.30.19'!BE18</f>
        <v>-11.42</v>
      </c>
      <c r="BF18" s="276">
        <f>AD18+'06.30.19'!BF18</f>
        <v>0</v>
      </c>
      <c r="BG18" s="280">
        <f>AE18+'06.30.19'!BG18</f>
        <v>-0.66</v>
      </c>
      <c r="BH18" s="84">
        <f t="shared" ref="BH18:BH28" si="26">SUM(BB18:BG18)</f>
        <v>101.51</v>
      </c>
      <c r="BI18" s="84">
        <f>AG18+'06.30.19'!BI18</f>
        <v>-33.43</v>
      </c>
      <c r="BJ18" s="84">
        <f>AH18+'06.30.19'!BJ18</f>
        <v>0</v>
      </c>
      <c r="BK18" s="116">
        <f t="shared" ref="BK18:BK28" si="27">BI18+BJ18</f>
        <v>-33.43</v>
      </c>
    </row>
    <row r="19" spans="1:63" s="82" customFormat="1" ht="16.149999999999999" customHeight="1">
      <c r="A19" s="159" t="s">
        <v>80</v>
      </c>
      <c r="B19" s="67" t="s">
        <v>92</v>
      </c>
      <c r="C19" s="179" t="s">
        <v>64</v>
      </c>
      <c r="D19" s="20" t="s">
        <v>12</v>
      </c>
      <c r="E19" s="314">
        <v>18264</v>
      </c>
      <c r="F19" s="45">
        <v>93757.63</v>
      </c>
      <c r="G19" s="9">
        <v>0</v>
      </c>
      <c r="H19" s="129">
        <f t="shared" si="0"/>
        <v>93757.63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45.67</v>
      </c>
      <c r="M19" s="9">
        <f t="shared" si="3"/>
        <v>45.67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93803.3</v>
      </c>
      <c r="S19" s="14">
        <f t="shared" si="7"/>
        <v>118567.05</v>
      </c>
      <c r="T19" s="86">
        <v>67943.259999999995</v>
      </c>
      <c r="U19" s="79">
        <f t="shared" si="8"/>
        <v>2.5321880000000001E-2</v>
      </c>
      <c r="V19" s="203"/>
      <c r="W19" s="264"/>
      <c r="X19" s="204">
        <f t="shared" si="22"/>
        <v>176.21</v>
      </c>
      <c r="Y19" s="268">
        <f t="shared" si="22"/>
        <v>174.74</v>
      </c>
      <c r="Z19" s="124">
        <f t="shared" si="9"/>
        <v>350.95</v>
      </c>
      <c r="AA19" s="268">
        <f t="shared" si="10"/>
        <v>32.74</v>
      </c>
      <c r="AB19" s="204">
        <f t="shared" si="10"/>
        <v>0</v>
      </c>
      <c r="AC19" s="268">
        <f t="shared" si="10"/>
        <v>-38.58</v>
      </c>
      <c r="AD19" s="204">
        <f t="shared" si="10"/>
        <v>0</v>
      </c>
      <c r="AE19" s="268">
        <f t="shared" si="10"/>
        <v>-2.2200000000000002</v>
      </c>
      <c r="AF19" s="7">
        <f t="shared" si="11"/>
        <v>342.89</v>
      </c>
      <c r="AG19" s="7">
        <f t="shared" si="12"/>
        <v>-112.92</v>
      </c>
      <c r="AH19" s="7">
        <v>0</v>
      </c>
      <c r="AI19" s="124">
        <f t="shared" si="13"/>
        <v>-112.92</v>
      </c>
      <c r="AJ19" s="14">
        <f t="shared" si="14"/>
        <v>68173.23</v>
      </c>
      <c r="AK19" s="233"/>
      <c r="AL19" s="237"/>
      <c r="AM19" s="33">
        <f t="shared" si="15"/>
        <v>161976.53</v>
      </c>
      <c r="AN19" s="33">
        <f t="shared" si="16"/>
        <v>203728.79</v>
      </c>
      <c r="AO19" s="83"/>
      <c r="AP19" s="114">
        <v>89883.9</v>
      </c>
      <c r="AQ19" s="186">
        <v>106989.06</v>
      </c>
      <c r="AR19" s="192">
        <f>G19+'06.30.19'!AR19</f>
        <v>0</v>
      </c>
      <c r="AS19" s="114">
        <f t="shared" si="23"/>
        <v>41752.26</v>
      </c>
      <c r="AT19" s="137">
        <f>K19+'06.30.19'!AT19</f>
        <v>0</v>
      </c>
      <c r="AU19" s="137">
        <f>L19+'06.30.19'!AU19</f>
        <v>45.67</v>
      </c>
      <c r="AV19" s="84">
        <f t="shared" si="24"/>
        <v>45.67</v>
      </c>
      <c r="AW19" s="84">
        <f>N19+'06.30.19'!AW19</f>
        <v>0</v>
      </c>
      <c r="AX19" s="84">
        <f>O19+'06.30.19'!AX19</f>
        <v>0</v>
      </c>
      <c r="AY19" s="84">
        <f>P19+'06.30.19'!AY19</f>
        <v>0</v>
      </c>
      <c r="AZ19" s="84">
        <f t="shared" si="25"/>
        <v>0</v>
      </c>
      <c r="BA19" s="224">
        <v>67943.259999999995</v>
      </c>
      <c r="BB19" s="137">
        <f>Z19+'06.30.19'!BB19</f>
        <v>350.95</v>
      </c>
      <c r="BC19" s="137">
        <f>AA19+'06.30.19'!BC19</f>
        <v>32.74</v>
      </c>
      <c r="BD19" s="276">
        <f>AB19+'06.30.19'!BD19</f>
        <v>0</v>
      </c>
      <c r="BE19" s="280">
        <f>AC19+'06.30.19'!BE19</f>
        <v>-38.58</v>
      </c>
      <c r="BF19" s="276">
        <f>AD19+'06.30.19'!BF19</f>
        <v>0</v>
      </c>
      <c r="BG19" s="280">
        <f>AE19+'06.30.19'!BG19</f>
        <v>-2.2200000000000002</v>
      </c>
      <c r="BH19" s="84">
        <f t="shared" si="26"/>
        <v>342.89</v>
      </c>
      <c r="BI19" s="84">
        <f>AG19+'06.30.19'!BI19</f>
        <v>-112.92</v>
      </c>
      <c r="BJ19" s="84">
        <f>AH19+'06.30.19'!BJ19</f>
        <v>0</v>
      </c>
      <c r="BK19" s="116">
        <f t="shared" si="27"/>
        <v>-112.92</v>
      </c>
    </row>
    <row r="20" spans="1:63" s="82" customFormat="1" ht="16.149999999999999" customHeight="1">
      <c r="A20" s="159" t="s">
        <v>80</v>
      </c>
      <c r="B20" s="67" t="s">
        <v>88</v>
      </c>
      <c r="C20" s="179" t="s">
        <v>58</v>
      </c>
      <c r="D20" s="20" t="s">
        <v>12</v>
      </c>
      <c r="E20" s="314">
        <v>6211</v>
      </c>
      <c r="F20" s="45">
        <v>34698.68</v>
      </c>
      <c r="G20" s="9">
        <v>0</v>
      </c>
      <c r="H20" s="129">
        <f t="shared" si="0"/>
        <v>34698.68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16.899999999999999</v>
      </c>
      <c r="M20" s="9">
        <f t="shared" si="3"/>
        <v>16.899999999999999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34715.58</v>
      </c>
      <c r="S20" s="14">
        <f t="shared" si="7"/>
        <v>43880.37</v>
      </c>
      <c r="T20" s="86">
        <v>18417.12</v>
      </c>
      <c r="U20" s="79">
        <f t="shared" si="8"/>
        <v>9.3713500000000005E-3</v>
      </c>
      <c r="V20" s="315"/>
      <c r="W20" s="315"/>
      <c r="X20" s="204">
        <f t="shared" si="22"/>
        <v>65.209999999999994</v>
      </c>
      <c r="Y20" s="268">
        <f t="shared" si="22"/>
        <v>64.67</v>
      </c>
      <c r="Z20" s="124">
        <f t="shared" si="9"/>
        <v>129.88</v>
      </c>
      <c r="AA20" s="268">
        <f t="shared" si="10"/>
        <v>12.12</v>
      </c>
      <c r="AB20" s="204">
        <f t="shared" si="10"/>
        <v>0</v>
      </c>
      <c r="AC20" s="268">
        <f t="shared" si="10"/>
        <v>-14.28</v>
      </c>
      <c r="AD20" s="204">
        <f t="shared" si="10"/>
        <v>0</v>
      </c>
      <c r="AE20" s="268">
        <f t="shared" si="10"/>
        <v>-0.82</v>
      </c>
      <c r="AF20" s="7">
        <f t="shared" si="11"/>
        <v>126.9</v>
      </c>
      <c r="AG20" s="7">
        <f t="shared" si="12"/>
        <v>-41.79</v>
      </c>
      <c r="AH20" s="7">
        <v>0</v>
      </c>
      <c r="AI20" s="124">
        <f t="shared" si="13"/>
        <v>-41.79</v>
      </c>
      <c r="AJ20" s="14">
        <f t="shared" si="14"/>
        <v>18502.23</v>
      </c>
      <c r="AK20" s="283"/>
      <c r="AL20" s="284"/>
      <c r="AM20" s="33">
        <f t="shared" si="15"/>
        <v>53217.81</v>
      </c>
      <c r="AN20" s="33">
        <f t="shared" si="16"/>
        <v>66993.279999999999</v>
      </c>
      <c r="AO20" s="83"/>
      <c r="AP20" s="114">
        <v>33265.06</v>
      </c>
      <c r="AQ20" s="186">
        <v>39595.49</v>
      </c>
      <c r="AR20" s="192">
        <f>G20+'06.30.19'!AR20</f>
        <v>0</v>
      </c>
      <c r="AS20" s="114">
        <f t="shared" si="23"/>
        <v>13775.47</v>
      </c>
      <c r="AT20" s="137">
        <f>K20+'06.30.19'!AT20</f>
        <v>0</v>
      </c>
      <c r="AU20" s="137">
        <f>L20+'06.30.19'!AU20</f>
        <v>16.899999999999999</v>
      </c>
      <c r="AV20" s="84">
        <f t="shared" si="24"/>
        <v>16.899999999999999</v>
      </c>
      <c r="AW20" s="84">
        <f>N20+'06.30.19'!AW20</f>
        <v>0</v>
      </c>
      <c r="AX20" s="84">
        <f>O20+'06.30.19'!AX20</f>
        <v>0</v>
      </c>
      <c r="AY20" s="84">
        <f>P20+'06.30.19'!AY20</f>
        <v>0</v>
      </c>
      <c r="AZ20" s="84">
        <f t="shared" si="25"/>
        <v>0</v>
      </c>
      <c r="BA20" s="224">
        <v>18417.12</v>
      </c>
      <c r="BB20" s="137">
        <f>Z20+'06.30.19'!BB20</f>
        <v>129.88</v>
      </c>
      <c r="BC20" s="137">
        <f>AA20+'06.30.19'!BC20</f>
        <v>12.12</v>
      </c>
      <c r="BD20" s="276">
        <f>AB20+'06.30.19'!BD20</f>
        <v>0</v>
      </c>
      <c r="BE20" s="280">
        <f>AC20+'06.30.19'!BE20</f>
        <v>-14.28</v>
      </c>
      <c r="BF20" s="276">
        <f>AD20+'06.30.19'!BF20</f>
        <v>0</v>
      </c>
      <c r="BG20" s="280">
        <f>AE20+'06.30.19'!BG20</f>
        <v>-0.82</v>
      </c>
      <c r="BH20" s="84">
        <f t="shared" si="26"/>
        <v>126.9</v>
      </c>
      <c r="BI20" s="84">
        <f>AG20+'06.30.19'!BI20</f>
        <v>-41.79</v>
      </c>
      <c r="BJ20" s="84">
        <f>AH20+'06.30.19'!BJ20</f>
        <v>0</v>
      </c>
      <c r="BK20" s="116">
        <f t="shared" si="27"/>
        <v>-41.79</v>
      </c>
    </row>
    <row r="21" spans="1:63" s="366" customFormat="1" ht="16.149999999999999" customHeight="1">
      <c r="A21" s="334" t="s">
        <v>80</v>
      </c>
      <c r="B21" s="335" t="s">
        <v>81</v>
      </c>
      <c r="C21" s="336" t="s">
        <v>62</v>
      </c>
      <c r="D21" s="337" t="s">
        <v>12</v>
      </c>
      <c r="E21" s="338">
        <v>1</v>
      </c>
      <c r="F21" s="339">
        <v>534981.24</v>
      </c>
      <c r="G21" s="340">
        <v>0</v>
      </c>
      <c r="H21" s="341">
        <f t="shared" si="0"/>
        <v>534981.24</v>
      </c>
      <c r="I21" s="342">
        <f t="shared" si="1"/>
        <v>0.14448669</v>
      </c>
      <c r="J21" s="343"/>
      <c r="K21" s="343">
        <f t="shared" si="2"/>
        <v>0</v>
      </c>
      <c r="L21" s="343">
        <f t="shared" si="2"/>
        <v>260.57</v>
      </c>
      <c r="M21" s="340">
        <f t="shared" si="3"/>
        <v>260.57</v>
      </c>
      <c r="N21" s="340">
        <f t="shared" si="4"/>
        <v>0</v>
      </c>
      <c r="O21" s="340">
        <f t="shared" si="4"/>
        <v>0</v>
      </c>
      <c r="P21" s="340">
        <v>0</v>
      </c>
      <c r="Q21" s="343">
        <f t="shared" si="5"/>
        <v>0</v>
      </c>
      <c r="R21" s="340">
        <f t="shared" si="6"/>
        <v>535241.81000000006</v>
      </c>
      <c r="S21" s="344">
        <f t="shared" si="7"/>
        <v>676543.8</v>
      </c>
      <c r="T21" s="345">
        <v>492992.17</v>
      </c>
      <c r="U21" s="346">
        <f t="shared" si="8"/>
        <v>0.14448669</v>
      </c>
      <c r="V21" s="347"/>
      <c r="W21" s="348"/>
      <c r="X21" s="349">
        <f t="shared" si="22"/>
        <v>1005.44</v>
      </c>
      <c r="Y21" s="350">
        <f t="shared" si="22"/>
        <v>997.09</v>
      </c>
      <c r="Z21" s="351">
        <f t="shared" si="9"/>
        <v>2002.53</v>
      </c>
      <c r="AA21" s="350">
        <f t="shared" si="10"/>
        <v>186.83</v>
      </c>
      <c r="AB21" s="349">
        <f t="shared" si="10"/>
        <v>0</v>
      </c>
      <c r="AC21" s="350">
        <f t="shared" si="10"/>
        <v>-220.11</v>
      </c>
      <c r="AD21" s="349">
        <f t="shared" si="10"/>
        <v>0</v>
      </c>
      <c r="AE21" s="350">
        <f t="shared" si="10"/>
        <v>-12.64</v>
      </c>
      <c r="AF21" s="352">
        <f t="shared" si="11"/>
        <v>1956.61</v>
      </c>
      <c r="AG21" s="352">
        <f t="shared" si="12"/>
        <v>-644.30999999999995</v>
      </c>
      <c r="AH21" s="352">
        <v>3299.92</v>
      </c>
      <c r="AI21" s="351">
        <f t="shared" si="13"/>
        <v>2655.61</v>
      </c>
      <c r="AJ21" s="344">
        <f t="shared" si="14"/>
        <v>497604.39</v>
      </c>
      <c r="AK21" s="353"/>
      <c r="AL21" s="354"/>
      <c r="AM21" s="355">
        <f t="shared" si="15"/>
        <v>1032846.2</v>
      </c>
      <c r="AN21" s="355">
        <f t="shared" si="16"/>
        <v>1298149.29</v>
      </c>
      <c r="AO21" s="356"/>
      <c r="AP21" s="357">
        <v>512877.8</v>
      </c>
      <c r="AQ21" s="358">
        <v>610479.87</v>
      </c>
      <c r="AR21" s="359">
        <f>G21+'06.30.19'!AR21</f>
        <v>0</v>
      </c>
      <c r="AS21" s="357">
        <f t="shared" si="23"/>
        <v>265303.09000000003</v>
      </c>
      <c r="AT21" s="360">
        <f>K21+'06.30.19'!AT21</f>
        <v>0</v>
      </c>
      <c r="AU21" s="360">
        <f>L21+'06.30.19'!AU21</f>
        <v>260.57</v>
      </c>
      <c r="AV21" s="361">
        <f t="shared" si="24"/>
        <v>260.57</v>
      </c>
      <c r="AW21" s="361">
        <f>N21+'06.30.19'!AW21</f>
        <v>0</v>
      </c>
      <c r="AX21" s="361">
        <f>O21+'06.30.19'!AX21</f>
        <v>0</v>
      </c>
      <c r="AY21" s="361">
        <f>P21+'06.30.19'!AY21</f>
        <v>0</v>
      </c>
      <c r="AZ21" s="361">
        <f t="shared" si="25"/>
        <v>0</v>
      </c>
      <c r="BA21" s="362">
        <v>492992.17</v>
      </c>
      <c r="BB21" s="360">
        <f>Z21+'06.30.19'!BB21</f>
        <v>2002.53</v>
      </c>
      <c r="BC21" s="360">
        <f>AA21+'06.30.19'!BC21</f>
        <v>186.83</v>
      </c>
      <c r="BD21" s="363">
        <f>AB21+'06.30.19'!BD21</f>
        <v>0</v>
      </c>
      <c r="BE21" s="364">
        <f>AC21+'06.30.19'!BE21</f>
        <v>-220.11</v>
      </c>
      <c r="BF21" s="363">
        <f>AD21+'06.30.19'!BF21</f>
        <v>0</v>
      </c>
      <c r="BG21" s="364">
        <f>AE21+'06.30.19'!BG21</f>
        <v>-12.64</v>
      </c>
      <c r="BH21" s="361">
        <f t="shared" si="26"/>
        <v>1956.61</v>
      </c>
      <c r="BI21" s="361">
        <f>AG21+'06.30.19'!BI21</f>
        <v>-644.30999999999995</v>
      </c>
      <c r="BJ21" s="361">
        <f>AH21+'06.30.19'!BJ21</f>
        <v>3299.92</v>
      </c>
      <c r="BK21" s="365">
        <f t="shared" si="27"/>
        <v>2655.61</v>
      </c>
    </row>
    <row r="22" spans="1:63" s="82" customFormat="1" ht="16.149999999999999" customHeight="1">
      <c r="A22" s="159" t="s">
        <v>80</v>
      </c>
      <c r="B22" s="67" t="s">
        <v>87</v>
      </c>
      <c r="C22" s="179" t="s">
        <v>66</v>
      </c>
      <c r="D22" s="20" t="s">
        <v>12</v>
      </c>
      <c r="E22" s="314">
        <v>9133</v>
      </c>
      <c r="F22" s="45">
        <v>547548.41</v>
      </c>
      <c r="G22" s="9">
        <v>0</v>
      </c>
      <c r="H22" s="129">
        <f t="shared" si="0"/>
        <v>547548.41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266.69</v>
      </c>
      <c r="M22" s="9">
        <f t="shared" si="3"/>
        <v>266.69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547815.1</v>
      </c>
      <c r="S22" s="14">
        <f t="shared" si="7"/>
        <v>692436.4</v>
      </c>
      <c r="T22" s="86">
        <v>421288.81</v>
      </c>
      <c r="U22" s="79">
        <f t="shared" si="8"/>
        <v>0.14788081</v>
      </c>
      <c r="V22" s="316"/>
      <c r="W22" s="317"/>
      <c r="X22" s="204">
        <f t="shared" si="22"/>
        <v>1029.06</v>
      </c>
      <c r="Y22" s="268">
        <f t="shared" si="22"/>
        <v>1020.51</v>
      </c>
      <c r="Z22" s="124">
        <f t="shared" si="9"/>
        <v>2049.5700000000002</v>
      </c>
      <c r="AA22" s="268">
        <f t="shared" si="10"/>
        <v>191.22</v>
      </c>
      <c r="AB22" s="204">
        <f t="shared" si="10"/>
        <v>0</v>
      </c>
      <c r="AC22" s="268">
        <f t="shared" si="10"/>
        <v>-225.28</v>
      </c>
      <c r="AD22" s="204">
        <f t="shared" si="10"/>
        <v>0</v>
      </c>
      <c r="AE22" s="268">
        <f t="shared" si="10"/>
        <v>-12.94</v>
      </c>
      <c r="AF22" s="7">
        <f t="shared" si="11"/>
        <v>2002.57</v>
      </c>
      <c r="AG22" s="7">
        <f t="shared" si="12"/>
        <v>-659.45</v>
      </c>
      <c r="AH22" s="7">
        <v>0</v>
      </c>
      <c r="AI22" s="124">
        <f t="shared" si="13"/>
        <v>-659.45</v>
      </c>
      <c r="AJ22" s="14">
        <f t="shared" si="14"/>
        <v>422631.93</v>
      </c>
      <c r="AK22" s="283"/>
      <c r="AL22" s="284"/>
      <c r="AM22" s="33">
        <f t="shared" si="15"/>
        <v>970447.03</v>
      </c>
      <c r="AN22" s="33">
        <f t="shared" si="16"/>
        <v>1220386.58</v>
      </c>
      <c r="AO22" s="83"/>
      <c r="AP22" s="114">
        <v>524925.73</v>
      </c>
      <c r="AQ22" s="186">
        <v>624820.56000000006</v>
      </c>
      <c r="AR22" s="192">
        <f>G22+'06.30.19'!AR22</f>
        <v>0</v>
      </c>
      <c r="AS22" s="114">
        <f t="shared" si="23"/>
        <v>249939.55</v>
      </c>
      <c r="AT22" s="137">
        <f>K22+'06.30.19'!AT22</f>
        <v>0</v>
      </c>
      <c r="AU22" s="137">
        <f>L22+'06.30.19'!AU22</f>
        <v>266.69</v>
      </c>
      <c r="AV22" s="84">
        <f t="shared" si="24"/>
        <v>266.69</v>
      </c>
      <c r="AW22" s="84">
        <f>N22+'06.30.19'!AW22</f>
        <v>0</v>
      </c>
      <c r="AX22" s="84">
        <f>O22+'06.30.19'!AX22</f>
        <v>0</v>
      </c>
      <c r="AY22" s="84">
        <f>P22+'06.30.19'!AY22</f>
        <v>0</v>
      </c>
      <c r="AZ22" s="84">
        <f t="shared" si="25"/>
        <v>0</v>
      </c>
      <c r="BA22" s="224">
        <v>421288.81</v>
      </c>
      <c r="BB22" s="137">
        <f>Z22+'06.30.19'!BB22</f>
        <v>2049.5700000000002</v>
      </c>
      <c r="BC22" s="137">
        <f>AA22+'06.30.19'!BC22</f>
        <v>191.22</v>
      </c>
      <c r="BD22" s="276">
        <f>AB22+'06.30.19'!BD22</f>
        <v>0</v>
      </c>
      <c r="BE22" s="280">
        <f>AC22+'06.30.19'!BE22</f>
        <v>-225.28</v>
      </c>
      <c r="BF22" s="276">
        <f>AD22+'06.30.19'!BF22</f>
        <v>0</v>
      </c>
      <c r="BG22" s="280">
        <f>AE22+'06.30.19'!BG22</f>
        <v>-12.94</v>
      </c>
      <c r="BH22" s="84">
        <f t="shared" si="26"/>
        <v>2002.57</v>
      </c>
      <c r="BI22" s="84">
        <f>AG22+'06.30.19'!BI22</f>
        <v>-659.45</v>
      </c>
      <c r="BJ22" s="84">
        <f>AH22+'06.30.19'!BJ22</f>
        <v>0</v>
      </c>
      <c r="BK22" s="116">
        <f t="shared" si="27"/>
        <v>-659.45</v>
      </c>
    </row>
    <row r="23" spans="1:63" s="82" customFormat="1" ht="16.149999999999999" customHeight="1">
      <c r="A23" s="159" t="s">
        <v>80</v>
      </c>
      <c r="B23" s="67" t="s">
        <v>91</v>
      </c>
      <c r="C23" s="179" t="s">
        <v>64</v>
      </c>
      <c r="D23" s="20" t="s">
        <v>12</v>
      </c>
      <c r="E23" s="314">
        <v>21916</v>
      </c>
      <c r="F23" s="45">
        <v>2831.99</v>
      </c>
      <c r="G23" s="9">
        <v>0</v>
      </c>
      <c r="H23" s="129">
        <f t="shared" si="0"/>
        <v>2831.99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1.38</v>
      </c>
      <c r="M23" s="9">
        <f t="shared" si="3"/>
        <v>1.38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2833.37</v>
      </c>
      <c r="S23" s="14">
        <f t="shared" si="7"/>
        <v>3581.37</v>
      </c>
      <c r="T23" s="86">
        <v>2011.18</v>
      </c>
      <c r="U23" s="79">
        <f t="shared" si="8"/>
        <v>7.6486000000000002E-4</v>
      </c>
      <c r="V23" s="203"/>
      <c r="W23" s="264"/>
      <c r="X23" s="204">
        <f t="shared" si="22"/>
        <v>5.32</v>
      </c>
      <c r="Y23" s="268">
        <f t="shared" si="22"/>
        <v>5.28</v>
      </c>
      <c r="Z23" s="124">
        <f t="shared" si="9"/>
        <v>10.6</v>
      </c>
      <c r="AA23" s="268">
        <f t="shared" si="10"/>
        <v>0.99</v>
      </c>
      <c r="AB23" s="204">
        <f t="shared" si="10"/>
        <v>0</v>
      </c>
      <c r="AC23" s="268">
        <f t="shared" si="10"/>
        <v>-1.17</v>
      </c>
      <c r="AD23" s="204">
        <f t="shared" si="10"/>
        <v>0</v>
      </c>
      <c r="AE23" s="268">
        <f t="shared" si="10"/>
        <v>-7.0000000000000007E-2</v>
      </c>
      <c r="AF23" s="7">
        <f t="shared" si="11"/>
        <v>10.35</v>
      </c>
      <c r="AG23" s="7">
        <f t="shared" si="12"/>
        <v>-3.41</v>
      </c>
      <c r="AH23" s="7">
        <v>0</v>
      </c>
      <c r="AI23" s="124">
        <f t="shared" si="13"/>
        <v>-3.41</v>
      </c>
      <c r="AJ23" s="14">
        <f t="shared" si="14"/>
        <v>2018.12</v>
      </c>
      <c r="AK23" s="285"/>
      <c r="AL23" s="236"/>
      <c r="AM23" s="33">
        <f t="shared" si="15"/>
        <v>4851.49</v>
      </c>
      <c r="AN23" s="33">
        <f t="shared" si="16"/>
        <v>6102.4</v>
      </c>
      <c r="AO23" s="83"/>
      <c r="AP23" s="114">
        <v>2714.97</v>
      </c>
      <c r="AQ23" s="186">
        <v>3231.64</v>
      </c>
      <c r="AR23" s="192">
        <f>G23+'06.30.19'!AR23</f>
        <v>0</v>
      </c>
      <c r="AS23" s="114">
        <f t="shared" si="23"/>
        <v>1250.9100000000001</v>
      </c>
      <c r="AT23" s="137">
        <f>K23+'06.30.19'!AT23</f>
        <v>0</v>
      </c>
      <c r="AU23" s="137">
        <f>L23+'06.30.19'!AU23</f>
        <v>1.38</v>
      </c>
      <c r="AV23" s="84">
        <f t="shared" si="24"/>
        <v>1.38</v>
      </c>
      <c r="AW23" s="84">
        <f>N23+'06.30.19'!AW23</f>
        <v>0</v>
      </c>
      <c r="AX23" s="84">
        <f>O23+'06.30.19'!AX23</f>
        <v>0</v>
      </c>
      <c r="AY23" s="84">
        <f>P23+'06.30.19'!AY23</f>
        <v>0</v>
      </c>
      <c r="AZ23" s="84">
        <f t="shared" si="25"/>
        <v>0</v>
      </c>
      <c r="BA23" s="224">
        <v>2011.18</v>
      </c>
      <c r="BB23" s="137">
        <f>Z23+'06.30.19'!BB23</f>
        <v>10.6</v>
      </c>
      <c r="BC23" s="137">
        <f>AA23+'06.30.19'!BC23</f>
        <v>0.99</v>
      </c>
      <c r="BD23" s="276">
        <f>AB23+'06.30.19'!BD23</f>
        <v>0</v>
      </c>
      <c r="BE23" s="280">
        <f>AC23+'06.30.19'!BE23</f>
        <v>-1.17</v>
      </c>
      <c r="BF23" s="276">
        <f>AD23+'06.30.19'!BF23</f>
        <v>0</v>
      </c>
      <c r="BG23" s="280">
        <f>AE23+'06.30.19'!BG23</f>
        <v>-7.0000000000000007E-2</v>
      </c>
      <c r="BH23" s="84">
        <f t="shared" si="26"/>
        <v>10.35</v>
      </c>
      <c r="BI23" s="84">
        <f>AG23+'06.30.19'!BI23</f>
        <v>-3.41</v>
      </c>
      <c r="BJ23" s="84">
        <f>AH23+'06.30.19'!BJ23</f>
        <v>0</v>
      </c>
      <c r="BK23" s="116">
        <f t="shared" si="27"/>
        <v>-3.41</v>
      </c>
    </row>
    <row r="24" spans="1:63" s="82" customFormat="1" ht="16.149999999999999" customHeight="1">
      <c r="A24" s="159" t="s">
        <v>80</v>
      </c>
      <c r="B24" s="67" t="s">
        <v>141</v>
      </c>
      <c r="C24" s="179" t="s">
        <v>64</v>
      </c>
      <c r="D24" s="20" t="s">
        <v>12</v>
      </c>
      <c r="E24" s="314">
        <v>23743</v>
      </c>
      <c r="F24" s="45">
        <v>1486305.14</v>
      </c>
      <c r="G24" s="9">
        <v>0</v>
      </c>
      <c r="H24" s="129">
        <f t="shared" si="0"/>
        <v>1486305.14</v>
      </c>
      <c r="I24" s="76">
        <f>H24/(H$31-1575)+0.00000001</f>
        <v>0.40141842</v>
      </c>
      <c r="J24" s="128"/>
      <c r="K24" s="128">
        <f>$I24*K$31</f>
        <v>0</v>
      </c>
      <c r="L24" s="128">
        <f>($I24*L$31)</f>
        <v>723.93</v>
      </c>
      <c r="M24" s="9">
        <f t="shared" si="3"/>
        <v>723.93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1487029.07</v>
      </c>
      <c r="S24" s="14">
        <f>(R24/(R$31-1575)*(S$31-1575))-0.02</f>
        <v>1879599.6</v>
      </c>
      <c r="T24" s="86">
        <v>698290.76</v>
      </c>
      <c r="U24" s="79">
        <f t="shared" si="8"/>
        <v>0.40141842</v>
      </c>
      <c r="V24" s="203"/>
      <c r="W24" s="264"/>
      <c r="X24" s="311">
        <f>($U24*X$31)+0.01</f>
        <v>2793.37</v>
      </c>
      <c r="Y24" s="312">
        <f>($U24*Y$31)+0.01</f>
        <v>2770.16</v>
      </c>
      <c r="Z24" s="313">
        <f t="shared" si="9"/>
        <v>5563.53</v>
      </c>
      <c r="AA24" s="312">
        <f>($U24*AA$31)-0.01</f>
        <v>519.04</v>
      </c>
      <c r="AB24" s="311">
        <f>($U24*AB$31)</f>
        <v>0</v>
      </c>
      <c r="AC24" s="312">
        <f>($U24*AC$31)+0.02</f>
        <v>-611.5</v>
      </c>
      <c r="AD24" s="311">
        <f>($U24*AD$31)</f>
        <v>0</v>
      </c>
      <c r="AE24" s="312">
        <f>($U24*AE$31)+0.03</f>
        <v>-35.090000000000003</v>
      </c>
      <c r="AF24" s="7">
        <f t="shared" si="11"/>
        <v>5435.98</v>
      </c>
      <c r="AG24" s="7">
        <f>(U24*AG$31)</f>
        <v>-1790.05</v>
      </c>
      <c r="AH24" s="7">
        <v>0</v>
      </c>
      <c r="AI24" s="124">
        <f t="shared" si="13"/>
        <v>-1790.05</v>
      </c>
      <c r="AJ24" s="14">
        <f t="shared" si="14"/>
        <v>701936.69</v>
      </c>
      <c r="AK24" s="285"/>
      <c r="AL24" s="236"/>
      <c r="AM24" s="33">
        <f t="shared" si="15"/>
        <v>2188965.7599999998</v>
      </c>
      <c r="AN24" s="33">
        <f>((S24+AJ24)+((AJ24/AJ$31)*AO$49))-0.01</f>
        <v>2756456.2</v>
      </c>
      <c r="AO24" s="83"/>
      <c r="AP24" s="114">
        <v>1424896.51</v>
      </c>
      <c r="AQ24" s="186">
        <v>1696058.26</v>
      </c>
      <c r="AR24" s="192">
        <f>G24+'06.30.19'!AR24</f>
        <v>0</v>
      </c>
      <c r="AS24" s="114">
        <f t="shared" si="23"/>
        <v>567490.43999999994</v>
      </c>
      <c r="AT24" s="137">
        <f>K24+'06.30.19'!AT24</f>
        <v>0</v>
      </c>
      <c r="AU24" s="137">
        <f>L24+'06.30.19'!AU24</f>
        <v>723.93</v>
      </c>
      <c r="AV24" s="84">
        <f t="shared" si="24"/>
        <v>723.93</v>
      </c>
      <c r="AW24" s="84">
        <f>N24+'06.30.19'!AW24</f>
        <v>0</v>
      </c>
      <c r="AX24" s="84">
        <f>O24+'06.30.19'!AX24</f>
        <v>0</v>
      </c>
      <c r="AY24" s="84">
        <f>P24+'06.30.19'!AY24</f>
        <v>0</v>
      </c>
      <c r="AZ24" s="84">
        <f t="shared" si="25"/>
        <v>0</v>
      </c>
      <c r="BA24" s="224">
        <v>698290.76</v>
      </c>
      <c r="BB24" s="137">
        <f>Z24+'06.30.19'!BB24</f>
        <v>5563.53</v>
      </c>
      <c r="BC24" s="137">
        <f>AA24+'06.30.19'!BC24</f>
        <v>519.04</v>
      </c>
      <c r="BD24" s="276">
        <f>AB24+'06.30.19'!BD24</f>
        <v>0</v>
      </c>
      <c r="BE24" s="280">
        <f>AC24+'06.30.19'!BE24</f>
        <v>-611.5</v>
      </c>
      <c r="BF24" s="276">
        <f>AD24+'06.30.19'!BF24</f>
        <v>0</v>
      </c>
      <c r="BG24" s="280">
        <f>AE24+'06.30.19'!BG24</f>
        <v>-35.090000000000003</v>
      </c>
      <c r="BH24" s="84">
        <f t="shared" si="26"/>
        <v>5435.98</v>
      </c>
      <c r="BI24" s="84">
        <f>AG24+'06.30.19'!BI24</f>
        <v>-1790.05</v>
      </c>
      <c r="BJ24" s="84">
        <f>AH24+'06.30.19'!BJ24</f>
        <v>0</v>
      </c>
      <c r="BK24" s="116">
        <f t="shared" si="27"/>
        <v>-1790.05</v>
      </c>
    </row>
    <row r="25" spans="1:63" s="82" customFormat="1" ht="16.149999999999999" customHeight="1">
      <c r="A25" s="159" t="s">
        <v>80</v>
      </c>
      <c r="B25" s="67" t="s">
        <v>93</v>
      </c>
      <c r="C25" s="179" t="s">
        <v>64</v>
      </c>
      <c r="D25" s="20" t="s">
        <v>12</v>
      </c>
      <c r="E25" s="314">
        <v>23743</v>
      </c>
      <c r="F25" s="45">
        <v>323705.38</v>
      </c>
      <c r="G25" s="9">
        <v>0</v>
      </c>
      <c r="H25" s="129">
        <f t="shared" si="0"/>
        <v>323705.38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157.66999999999999</v>
      </c>
      <c r="M25" s="9">
        <f t="shared" si="3"/>
        <v>157.66999999999999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323863.05</v>
      </c>
      <c r="S25" s="14">
        <f>(R25/(R$31-1575)*(S$31-1575))</f>
        <v>409361.78</v>
      </c>
      <c r="T25" s="86">
        <v>183722.72</v>
      </c>
      <c r="U25" s="79">
        <f t="shared" si="8"/>
        <v>8.7425719999999998E-2</v>
      </c>
      <c r="V25" s="203"/>
      <c r="W25" s="264"/>
      <c r="X25" s="204">
        <f t="shared" ref="X25:Y28" si="28">$U25*X$31</f>
        <v>608.37</v>
      </c>
      <c r="Y25" s="268">
        <f t="shared" si="28"/>
        <v>603.32000000000005</v>
      </c>
      <c r="Z25" s="124">
        <f t="shared" si="9"/>
        <v>1211.69</v>
      </c>
      <c r="AA25" s="268">
        <f t="shared" ref="AA25:AE28" si="29">$U25*AA$31</f>
        <v>113.05</v>
      </c>
      <c r="AB25" s="204">
        <f t="shared" si="29"/>
        <v>0</v>
      </c>
      <c r="AC25" s="268">
        <f t="shared" si="29"/>
        <v>-133.18</v>
      </c>
      <c r="AD25" s="204">
        <f t="shared" si="29"/>
        <v>0</v>
      </c>
      <c r="AE25" s="268">
        <f t="shared" si="29"/>
        <v>-7.65</v>
      </c>
      <c r="AF25" s="7">
        <f t="shared" si="11"/>
        <v>1183.9100000000001</v>
      </c>
      <c r="AG25" s="7">
        <f>U25*AG$31</f>
        <v>-389.86</v>
      </c>
      <c r="AH25" s="7">
        <v>0</v>
      </c>
      <c r="AI25" s="124">
        <f t="shared" si="13"/>
        <v>-389.86</v>
      </c>
      <c r="AJ25" s="14">
        <f t="shared" si="14"/>
        <v>184516.77</v>
      </c>
      <c r="AK25" s="285"/>
      <c r="AL25" s="236"/>
      <c r="AM25" s="33">
        <f t="shared" si="15"/>
        <v>508379.82</v>
      </c>
      <c r="AN25" s="33">
        <f>(S25+AJ25)+((AJ25/AJ$31)*AO$49)</f>
        <v>639859.42000000004</v>
      </c>
      <c r="AO25" s="83"/>
      <c r="AP25" s="114">
        <v>310331.06</v>
      </c>
      <c r="AQ25" s="186">
        <v>369387.93</v>
      </c>
      <c r="AR25" s="192">
        <f>G25+'06.30.19'!AR25</f>
        <v>0</v>
      </c>
      <c r="AS25" s="114">
        <f t="shared" si="23"/>
        <v>131479.6</v>
      </c>
      <c r="AT25" s="137">
        <f>K25+'06.30.19'!AT25</f>
        <v>0</v>
      </c>
      <c r="AU25" s="137">
        <f>L25+'06.30.19'!AU25</f>
        <v>157.66999999999999</v>
      </c>
      <c r="AV25" s="84">
        <f t="shared" si="24"/>
        <v>157.66999999999999</v>
      </c>
      <c r="AW25" s="84">
        <f>N25+'06.30.19'!AW25</f>
        <v>0</v>
      </c>
      <c r="AX25" s="84">
        <f>O25+'06.30.19'!AX25</f>
        <v>0</v>
      </c>
      <c r="AY25" s="84">
        <f>P25+'06.30.19'!AY25</f>
        <v>0</v>
      </c>
      <c r="AZ25" s="84">
        <f t="shared" si="25"/>
        <v>0</v>
      </c>
      <c r="BA25" s="224">
        <v>183722.72</v>
      </c>
      <c r="BB25" s="137">
        <f>Z25+'06.30.19'!BB25</f>
        <v>1211.69</v>
      </c>
      <c r="BC25" s="137">
        <f>AA25+'06.30.19'!BC25</f>
        <v>113.05</v>
      </c>
      <c r="BD25" s="276">
        <f>AB25+'06.30.19'!BD25</f>
        <v>0</v>
      </c>
      <c r="BE25" s="280">
        <f>AC25+'06.30.19'!BE25</f>
        <v>-133.18</v>
      </c>
      <c r="BF25" s="276">
        <f>AD25+'06.30.19'!BF25</f>
        <v>0</v>
      </c>
      <c r="BG25" s="280">
        <f>AE25+'06.30.19'!BG25</f>
        <v>-7.65</v>
      </c>
      <c r="BH25" s="84">
        <f t="shared" si="26"/>
        <v>1183.9100000000001</v>
      </c>
      <c r="BI25" s="84">
        <f>AG25+'06.30.19'!BI25</f>
        <v>-389.86</v>
      </c>
      <c r="BJ25" s="84">
        <f>AH25+'06.30.19'!BJ25</f>
        <v>0</v>
      </c>
      <c r="BK25" s="116">
        <f t="shared" si="27"/>
        <v>-389.86</v>
      </c>
    </row>
    <row r="26" spans="1:63" s="82" customFormat="1" ht="16.149999999999999" customHeight="1">
      <c r="A26" s="159" t="s">
        <v>80</v>
      </c>
      <c r="B26" s="67" t="s">
        <v>140</v>
      </c>
      <c r="C26" s="179" t="s">
        <v>64</v>
      </c>
      <c r="D26" s="20" t="s">
        <v>12</v>
      </c>
      <c r="E26" s="314">
        <v>16438</v>
      </c>
      <c r="F26" s="45">
        <v>13562.64</v>
      </c>
      <c r="G26" s="9">
        <v>0</v>
      </c>
      <c r="H26" s="129">
        <f t="shared" si="0"/>
        <v>13562.64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6.61</v>
      </c>
      <c r="M26" s="9">
        <f t="shared" si="3"/>
        <v>6.61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13569.25</v>
      </c>
      <c r="S26" s="14">
        <f>(R26/(R$31-1575)*(S$31-1575))</f>
        <v>17151.490000000002</v>
      </c>
      <c r="T26" s="86">
        <v>9815.51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25.49</v>
      </c>
      <c r="Y26" s="268">
        <f t="shared" si="28"/>
        <v>25.28</v>
      </c>
      <c r="Z26" s="124">
        <f t="shared" si="9"/>
        <v>50.77</v>
      </c>
      <c r="AA26" s="268">
        <f t="shared" si="29"/>
        <v>4.74</v>
      </c>
      <c r="AB26" s="204">
        <f t="shared" si="29"/>
        <v>0</v>
      </c>
      <c r="AC26" s="268">
        <f t="shared" si="29"/>
        <v>-5.58</v>
      </c>
      <c r="AD26" s="204">
        <f t="shared" si="29"/>
        <v>0</v>
      </c>
      <c r="AE26" s="268">
        <f t="shared" si="29"/>
        <v>-0.32</v>
      </c>
      <c r="AF26" s="7">
        <f t="shared" si="11"/>
        <v>49.61</v>
      </c>
      <c r="AG26" s="7">
        <f>U26*AG$31</f>
        <v>-16.329999999999998</v>
      </c>
      <c r="AH26" s="7">
        <v>-381.11</v>
      </c>
      <c r="AI26" s="124">
        <f t="shared" si="13"/>
        <v>-397.44</v>
      </c>
      <c r="AJ26" s="14">
        <f t="shared" si="14"/>
        <v>9467.68</v>
      </c>
      <c r="AK26" s="233"/>
      <c r="AL26" s="284"/>
      <c r="AM26" s="33">
        <f t="shared" si="15"/>
        <v>23036.93</v>
      </c>
      <c r="AN26" s="33">
        <f>(S26+AJ26)+((AJ26/AJ$31)*AO$49)</f>
        <v>28978.48</v>
      </c>
      <c r="AO26" s="83"/>
      <c r="AP26" s="114">
        <v>13002.29</v>
      </c>
      <c r="AQ26" s="186">
        <v>15476.66</v>
      </c>
      <c r="AR26" s="192">
        <f>G26+'06.30.19'!AR26</f>
        <v>0</v>
      </c>
      <c r="AS26" s="114">
        <f t="shared" si="23"/>
        <v>5941.55</v>
      </c>
      <c r="AT26" s="137">
        <f>K26+'06.30.19'!AT26</f>
        <v>0</v>
      </c>
      <c r="AU26" s="137">
        <f>L26+'06.30.19'!AU26</f>
        <v>6.61</v>
      </c>
      <c r="AV26" s="84">
        <f t="shared" si="24"/>
        <v>6.61</v>
      </c>
      <c r="AW26" s="84">
        <f>N26+'06.30.19'!AW26</f>
        <v>0</v>
      </c>
      <c r="AX26" s="84">
        <f>O26+'06.30.19'!AX26</f>
        <v>0</v>
      </c>
      <c r="AY26" s="84">
        <f>P26+'06.30.19'!AY26</f>
        <v>0</v>
      </c>
      <c r="AZ26" s="84">
        <f t="shared" si="25"/>
        <v>0</v>
      </c>
      <c r="BA26" s="224">
        <v>9815.51</v>
      </c>
      <c r="BB26" s="137">
        <f>Z26+'06.30.19'!BB26</f>
        <v>50.77</v>
      </c>
      <c r="BC26" s="137">
        <f>AA26+'06.30.19'!BC26</f>
        <v>4.74</v>
      </c>
      <c r="BD26" s="276">
        <f>AB26+'06.30.19'!BD26</f>
        <v>0</v>
      </c>
      <c r="BE26" s="280">
        <f>AC26+'06.30.19'!BE26</f>
        <v>-5.58</v>
      </c>
      <c r="BF26" s="276">
        <f>AD26+'06.30.19'!BF26</f>
        <v>0</v>
      </c>
      <c r="BG26" s="280">
        <f>AE26+'06.30.19'!BG26</f>
        <v>-0.32</v>
      </c>
      <c r="BH26" s="84">
        <f t="shared" si="26"/>
        <v>49.61</v>
      </c>
      <c r="BI26" s="84">
        <f>AG26+'06.30.19'!BI26</f>
        <v>-16.329999999999998</v>
      </c>
      <c r="BJ26" s="84">
        <f>AH26+'06.30.19'!BJ26</f>
        <v>-381.11</v>
      </c>
      <c r="BK26" s="116">
        <f t="shared" si="27"/>
        <v>-397.44</v>
      </c>
    </row>
    <row r="27" spans="1:63" s="82" customFormat="1" ht="16.149999999999999" customHeight="1">
      <c r="A27" s="159" t="s">
        <v>80</v>
      </c>
      <c r="B27" s="67" t="s">
        <v>139</v>
      </c>
      <c r="C27" s="179" t="s">
        <v>64</v>
      </c>
      <c r="D27" s="20" t="s">
        <v>12</v>
      </c>
      <c r="E27" s="314">
        <v>16438</v>
      </c>
      <c r="F27" s="45">
        <v>13380.65</v>
      </c>
      <c r="G27" s="9">
        <v>0</v>
      </c>
      <c r="H27" s="129">
        <f t="shared" si="0"/>
        <v>13380.65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6.52</v>
      </c>
      <c r="M27" s="9">
        <f t="shared" si="3"/>
        <v>6.52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13387.17</v>
      </c>
      <c r="S27" s="14">
        <f>(R27/(R$31-1575)*(S$31-1575))</f>
        <v>16921.34</v>
      </c>
      <c r="T27" s="86">
        <v>7139.55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25.15</v>
      </c>
      <c r="Y27" s="268">
        <f t="shared" si="28"/>
        <v>24.94</v>
      </c>
      <c r="Z27" s="124">
        <f t="shared" si="9"/>
        <v>50.09</v>
      </c>
      <c r="AA27" s="268">
        <f t="shared" si="29"/>
        <v>4.67</v>
      </c>
      <c r="AB27" s="204">
        <f t="shared" si="29"/>
        <v>0</v>
      </c>
      <c r="AC27" s="268">
        <f t="shared" si="29"/>
        <v>-5.51</v>
      </c>
      <c r="AD27" s="204">
        <f t="shared" si="29"/>
        <v>0</v>
      </c>
      <c r="AE27" s="268">
        <f t="shared" si="29"/>
        <v>-0.32</v>
      </c>
      <c r="AF27" s="7">
        <f t="shared" si="11"/>
        <v>48.93</v>
      </c>
      <c r="AG27" s="7">
        <f>U27*AG$31</f>
        <v>-16.12</v>
      </c>
      <c r="AH27" s="7">
        <v>0</v>
      </c>
      <c r="AI27" s="124">
        <f t="shared" si="13"/>
        <v>-16.12</v>
      </c>
      <c r="AJ27" s="14">
        <f t="shared" si="14"/>
        <v>7172.36</v>
      </c>
      <c r="AK27" s="233" t="s">
        <v>120</v>
      </c>
      <c r="AL27" s="236" t="s">
        <v>115</v>
      </c>
      <c r="AM27" s="33">
        <f t="shared" si="15"/>
        <v>20559.53</v>
      </c>
      <c r="AN27" s="33">
        <f>(S27+AJ27)+((AJ27/AJ$31)*AO$49)</f>
        <v>25881.02</v>
      </c>
      <c r="AO27" s="83"/>
      <c r="AP27" s="114">
        <v>12827.82</v>
      </c>
      <c r="AQ27" s="186">
        <v>15268.99</v>
      </c>
      <c r="AR27" s="192">
        <f>G27+'06.30.19'!AR27</f>
        <v>0</v>
      </c>
      <c r="AS27" s="114">
        <f t="shared" si="23"/>
        <v>5321.49</v>
      </c>
      <c r="AT27" s="137">
        <f>K27+'06.30.19'!AT27</f>
        <v>0</v>
      </c>
      <c r="AU27" s="137">
        <f>L27+'06.30.19'!AU27</f>
        <v>6.52</v>
      </c>
      <c r="AV27" s="84">
        <f t="shared" si="24"/>
        <v>6.52</v>
      </c>
      <c r="AW27" s="84">
        <f>N27+'06.30.19'!AW27</f>
        <v>0</v>
      </c>
      <c r="AX27" s="84">
        <f>O27+'06.30.19'!AX27</f>
        <v>0</v>
      </c>
      <c r="AY27" s="84">
        <f>P27+'06.30.19'!AY27</f>
        <v>0</v>
      </c>
      <c r="AZ27" s="84">
        <f t="shared" si="25"/>
        <v>0</v>
      </c>
      <c r="BA27" s="224">
        <v>7139.55</v>
      </c>
      <c r="BB27" s="137">
        <f>Z27+'06.30.19'!BB27</f>
        <v>50.09</v>
      </c>
      <c r="BC27" s="137">
        <f>AA27+'06.30.19'!BC27</f>
        <v>4.67</v>
      </c>
      <c r="BD27" s="276">
        <f>AB27+'06.30.19'!BD27</f>
        <v>0</v>
      </c>
      <c r="BE27" s="280">
        <f>AC27+'06.30.19'!BE27</f>
        <v>-5.51</v>
      </c>
      <c r="BF27" s="276">
        <f>AD27+'06.30.19'!BF27</f>
        <v>0</v>
      </c>
      <c r="BG27" s="280">
        <f>AE27+'06.30.19'!BG27</f>
        <v>-0.32</v>
      </c>
      <c r="BH27" s="84">
        <f t="shared" si="26"/>
        <v>48.93</v>
      </c>
      <c r="BI27" s="84">
        <f>AG27+'06.30.19'!BI27</f>
        <v>-16.12</v>
      </c>
      <c r="BJ27" s="84">
        <f>AH27+'06.30.19'!BJ27</f>
        <v>0</v>
      </c>
      <c r="BK27" s="116">
        <f t="shared" si="27"/>
        <v>-16.12</v>
      </c>
    </row>
    <row r="28" spans="1:63" s="82" customFormat="1" ht="16.149999999999999" customHeight="1">
      <c r="A28" s="159" t="s">
        <v>80</v>
      </c>
      <c r="B28" s="67" t="s">
        <v>94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G28+'06.30.19'!AR28</f>
        <v>0</v>
      </c>
      <c r="AS28" s="114">
        <f t="shared" si="23"/>
        <v>0</v>
      </c>
      <c r="AT28" s="137">
        <f>K28+'06.30.19'!AT28</f>
        <v>0</v>
      </c>
      <c r="AU28" s="137">
        <f>L28+'06.30.19'!AU28</f>
        <v>0</v>
      </c>
      <c r="AV28" s="84">
        <f t="shared" si="24"/>
        <v>0</v>
      </c>
      <c r="AW28" s="84">
        <f>N28+'06.30.19'!AW28</f>
        <v>0</v>
      </c>
      <c r="AX28" s="84">
        <f>O28+'06.30.19'!AX28</f>
        <v>0</v>
      </c>
      <c r="AY28" s="84">
        <f>P28+'06.30.19'!AY28</f>
        <v>0</v>
      </c>
      <c r="AZ28" s="84">
        <f t="shared" si="25"/>
        <v>0</v>
      </c>
      <c r="BA28" s="224">
        <v>0</v>
      </c>
      <c r="BB28" s="137">
        <f>Z28+'06.30.19'!BB28</f>
        <v>0</v>
      </c>
      <c r="BC28" s="137">
        <f>AA28+'06.30.19'!BC28</f>
        <v>0</v>
      </c>
      <c r="BD28" s="276">
        <f>AB28+'06.30.19'!BD28</f>
        <v>0</v>
      </c>
      <c r="BE28" s="280">
        <f>AC28+'06.30.19'!BE28</f>
        <v>0</v>
      </c>
      <c r="BF28" s="276">
        <f>AD28+'06.30.19'!BF28</f>
        <v>0</v>
      </c>
      <c r="BG28" s="280">
        <f>AE28+'06.30.19'!BG28</f>
        <v>0</v>
      </c>
      <c r="BH28" s="84">
        <f t="shared" si="26"/>
        <v>0</v>
      </c>
      <c r="BI28" s="84">
        <f>AG28+'06.30.19'!BI28</f>
        <v>0</v>
      </c>
      <c r="BJ28" s="84">
        <f>AH28+'06.30.19'!BJ28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3704208.25</v>
      </c>
      <c r="G31" s="48">
        <f>SUM(G12:G29)</f>
        <v>0</v>
      </c>
      <c r="H31" s="130">
        <f>SUM(H12:H29)</f>
        <v>3704208.25</v>
      </c>
      <c r="I31" s="78">
        <f>SUM(I12:I30)</f>
        <v>1</v>
      </c>
      <c r="J31" s="115"/>
      <c r="K31" s="115">
        <v>0</v>
      </c>
      <c r="L31" s="115">
        <v>1803.44</v>
      </c>
      <c r="M31" s="48">
        <f>SUM(M12:M29)</f>
        <v>1803.44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3706011.69</v>
      </c>
      <c r="S31" s="49">
        <f>R31+AO45</f>
        <v>4683970.2</v>
      </c>
      <c r="T31" s="50">
        <f>SUM(T12:T29)</f>
        <v>2442372.21</v>
      </c>
      <c r="U31" s="51">
        <f>SUM(U12:U30)</f>
        <v>1</v>
      </c>
      <c r="V31" s="206">
        <v>0</v>
      </c>
      <c r="W31" s="306">
        <v>2442372.21</v>
      </c>
      <c r="X31" s="206">
        <f>1493.02+5465.7</f>
        <v>6958.72</v>
      </c>
      <c r="Y31" s="266">
        <f>4062.5+2838.4</f>
        <v>6900.9</v>
      </c>
      <c r="Z31" s="115">
        <f>SUM(Z12:Z29)</f>
        <v>13859.62</v>
      </c>
      <c r="AA31" s="272">
        <v>1293.05</v>
      </c>
      <c r="AB31" s="210">
        <v>0</v>
      </c>
      <c r="AC31" s="272">
        <v>-1523.4</v>
      </c>
      <c r="AD31" s="210">
        <v>0</v>
      </c>
      <c r="AE31" s="272">
        <v>-87.48</v>
      </c>
      <c r="AF31" s="48">
        <f>SUM(AF12:AF29)</f>
        <v>13541.79</v>
      </c>
      <c r="AG31" s="80">
        <f>-2695.2-1764.12</f>
        <v>-4459.32</v>
      </c>
      <c r="AH31" s="48">
        <f>SUM(AH12:AH30)</f>
        <v>-381.11</v>
      </c>
      <c r="AI31" s="115">
        <f>SUM(AI12:AI30)</f>
        <v>-4840.43</v>
      </c>
      <c r="AJ31" s="52">
        <f>SUM(AJ12:AJ30)</f>
        <v>2451073.5699999998</v>
      </c>
      <c r="AK31" s="210">
        <f>V31+X31+AB31+AD31-6958.72</f>
        <v>0</v>
      </c>
      <c r="AL31" s="305">
        <f>W31+Y31+AA31+AC31+AE31++AG31+AH31+6958.72</f>
        <v>2451073.5699999998</v>
      </c>
      <c r="AM31" s="35">
        <f>SUM(AM12:AM29)</f>
        <v>6157085.2599999998</v>
      </c>
      <c r="AN31" s="35">
        <f>3061871.66+4682395.2+1575</f>
        <v>7745841.8600000003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1588756.6</v>
      </c>
      <c r="AT31" s="115">
        <v>0</v>
      </c>
      <c r="AU31" s="115">
        <f t="shared" si="30"/>
        <v>1803.44</v>
      </c>
      <c r="AV31" s="48">
        <f t="shared" si="30"/>
        <v>1803.44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13859.62</v>
      </c>
      <c r="BC31" s="115">
        <f t="shared" si="30"/>
        <v>1293.05</v>
      </c>
      <c r="BD31" s="210">
        <f t="shared" si="30"/>
        <v>0</v>
      </c>
      <c r="BE31" s="272">
        <f t="shared" si="30"/>
        <v>-1523.4</v>
      </c>
      <c r="BF31" s="210">
        <f t="shared" si="30"/>
        <v>0</v>
      </c>
      <c r="BG31" s="272">
        <f t="shared" si="30"/>
        <v>-87.48</v>
      </c>
      <c r="BH31" s="48">
        <f t="shared" si="30"/>
        <v>13541.79</v>
      </c>
      <c r="BI31" s="48">
        <f t="shared" si="30"/>
        <v>-4459.32</v>
      </c>
      <c r="BJ31" s="48">
        <f t="shared" si="30"/>
        <v>-381.11</v>
      </c>
      <c r="BK31" s="73">
        <f t="shared" si="30"/>
        <v>-4840.43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3702633.25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3704436.69</v>
      </c>
      <c r="S34" s="259">
        <f>S31+S33</f>
        <v>4682395.2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6155510.2599999998</v>
      </c>
      <c r="AN34" s="259">
        <f>AN31+AN33</f>
        <v>7744266.8600000003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'06.30.19'!R31</f>
        <v>3704208.25</v>
      </c>
      <c r="G38" s="121">
        <f>SUM(G12:G29)</f>
        <v>0</v>
      </c>
      <c r="H38" s="121">
        <f>F31+G31+P31</f>
        <v>3704208.25</v>
      </c>
      <c r="I38" s="144">
        <v>1</v>
      </c>
      <c r="J38" s="121"/>
      <c r="K38" s="121">
        <f>SUM(K12:K29)</f>
        <v>0</v>
      </c>
      <c r="L38" s="121">
        <f>SUM(L12:L29)</f>
        <v>1803.44</v>
      </c>
      <c r="M38" s="121">
        <f>K31+L31</f>
        <v>1803.44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3706011.69</v>
      </c>
      <c r="S38" s="121">
        <f>SUM(S12:S29)</f>
        <v>4683970.2</v>
      </c>
      <c r="T38" s="121">
        <f>'06.30.19'!AJ31</f>
        <v>2442372.21</v>
      </c>
      <c r="U38" s="144">
        <v>1</v>
      </c>
      <c r="V38" s="229"/>
      <c r="W38" s="198"/>
      <c r="X38" s="121">
        <f t="shared" ref="X38:AE38" si="31">SUM(X12:X29)</f>
        <v>6958.72</v>
      </c>
      <c r="Y38" s="121">
        <f t="shared" si="31"/>
        <v>6900.9</v>
      </c>
      <c r="Z38" s="121">
        <f t="shared" si="31"/>
        <v>13859.62</v>
      </c>
      <c r="AA38" s="121">
        <f t="shared" si="31"/>
        <v>1293.05</v>
      </c>
      <c r="AB38" s="121">
        <f t="shared" si="31"/>
        <v>0</v>
      </c>
      <c r="AC38" s="121">
        <f t="shared" si="31"/>
        <v>-1523.4</v>
      </c>
      <c r="AD38" s="121">
        <f t="shared" si="31"/>
        <v>0</v>
      </c>
      <c r="AE38" s="121">
        <f t="shared" si="31"/>
        <v>-87.48</v>
      </c>
      <c r="AF38" s="121">
        <f>SUM(Z31:AE31)</f>
        <v>13541.79</v>
      </c>
      <c r="AG38" s="121">
        <f>SUM(AG12:AG29)</f>
        <v>-4459.32</v>
      </c>
      <c r="AH38" s="121">
        <f>SUM(AH12:AH29)</f>
        <v>-381.11</v>
      </c>
      <c r="AI38" s="121">
        <f>AG38+AH38</f>
        <v>-4840.43</v>
      </c>
      <c r="AJ38" s="121">
        <f>T31+AF31+AI31</f>
        <v>2451073.5699999998</v>
      </c>
      <c r="AK38" s="149"/>
      <c r="AL38" s="121"/>
      <c r="AM38" s="121">
        <f>R31+AJ31</f>
        <v>6157085.2599999998</v>
      </c>
      <c r="AN38" s="121">
        <f>SUM(AN12:AN29)</f>
        <v>7745841.8600000003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1803.44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13541.79</v>
      </c>
      <c r="BI38" s="146">
        <f>AG31</f>
        <v>-4459.32</v>
      </c>
      <c r="BJ38" s="146">
        <f>AH31</f>
        <v>-381.11</v>
      </c>
      <c r="BK38" s="146">
        <f>AI31</f>
        <v>-4840.43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0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0</v>
      </c>
      <c r="BI40" s="149">
        <f t="shared" si="33"/>
        <v>0</v>
      </c>
      <c r="BJ40" s="149">
        <f t="shared" si="33"/>
        <v>0</v>
      </c>
      <c r="BK40" s="149">
        <f t="shared" si="33"/>
        <v>0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'06.30.19'!AR31</f>
        <v>0</v>
      </c>
      <c r="AS41" s="141"/>
      <c r="AT41" s="141"/>
      <c r="AU41" s="141"/>
      <c r="AV41" s="141">
        <f>'06.30.19'!AV31</f>
        <v>0</v>
      </c>
      <c r="AW41" s="141">
        <f>'06.30.19'!AW31</f>
        <v>0</v>
      </c>
      <c r="AX41" s="141">
        <f>'06.30.19'!AX31</f>
        <v>0</v>
      </c>
      <c r="AY41" s="141">
        <f>'06.30.19'!AY31</f>
        <v>0</v>
      </c>
      <c r="AZ41" s="141">
        <f>'06.30.19'!AZ31</f>
        <v>0</v>
      </c>
      <c r="BA41" s="181"/>
      <c r="BB41" s="181"/>
      <c r="BC41" s="181"/>
      <c r="BD41" s="181"/>
      <c r="BE41" s="181"/>
      <c r="BF41" s="181"/>
      <c r="BG41" s="181"/>
      <c r="BH41" s="141">
        <f>'06.30.19'!BH31</f>
        <v>0</v>
      </c>
      <c r="BI41" s="141">
        <f>'06.30.19'!BI31</f>
        <v>0</v>
      </c>
      <c r="BJ41" s="141">
        <f>'06.30.19'!BJ31</f>
        <v>0</v>
      </c>
      <c r="BK41" s="141">
        <f>'06.30.19'!BK31</f>
        <v>0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 t="shared" si="35"/>
        <v>0</v>
      </c>
      <c r="AH42" s="298">
        <f t="shared" si="35"/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3704436.69</v>
      </c>
      <c r="AM45" s="289"/>
      <c r="AN45" s="289">
        <v>4682395.2</v>
      </c>
      <c r="AO45" s="307">
        <f>AN45-AL45</f>
        <v>977958.51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3704436.69</v>
      </c>
      <c r="AN46" s="289">
        <v>0</v>
      </c>
      <c r="AO46" s="307">
        <f>AN46-AL46</f>
        <v>0</v>
      </c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2350511.41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100562.16</v>
      </c>
      <c r="AM49" s="290">
        <f>AL48+AL49</f>
        <v>2451073.5699999998</v>
      </c>
      <c r="AN49" s="290">
        <v>3061871.66</v>
      </c>
      <c r="AO49" s="307">
        <f>AN49-AM49</f>
        <v>610798.09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6155510.2599999998</v>
      </c>
      <c r="AN51" s="296">
        <f>AN45+AN46+AN49</f>
        <v>7744266.8600000003</v>
      </c>
      <c r="AO51" s="308">
        <f>AO45+AO46+AO49</f>
        <v>1588756.6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sortState ref="A12:WWX28">
    <sortCondition ref="B12:B28"/>
  </sortState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BK55"/>
  <sheetViews>
    <sheetView topLeftCell="AD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147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65168.959999999999</v>
      </c>
      <c r="G12" s="9">
        <v>0</v>
      </c>
      <c r="H12" s="129">
        <f t="shared" ref="H12:H28" si="0">F12+G12+P12</f>
        <v>65168.959999999999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0</v>
      </c>
      <c r="M12" s="9">
        <f t="shared" ref="M12:M28" si="3">K12+L12</f>
        <v>0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65168.959999999999</v>
      </c>
      <c r="S12" s="14">
        <f t="shared" ref="S12:S23" si="7">(R12/(R$31-1575)*(S$31-1575))</f>
        <v>81874.31</v>
      </c>
      <c r="T12" s="86">
        <v>24294.23</v>
      </c>
      <c r="U12" s="79">
        <f t="shared" ref="U12:U28" si="8">I12</f>
        <v>1.7592139999999999E-2</v>
      </c>
      <c r="V12" s="203"/>
      <c r="W12" s="264"/>
      <c r="X12" s="204">
        <f>$U12*X$31</f>
        <v>90.74</v>
      </c>
      <c r="Y12" s="268">
        <f>$U12*Y$31</f>
        <v>54.96</v>
      </c>
      <c r="Z12" s="124">
        <f t="shared" ref="Z12:Z28" si="9">X12+Y12</f>
        <v>145.69999999999999</v>
      </c>
      <c r="AA12" s="268">
        <f t="shared" ref="AA12:AE23" si="10">$U12*AA$31</f>
        <v>0</v>
      </c>
      <c r="AB12" s="204">
        <f t="shared" si="10"/>
        <v>0</v>
      </c>
      <c r="AC12" s="268">
        <f t="shared" si="10"/>
        <v>0</v>
      </c>
      <c r="AD12" s="204">
        <f t="shared" si="10"/>
        <v>0</v>
      </c>
      <c r="AE12" s="268">
        <f t="shared" si="10"/>
        <v>0</v>
      </c>
      <c r="AF12" s="7">
        <f t="shared" ref="AF12:AF28" si="11">SUM(Z12:AE12)</f>
        <v>145.69999999999999</v>
      </c>
      <c r="AG12" s="7">
        <f t="shared" ref="AG12:AG23" si="12">U12*AG$31</f>
        <v>-80.099999999999994</v>
      </c>
      <c r="AH12" s="7">
        <v>0</v>
      </c>
      <c r="AI12" s="124">
        <f t="shared" ref="AI12:AI28" si="13">AG12+AH12</f>
        <v>-80.099999999999994</v>
      </c>
      <c r="AJ12" s="14">
        <f t="shared" ref="AJ12:AJ28" si="14">T12+AF12+AI12</f>
        <v>24359.83</v>
      </c>
      <c r="AK12" s="233"/>
      <c r="AL12" s="236"/>
      <c r="AM12" s="33">
        <f t="shared" ref="AM12:AM28" si="15">R12+AJ12</f>
        <v>89528.79</v>
      </c>
      <c r="AN12" s="33">
        <f t="shared" ref="AN12:AN23" si="16">(S12+AJ12)+((AJ12/AJ$31)*AO$49)</f>
        <v>112209.91</v>
      </c>
      <c r="AO12" s="83"/>
      <c r="AP12" s="114">
        <v>62445.99</v>
      </c>
      <c r="AQ12" s="186">
        <v>74329.64</v>
      </c>
      <c r="AR12" s="192">
        <f>G12+'07.31.19'!AR12</f>
        <v>0</v>
      </c>
      <c r="AS12" s="114">
        <f t="shared" ref="AS12:AS17" si="17">AN12-AM12</f>
        <v>22681.119999999999</v>
      </c>
      <c r="AT12" s="137">
        <f>K12+'07.31.19'!AT12</f>
        <v>0</v>
      </c>
      <c r="AU12" s="137">
        <f>L12+'07.31.19'!AU12</f>
        <v>31.73</v>
      </c>
      <c r="AV12" s="84">
        <f t="shared" ref="AV12:AV17" si="18">AT12+AU12</f>
        <v>31.73</v>
      </c>
      <c r="AW12" s="84">
        <f>N12+'07.31.19'!AW12</f>
        <v>0</v>
      </c>
      <c r="AX12" s="84">
        <f>O12+'07.31.19'!AX12</f>
        <v>0</v>
      </c>
      <c r="AY12" s="84">
        <f>P12+'07.31.19'!AY12</f>
        <v>0</v>
      </c>
      <c r="AZ12" s="84">
        <f t="shared" ref="AZ12:AZ17" si="19">AX12+AY12</f>
        <v>0</v>
      </c>
      <c r="BA12" s="224">
        <v>27434.37</v>
      </c>
      <c r="BB12" s="137">
        <f>Z12+'07.31.19'!BB12</f>
        <v>389.52</v>
      </c>
      <c r="BC12" s="137">
        <f>AA12+'07.31.19'!BC12</f>
        <v>22.75</v>
      </c>
      <c r="BD12" s="276">
        <f>AB12+'07.31.19'!BD12</f>
        <v>0</v>
      </c>
      <c r="BE12" s="280">
        <f>AC12+'07.31.19'!BE12</f>
        <v>-26.8</v>
      </c>
      <c r="BF12" s="276">
        <f>AD12+'07.31.19'!BF12</f>
        <v>0</v>
      </c>
      <c r="BG12" s="280">
        <f>AE12+'07.31.19'!BG12</f>
        <v>-1.54</v>
      </c>
      <c r="BH12" s="84">
        <f t="shared" ref="BH12:BH17" si="20">SUM(BB12:BG12)</f>
        <v>383.93</v>
      </c>
      <c r="BI12" s="84">
        <f>AG12+'07.31.19'!BI12</f>
        <v>-158.55000000000001</v>
      </c>
      <c r="BJ12" s="84">
        <f>AH12+'07.31.19'!BJ12</f>
        <v>-3299.92</v>
      </c>
      <c r="BK12" s="116">
        <f t="shared" ref="BK12:BK17" si="21">BI12+BJ12</f>
        <v>-3458.47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5149.7700000000004</v>
      </c>
      <c r="G13" s="9">
        <v>0</v>
      </c>
      <c r="H13" s="129">
        <f t="shared" si="0"/>
        <v>5149.7700000000004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0</v>
      </c>
      <c r="M13" s="9">
        <f t="shared" si="3"/>
        <v>0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5149.7700000000004</v>
      </c>
      <c r="S13" s="14">
        <f t="shared" si="7"/>
        <v>6469.86</v>
      </c>
      <c r="T13" s="86">
        <v>3739.29</v>
      </c>
      <c r="U13" s="79">
        <f t="shared" si="8"/>
        <v>1.3901600000000001E-3</v>
      </c>
      <c r="V13" s="203"/>
      <c r="W13" s="264"/>
      <c r="X13" s="204">
        <f>$U13*X$31</f>
        <v>7.17</v>
      </c>
      <c r="Y13" s="268">
        <f>$U13*Y$31</f>
        <v>4.34</v>
      </c>
      <c r="Z13" s="124">
        <f t="shared" si="9"/>
        <v>11.51</v>
      </c>
      <c r="AA13" s="268">
        <f t="shared" si="10"/>
        <v>0</v>
      </c>
      <c r="AB13" s="204">
        <f t="shared" si="10"/>
        <v>0</v>
      </c>
      <c r="AC13" s="268">
        <f t="shared" si="10"/>
        <v>0</v>
      </c>
      <c r="AD13" s="204">
        <f t="shared" si="10"/>
        <v>0</v>
      </c>
      <c r="AE13" s="268">
        <f t="shared" si="10"/>
        <v>0</v>
      </c>
      <c r="AF13" s="7">
        <f t="shared" si="11"/>
        <v>11.51</v>
      </c>
      <c r="AG13" s="7">
        <f t="shared" si="12"/>
        <v>-6.33</v>
      </c>
      <c r="AH13" s="7">
        <v>0</v>
      </c>
      <c r="AI13" s="124">
        <f t="shared" si="13"/>
        <v>-6.33</v>
      </c>
      <c r="AJ13" s="14">
        <f t="shared" si="14"/>
        <v>3744.47</v>
      </c>
      <c r="AK13" s="233"/>
      <c r="AL13" s="236"/>
      <c r="AM13" s="33">
        <f t="shared" si="15"/>
        <v>8894.24</v>
      </c>
      <c r="AN13" s="33">
        <f t="shared" si="16"/>
        <v>11132.9</v>
      </c>
      <c r="AO13" s="83"/>
      <c r="AP13" s="114">
        <v>4934.59</v>
      </c>
      <c r="AQ13" s="186">
        <v>5873.66</v>
      </c>
      <c r="AR13" s="192">
        <f>G13+'07.31.19'!AR13</f>
        <v>0</v>
      </c>
      <c r="AS13" s="114">
        <f t="shared" si="17"/>
        <v>2238.66</v>
      </c>
      <c r="AT13" s="137">
        <f>K13+'07.31.19'!AT13</f>
        <v>0</v>
      </c>
      <c r="AU13" s="137">
        <f>L13+'07.31.19'!AU13</f>
        <v>2.5099999999999998</v>
      </c>
      <c r="AV13" s="84">
        <f t="shared" si="18"/>
        <v>2.5099999999999998</v>
      </c>
      <c r="AW13" s="84">
        <f>N13+'07.31.19'!AW13</f>
        <v>0</v>
      </c>
      <c r="AX13" s="84">
        <f>O13+'07.31.19'!AX13</f>
        <v>0</v>
      </c>
      <c r="AY13" s="84">
        <f>P13+'07.31.19'!AY13</f>
        <v>0</v>
      </c>
      <c r="AZ13" s="84">
        <f t="shared" si="19"/>
        <v>0</v>
      </c>
      <c r="BA13" s="224">
        <v>3726.67</v>
      </c>
      <c r="BB13" s="137">
        <f>Z13+'07.31.19'!BB13</f>
        <v>30.77</v>
      </c>
      <c r="BC13" s="137">
        <f>AA13+'07.31.19'!BC13</f>
        <v>1.8</v>
      </c>
      <c r="BD13" s="276">
        <f>AB13+'07.31.19'!BD13</f>
        <v>0</v>
      </c>
      <c r="BE13" s="280">
        <f>AC13+'07.31.19'!BE13</f>
        <v>-2.12</v>
      </c>
      <c r="BF13" s="276">
        <f>AD13+'07.31.19'!BF13</f>
        <v>0</v>
      </c>
      <c r="BG13" s="280">
        <f>AE13+'07.31.19'!BG13</f>
        <v>-0.12</v>
      </c>
      <c r="BH13" s="84">
        <f t="shared" si="20"/>
        <v>30.33</v>
      </c>
      <c r="BI13" s="84">
        <f>AG13+'07.31.19'!BI13</f>
        <v>-12.53</v>
      </c>
      <c r="BJ13" s="84">
        <f>AH13+'07.31.19'!BJ13</f>
        <v>0</v>
      </c>
      <c r="BK13" s="116">
        <f t="shared" si="21"/>
        <v>-12.53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378969.11</v>
      </c>
      <c r="G14" s="9">
        <v>0</v>
      </c>
      <c r="H14" s="129">
        <f t="shared" si="0"/>
        <v>378969.11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0</v>
      </c>
      <c r="M14" s="9">
        <f t="shared" si="3"/>
        <v>0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378969.11</v>
      </c>
      <c r="S14" s="14">
        <f t="shared" si="7"/>
        <v>476113.72</v>
      </c>
      <c r="T14" s="86">
        <v>322568.96999999997</v>
      </c>
      <c r="U14" s="79">
        <f t="shared" si="8"/>
        <v>0.10230141</v>
      </c>
      <c r="V14" s="304"/>
      <c r="W14" s="304"/>
      <c r="X14" s="204">
        <f>($U14*X$31)</f>
        <v>527.66</v>
      </c>
      <c r="Y14" s="268">
        <f>($U14*Y$31)</f>
        <v>319.61</v>
      </c>
      <c r="Z14" s="124">
        <f t="shared" si="9"/>
        <v>847.27</v>
      </c>
      <c r="AA14" s="268">
        <f t="shared" si="10"/>
        <v>0</v>
      </c>
      <c r="AB14" s="204">
        <f t="shared" si="10"/>
        <v>0</v>
      </c>
      <c r="AC14" s="268">
        <f t="shared" si="10"/>
        <v>0</v>
      </c>
      <c r="AD14" s="204">
        <f t="shared" si="10"/>
        <v>0</v>
      </c>
      <c r="AE14" s="268">
        <f t="shared" si="10"/>
        <v>0</v>
      </c>
      <c r="AF14" s="7">
        <f t="shared" si="11"/>
        <v>847.27</v>
      </c>
      <c r="AG14" s="7">
        <f t="shared" si="12"/>
        <v>-465.79</v>
      </c>
      <c r="AH14" s="7">
        <v>0</v>
      </c>
      <c r="AI14" s="124">
        <f t="shared" si="13"/>
        <v>-465.79</v>
      </c>
      <c r="AJ14" s="14">
        <f t="shared" si="14"/>
        <v>322950.45</v>
      </c>
      <c r="AK14" s="233"/>
      <c r="AL14" s="236"/>
      <c r="AM14" s="33">
        <f t="shared" si="15"/>
        <v>701919.56</v>
      </c>
      <c r="AN14" s="33">
        <f t="shared" si="16"/>
        <v>878287.97</v>
      </c>
      <c r="AO14" s="83"/>
      <c r="AP14" s="114">
        <v>363134.62</v>
      </c>
      <c r="AQ14" s="186">
        <v>432240.15</v>
      </c>
      <c r="AR14" s="192">
        <f>G14+'07.31.19'!AR14</f>
        <v>0</v>
      </c>
      <c r="AS14" s="114">
        <f t="shared" si="17"/>
        <v>176368.41</v>
      </c>
      <c r="AT14" s="137">
        <f>K14+'07.31.19'!AT14</f>
        <v>0</v>
      </c>
      <c r="AU14" s="137">
        <f>L14+'07.31.19'!AU14</f>
        <v>184.49</v>
      </c>
      <c r="AV14" s="84">
        <f t="shared" si="18"/>
        <v>184.49</v>
      </c>
      <c r="AW14" s="84">
        <f>N14+'07.31.19'!AW14</f>
        <v>0</v>
      </c>
      <c r="AX14" s="84">
        <f>O14+'07.31.19'!AX14</f>
        <v>0</v>
      </c>
      <c r="AY14" s="84">
        <f>P14+'07.31.19'!AY14</f>
        <v>0</v>
      </c>
      <c r="AZ14" s="84">
        <f t="shared" si="19"/>
        <v>0</v>
      </c>
      <c r="BA14" s="224">
        <v>321639.82</v>
      </c>
      <c r="BB14" s="137">
        <f>Z14+'07.31.19'!BB14</f>
        <v>2265.13</v>
      </c>
      <c r="BC14" s="137">
        <f>AA14+'07.31.19'!BC14</f>
        <v>132.28</v>
      </c>
      <c r="BD14" s="276">
        <f>AB14+'07.31.19'!BD14</f>
        <v>0</v>
      </c>
      <c r="BE14" s="280">
        <f>AC14+'07.31.19'!BE14</f>
        <v>-155.85</v>
      </c>
      <c r="BF14" s="276">
        <f>AD14+'07.31.19'!BF14</f>
        <v>0</v>
      </c>
      <c r="BG14" s="280">
        <f>AE14+'07.31.19'!BG14</f>
        <v>-8.9499999999999993</v>
      </c>
      <c r="BH14" s="84">
        <f t="shared" si="20"/>
        <v>2232.61</v>
      </c>
      <c r="BI14" s="84">
        <f>AG14+'07.31.19'!BI14</f>
        <v>-921.98</v>
      </c>
      <c r="BJ14" s="84">
        <f>AH14+'07.31.19'!BJ14</f>
        <v>0</v>
      </c>
      <c r="BK14" s="116">
        <f t="shared" si="21"/>
        <v>-921.98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164129.37</v>
      </c>
      <c r="G15" s="9">
        <v>0</v>
      </c>
      <c r="H15" s="129">
        <f t="shared" si="0"/>
        <v>164129.37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0</v>
      </c>
      <c r="M15" s="9">
        <f t="shared" si="3"/>
        <v>0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164129.37</v>
      </c>
      <c r="S15" s="14">
        <f t="shared" si="7"/>
        <v>206202.15</v>
      </c>
      <c r="T15" s="86">
        <v>173126.06</v>
      </c>
      <c r="U15" s="79">
        <f t="shared" si="8"/>
        <v>4.4306159999999997E-2</v>
      </c>
      <c r="V15" s="203"/>
      <c r="W15" s="264"/>
      <c r="X15" s="204">
        <f t="shared" ref="X15:Y23" si="22">$U15*X$31</f>
        <v>228.53</v>
      </c>
      <c r="Y15" s="268">
        <f t="shared" si="22"/>
        <v>138.41999999999999</v>
      </c>
      <c r="Z15" s="124">
        <f t="shared" si="9"/>
        <v>366.95</v>
      </c>
      <c r="AA15" s="268">
        <f t="shared" si="10"/>
        <v>0</v>
      </c>
      <c r="AB15" s="204">
        <f t="shared" si="10"/>
        <v>0</v>
      </c>
      <c r="AC15" s="268">
        <f t="shared" si="10"/>
        <v>0</v>
      </c>
      <c r="AD15" s="204">
        <f t="shared" si="10"/>
        <v>0</v>
      </c>
      <c r="AE15" s="268">
        <f t="shared" si="10"/>
        <v>0</v>
      </c>
      <c r="AF15" s="7">
        <f t="shared" si="11"/>
        <v>366.95</v>
      </c>
      <c r="AG15" s="7">
        <f t="shared" si="12"/>
        <v>-201.73</v>
      </c>
      <c r="AH15" s="7">
        <v>0</v>
      </c>
      <c r="AI15" s="124">
        <f t="shared" si="13"/>
        <v>-201.73</v>
      </c>
      <c r="AJ15" s="14">
        <f t="shared" si="14"/>
        <v>173291.28</v>
      </c>
      <c r="AK15" s="233"/>
      <c r="AL15" s="236"/>
      <c r="AM15" s="33">
        <f t="shared" si="15"/>
        <v>337420.65</v>
      </c>
      <c r="AN15" s="33">
        <f t="shared" si="16"/>
        <v>422003.96</v>
      </c>
      <c r="AO15" s="83"/>
      <c r="AP15" s="114">
        <v>157271.56</v>
      </c>
      <c r="AQ15" s="186">
        <v>187200.78</v>
      </c>
      <c r="AR15" s="192">
        <f>G15+'07.31.19'!AR15</f>
        <v>0</v>
      </c>
      <c r="AS15" s="114">
        <f t="shared" si="17"/>
        <v>84583.31</v>
      </c>
      <c r="AT15" s="137">
        <f>K15+'07.31.19'!AT15</f>
        <v>0</v>
      </c>
      <c r="AU15" s="137">
        <f>L15+'07.31.19'!AU15</f>
        <v>79.900000000000006</v>
      </c>
      <c r="AV15" s="84">
        <f t="shared" si="18"/>
        <v>79.900000000000006</v>
      </c>
      <c r="AW15" s="84">
        <f>N15+'07.31.19'!AW15</f>
        <v>0</v>
      </c>
      <c r="AX15" s="84">
        <f>O15+'07.31.19'!AX15</f>
        <v>0</v>
      </c>
      <c r="AY15" s="84">
        <f>P15+'07.31.19'!AY15</f>
        <v>0</v>
      </c>
      <c r="AZ15" s="84">
        <f t="shared" si="19"/>
        <v>0</v>
      </c>
      <c r="BA15" s="224">
        <v>172723.67</v>
      </c>
      <c r="BB15" s="137">
        <f>Z15+'07.31.19'!BB15</f>
        <v>981.01</v>
      </c>
      <c r="BC15" s="137">
        <f>AA15+'07.31.19'!BC15</f>
        <v>57.29</v>
      </c>
      <c r="BD15" s="276">
        <f>AB15+'07.31.19'!BD15</f>
        <v>0</v>
      </c>
      <c r="BE15" s="280">
        <f>AC15+'07.31.19'!BE15</f>
        <v>-67.5</v>
      </c>
      <c r="BF15" s="276">
        <f>AD15+'07.31.19'!BF15</f>
        <v>0</v>
      </c>
      <c r="BG15" s="280">
        <f>AE15+'07.31.19'!BG15</f>
        <v>-3.88</v>
      </c>
      <c r="BH15" s="84">
        <f t="shared" si="20"/>
        <v>966.92</v>
      </c>
      <c r="BI15" s="84">
        <f>AG15+'07.31.19'!BI15</f>
        <v>-399.31</v>
      </c>
      <c r="BJ15" s="84">
        <f>AH15+'07.31.19'!BJ15</f>
        <v>0</v>
      </c>
      <c r="BK15" s="116">
        <f t="shared" si="21"/>
        <v>-399.31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10109.81</v>
      </c>
      <c r="G16" s="9">
        <v>0</v>
      </c>
      <c r="H16" s="129">
        <f t="shared" si="0"/>
        <v>10109.81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0</v>
      </c>
      <c r="M16" s="9">
        <f t="shared" si="3"/>
        <v>0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10109.81</v>
      </c>
      <c r="S16" s="14">
        <f t="shared" si="7"/>
        <v>12701.35</v>
      </c>
      <c r="T16" s="86">
        <v>7356.33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14.08</v>
      </c>
      <c r="Y16" s="268">
        <f t="shared" si="22"/>
        <v>8.5299999999999994</v>
      </c>
      <c r="Z16" s="124">
        <f t="shared" si="9"/>
        <v>22.61</v>
      </c>
      <c r="AA16" s="268">
        <f t="shared" si="10"/>
        <v>0</v>
      </c>
      <c r="AB16" s="204">
        <f t="shared" si="10"/>
        <v>0</v>
      </c>
      <c r="AC16" s="268">
        <f t="shared" si="10"/>
        <v>0</v>
      </c>
      <c r="AD16" s="204">
        <f t="shared" si="10"/>
        <v>0</v>
      </c>
      <c r="AE16" s="268">
        <f t="shared" si="10"/>
        <v>0</v>
      </c>
      <c r="AF16" s="7">
        <f t="shared" si="11"/>
        <v>22.61</v>
      </c>
      <c r="AG16" s="7">
        <f t="shared" si="12"/>
        <v>-12.43</v>
      </c>
      <c r="AH16" s="7">
        <v>0</v>
      </c>
      <c r="AI16" s="124">
        <f t="shared" si="13"/>
        <v>-12.43</v>
      </c>
      <c r="AJ16" s="14">
        <f t="shared" si="14"/>
        <v>7366.51</v>
      </c>
      <c r="AK16" s="233" t="s">
        <v>118</v>
      </c>
      <c r="AL16" s="236" t="s">
        <v>114</v>
      </c>
      <c r="AM16" s="33">
        <f t="shared" si="15"/>
        <v>17476.32</v>
      </c>
      <c r="AN16" s="33">
        <f t="shared" si="16"/>
        <v>21874.959999999999</v>
      </c>
      <c r="AO16" s="83"/>
      <c r="AP16" s="114">
        <v>9687.4</v>
      </c>
      <c r="AQ16" s="186">
        <v>11530.94</v>
      </c>
      <c r="AR16" s="192">
        <f>G16+'07.31.19'!AR16</f>
        <v>0</v>
      </c>
      <c r="AS16" s="114">
        <f t="shared" si="17"/>
        <v>4398.6400000000003</v>
      </c>
      <c r="AT16" s="137">
        <f>K16+'07.31.19'!AT16</f>
        <v>0</v>
      </c>
      <c r="AU16" s="137">
        <f>L16+'07.31.19'!AU16</f>
        <v>4.92</v>
      </c>
      <c r="AV16" s="84">
        <f t="shared" si="18"/>
        <v>4.92</v>
      </c>
      <c r="AW16" s="84">
        <f>N16+'07.31.19'!AW16</f>
        <v>0</v>
      </c>
      <c r="AX16" s="84">
        <f>O16+'07.31.19'!AX16</f>
        <v>0</v>
      </c>
      <c r="AY16" s="84">
        <f>P16+'07.31.19'!AY16</f>
        <v>0</v>
      </c>
      <c r="AZ16" s="84">
        <f t="shared" si="19"/>
        <v>0</v>
      </c>
      <c r="BA16" s="224">
        <v>7331.55</v>
      </c>
      <c r="BB16" s="137">
        <f>Z16+'07.31.19'!BB16</f>
        <v>60.43</v>
      </c>
      <c r="BC16" s="137">
        <f>AA16+'07.31.19'!BC16</f>
        <v>3.53</v>
      </c>
      <c r="BD16" s="276">
        <f>AB16+'07.31.19'!BD16</f>
        <v>0</v>
      </c>
      <c r="BE16" s="280">
        <f>AC16+'07.31.19'!BE16</f>
        <v>-4.16</v>
      </c>
      <c r="BF16" s="276">
        <f>AD16+'07.31.19'!BF16</f>
        <v>0</v>
      </c>
      <c r="BG16" s="280">
        <f>AE16+'07.31.19'!BG16</f>
        <v>-0.24</v>
      </c>
      <c r="BH16" s="84">
        <f t="shared" si="20"/>
        <v>59.56</v>
      </c>
      <c r="BI16" s="84">
        <f>AG16+'07.31.19'!BI16</f>
        <v>-24.6</v>
      </c>
      <c r="BJ16" s="84">
        <f>AH16+'07.31.19'!BJ16</f>
        <v>0</v>
      </c>
      <c r="BK16" s="116">
        <f t="shared" si="21"/>
        <v>-24.6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881.02</v>
      </c>
      <c r="G17" s="9">
        <v>0</v>
      </c>
      <c r="H17" s="129">
        <f t="shared" si="0"/>
        <v>881.02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0</v>
      </c>
      <c r="M17" s="9">
        <f t="shared" si="3"/>
        <v>0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881.02</v>
      </c>
      <c r="S17" s="14">
        <f t="shared" si="7"/>
        <v>1106.8599999999999</v>
      </c>
      <c r="T17" s="86">
        <v>652.39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1.23</v>
      </c>
      <c r="Y17" s="268">
        <f t="shared" si="22"/>
        <v>0.74</v>
      </c>
      <c r="Z17" s="124">
        <f t="shared" si="9"/>
        <v>1.97</v>
      </c>
      <c r="AA17" s="268">
        <f t="shared" si="10"/>
        <v>0</v>
      </c>
      <c r="AB17" s="204">
        <f t="shared" si="10"/>
        <v>0</v>
      </c>
      <c r="AC17" s="268">
        <f t="shared" si="10"/>
        <v>0</v>
      </c>
      <c r="AD17" s="204">
        <f t="shared" si="10"/>
        <v>0</v>
      </c>
      <c r="AE17" s="268">
        <f t="shared" si="10"/>
        <v>0</v>
      </c>
      <c r="AF17" s="7">
        <f t="shared" si="11"/>
        <v>1.97</v>
      </c>
      <c r="AG17" s="7">
        <f t="shared" si="12"/>
        <v>-1.08</v>
      </c>
      <c r="AH17" s="7">
        <v>0</v>
      </c>
      <c r="AI17" s="124">
        <f t="shared" si="13"/>
        <v>-1.08</v>
      </c>
      <c r="AJ17" s="14">
        <f t="shared" si="14"/>
        <v>653.28</v>
      </c>
      <c r="AK17" s="233" t="s">
        <v>129</v>
      </c>
      <c r="AL17" s="282" t="s">
        <v>128</v>
      </c>
      <c r="AM17" s="33">
        <f t="shared" si="15"/>
        <v>1534.3</v>
      </c>
      <c r="AN17" s="33">
        <f t="shared" si="16"/>
        <v>1920.4</v>
      </c>
      <c r="AO17" s="83"/>
      <c r="AP17" s="114">
        <v>844.21</v>
      </c>
      <c r="AQ17" s="186">
        <v>1004.87</v>
      </c>
      <c r="AR17" s="192">
        <f>G17+'07.31.19'!AR17</f>
        <v>0</v>
      </c>
      <c r="AS17" s="114">
        <f t="shared" si="17"/>
        <v>386.1</v>
      </c>
      <c r="AT17" s="137">
        <f>K17+'07.31.19'!AT17</f>
        <v>0</v>
      </c>
      <c r="AU17" s="137">
        <f>L17+'07.31.19'!AU17</f>
        <v>0.43</v>
      </c>
      <c r="AV17" s="84">
        <f t="shared" si="18"/>
        <v>0.43</v>
      </c>
      <c r="AW17" s="84">
        <f>N17+'07.31.19'!AW17</f>
        <v>0</v>
      </c>
      <c r="AX17" s="84">
        <f>O17+'07.31.19'!AX17</f>
        <v>0</v>
      </c>
      <c r="AY17" s="84">
        <f>P17+'07.31.19'!AY17</f>
        <v>0</v>
      </c>
      <c r="AZ17" s="84">
        <f t="shared" si="19"/>
        <v>0</v>
      </c>
      <c r="BA17" s="224">
        <v>650.23</v>
      </c>
      <c r="BB17" s="137">
        <f>Z17+'07.31.19'!BB17</f>
        <v>5.26</v>
      </c>
      <c r="BC17" s="137">
        <f>AA17+'07.31.19'!BC17</f>
        <v>0.31</v>
      </c>
      <c r="BD17" s="276">
        <f>AB17+'07.31.19'!BD17</f>
        <v>0</v>
      </c>
      <c r="BE17" s="280">
        <f>AC17+'07.31.19'!BE17</f>
        <v>-0.36</v>
      </c>
      <c r="BF17" s="276">
        <f>AD17+'07.31.19'!BF17</f>
        <v>0</v>
      </c>
      <c r="BG17" s="280">
        <f>AE17+'07.31.19'!BG17</f>
        <v>-0.02</v>
      </c>
      <c r="BH17" s="84">
        <f t="shared" si="20"/>
        <v>5.19</v>
      </c>
      <c r="BI17" s="84">
        <f>AG17+'07.31.19'!BI17</f>
        <v>-2.14</v>
      </c>
      <c r="BJ17" s="84">
        <f>AH17+'07.31.19'!BJ17</f>
        <v>0</v>
      </c>
      <c r="BK17" s="116">
        <f t="shared" si="21"/>
        <v>-2.14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27770.95</v>
      </c>
      <c r="G18" s="9">
        <v>0</v>
      </c>
      <c r="H18" s="129">
        <f t="shared" si="0"/>
        <v>27770.95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0</v>
      </c>
      <c r="M18" s="9">
        <f t="shared" si="3"/>
        <v>0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27770.95</v>
      </c>
      <c r="S18" s="14">
        <f t="shared" si="7"/>
        <v>34889.730000000003</v>
      </c>
      <c r="T18" s="86">
        <v>7312.9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38.67</v>
      </c>
      <c r="Y18" s="268">
        <f t="shared" si="22"/>
        <v>23.42</v>
      </c>
      <c r="Z18" s="124">
        <f t="shared" si="9"/>
        <v>62.09</v>
      </c>
      <c r="AA18" s="268">
        <f t="shared" si="10"/>
        <v>0</v>
      </c>
      <c r="AB18" s="204">
        <f t="shared" si="10"/>
        <v>0</v>
      </c>
      <c r="AC18" s="268">
        <f t="shared" si="10"/>
        <v>0</v>
      </c>
      <c r="AD18" s="204">
        <f t="shared" si="10"/>
        <v>0</v>
      </c>
      <c r="AE18" s="268">
        <f t="shared" si="10"/>
        <v>0</v>
      </c>
      <c r="AF18" s="7">
        <f t="shared" si="11"/>
        <v>62.09</v>
      </c>
      <c r="AG18" s="7">
        <f t="shared" si="12"/>
        <v>-34.130000000000003</v>
      </c>
      <c r="AH18" s="7">
        <v>0</v>
      </c>
      <c r="AI18" s="124">
        <f t="shared" si="13"/>
        <v>-34.130000000000003</v>
      </c>
      <c r="AJ18" s="14">
        <f t="shared" si="14"/>
        <v>7340.86</v>
      </c>
      <c r="AK18" s="281"/>
      <c r="AL18" s="281"/>
      <c r="AM18" s="33">
        <f t="shared" si="15"/>
        <v>35111.81</v>
      </c>
      <c r="AN18" s="33">
        <f t="shared" si="16"/>
        <v>44031.4</v>
      </c>
      <c r="AO18" s="83"/>
      <c r="AP18" s="114">
        <v>26610.59</v>
      </c>
      <c r="AQ18" s="186">
        <v>31674.66</v>
      </c>
      <c r="AR18" s="192">
        <f>G18+'07.31.19'!AR18</f>
        <v>0</v>
      </c>
      <c r="AS18" s="114">
        <f t="shared" ref="AS18:AS28" si="23">AN18-AM18</f>
        <v>8919.59</v>
      </c>
      <c r="AT18" s="137">
        <f>K18+'07.31.19'!AT18</f>
        <v>0</v>
      </c>
      <c r="AU18" s="137">
        <f>L18+'07.31.19'!AU18</f>
        <v>13.52</v>
      </c>
      <c r="AV18" s="84">
        <f t="shared" ref="AV18:AV28" si="24">AT18+AU18</f>
        <v>13.52</v>
      </c>
      <c r="AW18" s="84">
        <f>N18+'07.31.19'!AW18</f>
        <v>0</v>
      </c>
      <c r="AX18" s="84">
        <f>O18+'07.31.19'!AX18</f>
        <v>0</v>
      </c>
      <c r="AY18" s="84">
        <f>P18+'07.31.19'!AY18</f>
        <v>0</v>
      </c>
      <c r="AZ18" s="84">
        <f t="shared" ref="AZ18:AZ28" si="25">AX18+AY18</f>
        <v>0</v>
      </c>
      <c r="BA18" s="224">
        <v>7244.82</v>
      </c>
      <c r="BB18" s="137">
        <f>Z18+'07.31.19'!BB18</f>
        <v>165.99</v>
      </c>
      <c r="BC18" s="137">
        <f>AA18+'07.31.19'!BC18</f>
        <v>9.69</v>
      </c>
      <c r="BD18" s="276">
        <f>AB18+'07.31.19'!BD18</f>
        <v>0</v>
      </c>
      <c r="BE18" s="280">
        <f>AC18+'07.31.19'!BE18</f>
        <v>-11.42</v>
      </c>
      <c r="BF18" s="276">
        <f>AD18+'07.31.19'!BF18</f>
        <v>0</v>
      </c>
      <c r="BG18" s="280">
        <f>AE18+'07.31.19'!BG18</f>
        <v>-0.66</v>
      </c>
      <c r="BH18" s="84">
        <f t="shared" ref="BH18:BH28" si="26">SUM(BB18:BG18)</f>
        <v>163.6</v>
      </c>
      <c r="BI18" s="84">
        <f>AG18+'07.31.19'!BI18</f>
        <v>-67.56</v>
      </c>
      <c r="BJ18" s="84">
        <f>AH18+'07.31.19'!BJ18</f>
        <v>0</v>
      </c>
      <c r="BK18" s="116">
        <f t="shared" ref="BK18:BK28" si="27">BI18+BJ18</f>
        <v>-67.56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93803.3</v>
      </c>
      <c r="G19" s="9">
        <v>0</v>
      </c>
      <c r="H19" s="129">
        <f t="shared" si="0"/>
        <v>93803.3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0</v>
      </c>
      <c r="M19" s="9">
        <f t="shared" si="3"/>
        <v>0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93803.3</v>
      </c>
      <c r="S19" s="14">
        <f t="shared" si="7"/>
        <v>117848.76</v>
      </c>
      <c r="T19" s="86">
        <v>68173.23</v>
      </c>
      <c r="U19" s="79">
        <f t="shared" si="8"/>
        <v>2.5321880000000001E-2</v>
      </c>
      <c r="V19" s="203"/>
      <c r="W19" s="264"/>
      <c r="X19" s="204">
        <f t="shared" si="22"/>
        <v>130.61000000000001</v>
      </c>
      <c r="Y19" s="268">
        <f t="shared" si="22"/>
        <v>79.11</v>
      </c>
      <c r="Z19" s="124">
        <f t="shared" si="9"/>
        <v>209.72</v>
      </c>
      <c r="AA19" s="268">
        <f t="shared" si="10"/>
        <v>0</v>
      </c>
      <c r="AB19" s="204">
        <f t="shared" si="10"/>
        <v>0</v>
      </c>
      <c r="AC19" s="268">
        <f t="shared" si="10"/>
        <v>0</v>
      </c>
      <c r="AD19" s="204">
        <f t="shared" si="10"/>
        <v>0</v>
      </c>
      <c r="AE19" s="268">
        <f t="shared" si="10"/>
        <v>0</v>
      </c>
      <c r="AF19" s="7">
        <f t="shared" si="11"/>
        <v>209.72</v>
      </c>
      <c r="AG19" s="7">
        <f t="shared" si="12"/>
        <v>-115.29</v>
      </c>
      <c r="AH19" s="7">
        <v>0</v>
      </c>
      <c r="AI19" s="124">
        <f t="shared" si="13"/>
        <v>-115.29</v>
      </c>
      <c r="AJ19" s="14">
        <f t="shared" si="14"/>
        <v>68267.66</v>
      </c>
      <c r="AK19" s="233"/>
      <c r="AL19" s="237"/>
      <c r="AM19" s="33">
        <f t="shared" si="15"/>
        <v>162070.96</v>
      </c>
      <c r="AN19" s="33">
        <f t="shared" si="16"/>
        <v>202863.33</v>
      </c>
      <c r="AO19" s="83"/>
      <c r="AP19" s="114">
        <v>89883.9</v>
      </c>
      <c r="AQ19" s="186">
        <v>106989.06</v>
      </c>
      <c r="AR19" s="192">
        <f>G19+'07.31.19'!AR19</f>
        <v>0</v>
      </c>
      <c r="AS19" s="114">
        <f t="shared" si="23"/>
        <v>40792.370000000003</v>
      </c>
      <c r="AT19" s="137">
        <f>K19+'07.31.19'!AT19</f>
        <v>0</v>
      </c>
      <c r="AU19" s="137">
        <f>L19+'07.31.19'!AU19</f>
        <v>45.67</v>
      </c>
      <c r="AV19" s="84">
        <f t="shared" si="24"/>
        <v>45.67</v>
      </c>
      <c r="AW19" s="84">
        <f>N19+'07.31.19'!AW19</f>
        <v>0</v>
      </c>
      <c r="AX19" s="84">
        <f>O19+'07.31.19'!AX19</f>
        <v>0</v>
      </c>
      <c r="AY19" s="84">
        <f>P19+'07.31.19'!AY19</f>
        <v>0</v>
      </c>
      <c r="AZ19" s="84">
        <f t="shared" si="25"/>
        <v>0</v>
      </c>
      <c r="BA19" s="224">
        <v>67943.259999999995</v>
      </c>
      <c r="BB19" s="137">
        <f>Z19+'07.31.19'!BB19</f>
        <v>560.66999999999996</v>
      </c>
      <c r="BC19" s="137">
        <f>AA19+'07.31.19'!BC19</f>
        <v>32.74</v>
      </c>
      <c r="BD19" s="276">
        <f>AB19+'07.31.19'!BD19</f>
        <v>0</v>
      </c>
      <c r="BE19" s="280">
        <f>AC19+'07.31.19'!BE19</f>
        <v>-38.58</v>
      </c>
      <c r="BF19" s="276">
        <f>AD19+'07.31.19'!BF19</f>
        <v>0</v>
      </c>
      <c r="BG19" s="280">
        <f>AE19+'07.31.19'!BG19</f>
        <v>-2.2200000000000002</v>
      </c>
      <c r="BH19" s="84">
        <f t="shared" si="26"/>
        <v>552.61</v>
      </c>
      <c r="BI19" s="84">
        <f>AG19+'07.31.19'!BI19</f>
        <v>-228.21</v>
      </c>
      <c r="BJ19" s="84">
        <f>AH19+'07.31.19'!BJ19</f>
        <v>0</v>
      </c>
      <c r="BK19" s="116">
        <f t="shared" si="27"/>
        <v>-228.21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34715.58</v>
      </c>
      <c r="G20" s="9">
        <v>0</v>
      </c>
      <c r="H20" s="129">
        <f t="shared" si="0"/>
        <v>34715.58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0</v>
      </c>
      <c r="M20" s="9">
        <f t="shared" si="3"/>
        <v>0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34715.58</v>
      </c>
      <c r="S20" s="14">
        <f t="shared" si="7"/>
        <v>43614.54</v>
      </c>
      <c r="T20" s="86">
        <v>18502.23</v>
      </c>
      <c r="U20" s="79">
        <f t="shared" si="8"/>
        <v>9.3713500000000005E-3</v>
      </c>
      <c r="V20" s="315"/>
      <c r="W20" s="315"/>
      <c r="X20" s="204">
        <f t="shared" si="22"/>
        <v>48.34</v>
      </c>
      <c r="Y20" s="268">
        <f t="shared" si="22"/>
        <v>29.28</v>
      </c>
      <c r="Z20" s="124">
        <f t="shared" si="9"/>
        <v>77.62</v>
      </c>
      <c r="AA20" s="268">
        <f t="shared" si="10"/>
        <v>0</v>
      </c>
      <c r="AB20" s="204">
        <f t="shared" si="10"/>
        <v>0</v>
      </c>
      <c r="AC20" s="268">
        <f t="shared" si="10"/>
        <v>0</v>
      </c>
      <c r="AD20" s="204">
        <f t="shared" si="10"/>
        <v>0</v>
      </c>
      <c r="AE20" s="268">
        <f t="shared" si="10"/>
        <v>0</v>
      </c>
      <c r="AF20" s="7">
        <f t="shared" si="11"/>
        <v>77.62</v>
      </c>
      <c r="AG20" s="7">
        <f t="shared" si="12"/>
        <v>-42.67</v>
      </c>
      <c r="AH20" s="7">
        <v>0</v>
      </c>
      <c r="AI20" s="124">
        <f t="shared" si="13"/>
        <v>-42.67</v>
      </c>
      <c r="AJ20" s="14">
        <f t="shared" si="14"/>
        <v>18537.18</v>
      </c>
      <c r="AK20" s="283"/>
      <c r="AL20" s="284"/>
      <c r="AM20" s="33">
        <f t="shared" si="15"/>
        <v>53252.76</v>
      </c>
      <c r="AN20" s="33">
        <f t="shared" si="16"/>
        <v>66699.12</v>
      </c>
      <c r="AO20" s="83"/>
      <c r="AP20" s="114">
        <v>33265.06</v>
      </c>
      <c r="AQ20" s="186">
        <v>39595.49</v>
      </c>
      <c r="AR20" s="192">
        <f>G20+'07.31.19'!AR20</f>
        <v>0</v>
      </c>
      <c r="AS20" s="114">
        <f t="shared" si="23"/>
        <v>13446.36</v>
      </c>
      <c r="AT20" s="137">
        <f>K20+'07.31.19'!AT20</f>
        <v>0</v>
      </c>
      <c r="AU20" s="137">
        <f>L20+'07.31.19'!AU20</f>
        <v>16.899999999999999</v>
      </c>
      <c r="AV20" s="84">
        <f t="shared" si="24"/>
        <v>16.899999999999999</v>
      </c>
      <c r="AW20" s="84">
        <f>N20+'07.31.19'!AW20</f>
        <v>0</v>
      </c>
      <c r="AX20" s="84">
        <f>O20+'07.31.19'!AX20</f>
        <v>0</v>
      </c>
      <c r="AY20" s="84">
        <f>P20+'07.31.19'!AY20</f>
        <v>0</v>
      </c>
      <c r="AZ20" s="84">
        <f t="shared" si="25"/>
        <v>0</v>
      </c>
      <c r="BA20" s="224">
        <v>18417.12</v>
      </c>
      <c r="BB20" s="137">
        <f>Z20+'07.31.19'!BB20</f>
        <v>207.5</v>
      </c>
      <c r="BC20" s="137">
        <f>AA20+'07.31.19'!BC20</f>
        <v>12.12</v>
      </c>
      <c r="BD20" s="276">
        <f>AB20+'07.31.19'!BD20</f>
        <v>0</v>
      </c>
      <c r="BE20" s="280">
        <f>AC20+'07.31.19'!BE20</f>
        <v>-14.28</v>
      </c>
      <c r="BF20" s="276">
        <f>AD20+'07.31.19'!BF20</f>
        <v>0</v>
      </c>
      <c r="BG20" s="280">
        <f>AE20+'07.31.19'!BG20</f>
        <v>-0.82</v>
      </c>
      <c r="BH20" s="84">
        <f t="shared" si="26"/>
        <v>204.52</v>
      </c>
      <c r="BI20" s="84">
        <f>AG20+'07.31.19'!BI20</f>
        <v>-84.46</v>
      </c>
      <c r="BJ20" s="84">
        <f>AH20+'07.31.19'!BJ20</f>
        <v>0</v>
      </c>
      <c r="BK20" s="116">
        <f t="shared" si="27"/>
        <v>-84.46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535241.81000000006</v>
      </c>
      <c r="G21" s="9">
        <v>0</v>
      </c>
      <c r="H21" s="129">
        <f t="shared" si="0"/>
        <v>535241.81000000006</v>
      </c>
      <c r="I21" s="76">
        <f t="shared" si="1"/>
        <v>0.14448669</v>
      </c>
      <c r="J21" s="128"/>
      <c r="K21" s="128">
        <f t="shared" si="2"/>
        <v>0</v>
      </c>
      <c r="L21" s="128">
        <f t="shared" si="2"/>
        <v>0</v>
      </c>
      <c r="M21" s="9">
        <f t="shared" si="3"/>
        <v>0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535241.81000000006</v>
      </c>
      <c r="S21" s="14">
        <f t="shared" si="7"/>
        <v>672445.23</v>
      </c>
      <c r="T21" s="86">
        <v>497604.39</v>
      </c>
      <c r="U21" s="79">
        <f t="shared" si="8"/>
        <v>0.14448669</v>
      </c>
      <c r="V21" s="203"/>
      <c r="W21" s="264"/>
      <c r="X21" s="204">
        <f t="shared" si="22"/>
        <v>745.25</v>
      </c>
      <c r="Y21" s="268">
        <f t="shared" si="22"/>
        <v>451.4</v>
      </c>
      <c r="Z21" s="124">
        <f t="shared" si="9"/>
        <v>1196.6500000000001</v>
      </c>
      <c r="AA21" s="268">
        <f t="shared" si="10"/>
        <v>0</v>
      </c>
      <c r="AB21" s="204">
        <f t="shared" si="10"/>
        <v>0</v>
      </c>
      <c r="AC21" s="268">
        <f t="shared" si="10"/>
        <v>0</v>
      </c>
      <c r="AD21" s="204">
        <f t="shared" si="10"/>
        <v>0</v>
      </c>
      <c r="AE21" s="268">
        <f t="shared" si="10"/>
        <v>0</v>
      </c>
      <c r="AF21" s="7">
        <f t="shared" si="11"/>
        <v>1196.6500000000001</v>
      </c>
      <c r="AG21" s="7">
        <f t="shared" si="12"/>
        <v>-657.86</v>
      </c>
      <c r="AH21" s="7">
        <v>0</v>
      </c>
      <c r="AI21" s="124">
        <f t="shared" si="13"/>
        <v>-657.86</v>
      </c>
      <c r="AJ21" s="14">
        <f t="shared" si="14"/>
        <v>498143.18</v>
      </c>
      <c r="AK21" s="285"/>
      <c r="AL21" s="236"/>
      <c r="AM21" s="33">
        <f t="shared" si="15"/>
        <v>1033384.99</v>
      </c>
      <c r="AN21" s="33">
        <f t="shared" si="16"/>
        <v>1292789.18</v>
      </c>
      <c r="AO21" s="83"/>
      <c r="AP21" s="114">
        <v>512877.8</v>
      </c>
      <c r="AQ21" s="186">
        <v>610479.87</v>
      </c>
      <c r="AR21" s="192">
        <f>G21+'07.31.19'!AR21</f>
        <v>0</v>
      </c>
      <c r="AS21" s="114">
        <f t="shared" si="23"/>
        <v>259404.19</v>
      </c>
      <c r="AT21" s="137">
        <f>K21+'07.31.19'!AT21</f>
        <v>0</v>
      </c>
      <c r="AU21" s="137">
        <f>L21+'07.31.19'!AU21</f>
        <v>260.57</v>
      </c>
      <c r="AV21" s="84">
        <f t="shared" si="24"/>
        <v>260.57</v>
      </c>
      <c r="AW21" s="84">
        <f>N21+'07.31.19'!AW21</f>
        <v>0</v>
      </c>
      <c r="AX21" s="84">
        <f>O21+'07.31.19'!AX21</f>
        <v>0</v>
      </c>
      <c r="AY21" s="84">
        <f>P21+'07.31.19'!AY21</f>
        <v>0</v>
      </c>
      <c r="AZ21" s="84">
        <f t="shared" si="25"/>
        <v>0</v>
      </c>
      <c r="BA21" s="224">
        <v>492992.17</v>
      </c>
      <c r="BB21" s="137">
        <f>Z21+'07.31.19'!BB21</f>
        <v>3199.18</v>
      </c>
      <c r="BC21" s="137">
        <f>AA21+'07.31.19'!BC21</f>
        <v>186.83</v>
      </c>
      <c r="BD21" s="276">
        <f>AB21+'07.31.19'!BD21</f>
        <v>0</v>
      </c>
      <c r="BE21" s="280">
        <f>AC21+'07.31.19'!BE21</f>
        <v>-220.11</v>
      </c>
      <c r="BF21" s="276">
        <f>AD21+'07.31.19'!BF21</f>
        <v>0</v>
      </c>
      <c r="BG21" s="280">
        <f>AE21+'07.31.19'!BG21</f>
        <v>-12.64</v>
      </c>
      <c r="BH21" s="84">
        <f t="shared" si="26"/>
        <v>3153.26</v>
      </c>
      <c r="BI21" s="84">
        <f>AG21+'07.31.19'!BI21</f>
        <v>-1302.17</v>
      </c>
      <c r="BJ21" s="84">
        <f>AH21+'07.31.19'!BJ21</f>
        <v>3299.92</v>
      </c>
      <c r="BK21" s="116">
        <f t="shared" si="27"/>
        <v>1997.75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547815.1</v>
      </c>
      <c r="G22" s="9">
        <v>0</v>
      </c>
      <c r="H22" s="129">
        <f t="shared" si="0"/>
        <v>547815.1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0</v>
      </c>
      <c r="M22" s="9">
        <f t="shared" si="3"/>
        <v>0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547815.1</v>
      </c>
      <c r="S22" s="14">
        <f t="shared" si="7"/>
        <v>688241.55</v>
      </c>
      <c r="T22" s="86">
        <v>422631.93</v>
      </c>
      <c r="U22" s="79">
        <f t="shared" si="8"/>
        <v>0.14788081</v>
      </c>
      <c r="V22" s="316"/>
      <c r="W22" s="317"/>
      <c r="X22" s="204">
        <f t="shared" si="22"/>
        <v>762.75</v>
      </c>
      <c r="Y22" s="268">
        <f t="shared" si="22"/>
        <v>462</v>
      </c>
      <c r="Z22" s="124">
        <f t="shared" si="9"/>
        <v>1224.75</v>
      </c>
      <c r="AA22" s="268">
        <f t="shared" si="10"/>
        <v>0</v>
      </c>
      <c r="AB22" s="204">
        <f t="shared" si="10"/>
        <v>0</v>
      </c>
      <c r="AC22" s="268">
        <f t="shared" si="10"/>
        <v>0</v>
      </c>
      <c r="AD22" s="204">
        <f t="shared" si="10"/>
        <v>0</v>
      </c>
      <c r="AE22" s="268">
        <f t="shared" si="10"/>
        <v>0</v>
      </c>
      <c r="AF22" s="7">
        <f t="shared" si="11"/>
        <v>1224.75</v>
      </c>
      <c r="AG22" s="7">
        <f t="shared" si="12"/>
        <v>-673.32</v>
      </c>
      <c r="AH22" s="7">
        <v>0</v>
      </c>
      <c r="AI22" s="124">
        <f t="shared" si="13"/>
        <v>-673.32</v>
      </c>
      <c r="AJ22" s="14">
        <f t="shared" si="14"/>
        <v>423183.35999999999</v>
      </c>
      <c r="AK22" s="283"/>
      <c r="AL22" s="284"/>
      <c r="AM22" s="33">
        <f t="shared" si="15"/>
        <v>970998.46</v>
      </c>
      <c r="AN22" s="33">
        <f t="shared" si="16"/>
        <v>1215237.1000000001</v>
      </c>
      <c r="AO22" s="83"/>
      <c r="AP22" s="114">
        <v>524925.73</v>
      </c>
      <c r="AQ22" s="186">
        <v>624820.56000000006</v>
      </c>
      <c r="AR22" s="192">
        <f>G22+'07.31.19'!AR22</f>
        <v>0</v>
      </c>
      <c r="AS22" s="114">
        <f t="shared" si="23"/>
        <v>244238.64</v>
      </c>
      <c r="AT22" s="137">
        <f>K22+'07.31.19'!AT22</f>
        <v>0</v>
      </c>
      <c r="AU22" s="137">
        <f>L22+'07.31.19'!AU22</f>
        <v>266.69</v>
      </c>
      <c r="AV22" s="84">
        <f t="shared" si="24"/>
        <v>266.69</v>
      </c>
      <c r="AW22" s="84">
        <f>N22+'07.31.19'!AW22</f>
        <v>0</v>
      </c>
      <c r="AX22" s="84">
        <f>O22+'07.31.19'!AX22</f>
        <v>0</v>
      </c>
      <c r="AY22" s="84">
        <f>P22+'07.31.19'!AY22</f>
        <v>0</v>
      </c>
      <c r="AZ22" s="84">
        <f t="shared" si="25"/>
        <v>0</v>
      </c>
      <c r="BA22" s="224">
        <v>421288.81</v>
      </c>
      <c r="BB22" s="137">
        <f>Z22+'07.31.19'!BB22</f>
        <v>3274.32</v>
      </c>
      <c r="BC22" s="137">
        <f>AA22+'07.31.19'!BC22</f>
        <v>191.22</v>
      </c>
      <c r="BD22" s="276">
        <f>AB22+'07.31.19'!BD22</f>
        <v>0</v>
      </c>
      <c r="BE22" s="280">
        <f>AC22+'07.31.19'!BE22</f>
        <v>-225.28</v>
      </c>
      <c r="BF22" s="276">
        <f>AD22+'07.31.19'!BF22</f>
        <v>0</v>
      </c>
      <c r="BG22" s="280">
        <f>AE22+'07.31.19'!BG22</f>
        <v>-12.94</v>
      </c>
      <c r="BH22" s="84">
        <f t="shared" si="26"/>
        <v>3227.32</v>
      </c>
      <c r="BI22" s="84">
        <f>AG22+'07.31.19'!BI22</f>
        <v>-1332.77</v>
      </c>
      <c r="BJ22" s="84">
        <f>AH22+'07.31.19'!BJ22</f>
        <v>0</v>
      </c>
      <c r="BK22" s="116">
        <f t="shared" si="27"/>
        <v>-1332.77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2833.37</v>
      </c>
      <c r="G23" s="9">
        <v>0</v>
      </c>
      <c r="H23" s="129">
        <f t="shared" si="0"/>
        <v>2833.37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0</v>
      </c>
      <c r="M23" s="9">
        <f t="shared" si="3"/>
        <v>0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2833.37</v>
      </c>
      <c r="S23" s="14">
        <f t="shared" si="7"/>
        <v>3559.67</v>
      </c>
      <c r="T23" s="86">
        <v>2018.12</v>
      </c>
      <c r="U23" s="79">
        <f t="shared" si="8"/>
        <v>7.6486000000000002E-4</v>
      </c>
      <c r="V23" s="203"/>
      <c r="W23" s="264"/>
      <c r="X23" s="204">
        <f t="shared" si="22"/>
        <v>3.95</v>
      </c>
      <c r="Y23" s="268">
        <f t="shared" si="22"/>
        <v>2.39</v>
      </c>
      <c r="Z23" s="124">
        <f t="shared" si="9"/>
        <v>6.34</v>
      </c>
      <c r="AA23" s="268">
        <f t="shared" si="10"/>
        <v>0</v>
      </c>
      <c r="AB23" s="204">
        <f t="shared" si="10"/>
        <v>0</v>
      </c>
      <c r="AC23" s="268">
        <f t="shared" si="10"/>
        <v>0</v>
      </c>
      <c r="AD23" s="204">
        <f t="shared" si="10"/>
        <v>0</v>
      </c>
      <c r="AE23" s="268">
        <f t="shared" si="10"/>
        <v>0</v>
      </c>
      <c r="AF23" s="7">
        <f t="shared" si="11"/>
        <v>6.34</v>
      </c>
      <c r="AG23" s="7">
        <f t="shared" si="12"/>
        <v>-3.48</v>
      </c>
      <c r="AH23" s="7">
        <v>0</v>
      </c>
      <c r="AI23" s="124">
        <f t="shared" si="13"/>
        <v>-3.48</v>
      </c>
      <c r="AJ23" s="14">
        <f t="shared" si="14"/>
        <v>2020.98</v>
      </c>
      <c r="AK23" s="285"/>
      <c r="AL23" s="236"/>
      <c r="AM23" s="33">
        <f t="shared" si="15"/>
        <v>4854.3500000000004</v>
      </c>
      <c r="AN23" s="33">
        <f t="shared" si="16"/>
        <v>6076.42</v>
      </c>
      <c r="AO23" s="83"/>
      <c r="AP23" s="114">
        <v>2714.97</v>
      </c>
      <c r="AQ23" s="186">
        <v>3231.64</v>
      </c>
      <c r="AR23" s="192">
        <f>G23+'07.31.19'!AR23</f>
        <v>0</v>
      </c>
      <c r="AS23" s="114">
        <f t="shared" si="23"/>
        <v>1222.07</v>
      </c>
      <c r="AT23" s="137">
        <f>K23+'07.31.19'!AT23</f>
        <v>0</v>
      </c>
      <c r="AU23" s="137">
        <f>L23+'07.31.19'!AU23</f>
        <v>1.38</v>
      </c>
      <c r="AV23" s="84">
        <f t="shared" si="24"/>
        <v>1.38</v>
      </c>
      <c r="AW23" s="84">
        <f>N23+'07.31.19'!AW23</f>
        <v>0</v>
      </c>
      <c r="AX23" s="84">
        <f>O23+'07.31.19'!AX23</f>
        <v>0</v>
      </c>
      <c r="AY23" s="84">
        <f>P23+'07.31.19'!AY23</f>
        <v>0</v>
      </c>
      <c r="AZ23" s="84">
        <f t="shared" si="25"/>
        <v>0</v>
      </c>
      <c r="BA23" s="224">
        <v>2011.18</v>
      </c>
      <c r="BB23" s="137">
        <f>Z23+'07.31.19'!BB23</f>
        <v>16.940000000000001</v>
      </c>
      <c r="BC23" s="137">
        <f>AA23+'07.31.19'!BC23</f>
        <v>0.99</v>
      </c>
      <c r="BD23" s="276">
        <f>AB23+'07.31.19'!BD23</f>
        <v>0</v>
      </c>
      <c r="BE23" s="280">
        <f>AC23+'07.31.19'!BE23</f>
        <v>-1.17</v>
      </c>
      <c r="BF23" s="276">
        <f>AD23+'07.31.19'!BF23</f>
        <v>0</v>
      </c>
      <c r="BG23" s="280">
        <f>AE23+'07.31.19'!BG23</f>
        <v>-7.0000000000000007E-2</v>
      </c>
      <c r="BH23" s="84">
        <f t="shared" si="26"/>
        <v>16.690000000000001</v>
      </c>
      <c r="BI23" s="84">
        <f>AG23+'07.31.19'!BI23</f>
        <v>-6.89</v>
      </c>
      <c r="BJ23" s="84">
        <f>AH23+'07.31.19'!BJ23</f>
        <v>0</v>
      </c>
      <c r="BK23" s="116">
        <f t="shared" si="27"/>
        <v>-6.89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1487029.07</v>
      </c>
      <c r="G24" s="9">
        <v>0</v>
      </c>
      <c r="H24" s="129">
        <f t="shared" si="0"/>
        <v>1487029.07</v>
      </c>
      <c r="I24" s="76">
        <f>H24/(H$31-1575)+0.00000001</f>
        <v>0.40141842</v>
      </c>
      <c r="J24" s="128"/>
      <c r="K24" s="128">
        <f>$I24*K$31</f>
        <v>0</v>
      </c>
      <c r="L24" s="128">
        <f>($I24*L$31)</f>
        <v>0</v>
      </c>
      <c r="M24" s="9">
        <f t="shared" si="3"/>
        <v>0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1487029.07</v>
      </c>
      <c r="S24" s="14">
        <f>(R24/(R$31-1575)*(S$31-1575))+0.01</f>
        <v>1868212.82</v>
      </c>
      <c r="T24" s="86">
        <v>701936.69</v>
      </c>
      <c r="U24" s="79">
        <f t="shared" si="8"/>
        <v>0.40141842</v>
      </c>
      <c r="V24" s="203"/>
      <c r="W24" s="264"/>
      <c r="X24" s="311">
        <f>($U24*X$31)-0.02</f>
        <v>2070.46</v>
      </c>
      <c r="Y24" s="312">
        <f>($U24*Y$31)</f>
        <v>1254.0999999999999</v>
      </c>
      <c r="Z24" s="313">
        <f t="shared" si="9"/>
        <v>3324.56</v>
      </c>
      <c r="AA24" s="312">
        <f>($U24*AA$31)</f>
        <v>0</v>
      </c>
      <c r="AB24" s="311">
        <f>($U24*AB$31)</f>
        <v>0</v>
      </c>
      <c r="AC24" s="312">
        <f>($U24*AC$31)</f>
        <v>0</v>
      </c>
      <c r="AD24" s="311">
        <f>($U24*AD$31)</f>
        <v>0</v>
      </c>
      <c r="AE24" s="312">
        <f>($U24*AE$31)</f>
        <v>0</v>
      </c>
      <c r="AF24" s="7">
        <f t="shared" si="11"/>
        <v>3324.56</v>
      </c>
      <c r="AG24" s="7">
        <f>(U24*AG$31)-0.01</f>
        <v>-1827.71</v>
      </c>
      <c r="AH24" s="7">
        <v>0</v>
      </c>
      <c r="AI24" s="124">
        <f t="shared" si="13"/>
        <v>-1827.71</v>
      </c>
      <c r="AJ24" s="14">
        <f t="shared" si="14"/>
        <v>703433.54</v>
      </c>
      <c r="AK24" s="285"/>
      <c r="AL24" s="236"/>
      <c r="AM24" s="33">
        <f t="shared" si="15"/>
        <v>2190462.61</v>
      </c>
      <c r="AN24" s="33">
        <f>((S24+AJ24)+((AJ24/AJ$31)*AO$49))-0.01</f>
        <v>2744207.42</v>
      </c>
      <c r="AO24" s="83"/>
      <c r="AP24" s="114">
        <v>1424896.51</v>
      </c>
      <c r="AQ24" s="186">
        <v>1696058.26</v>
      </c>
      <c r="AR24" s="192">
        <f>G24+'07.31.19'!AR24</f>
        <v>0</v>
      </c>
      <c r="AS24" s="114">
        <f t="shared" si="23"/>
        <v>553744.81000000006</v>
      </c>
      <c r="AT24" s="137">
        <f>K24+'07.31.19'!AT24</f>
        <v>0</v>
      </c>
      <c r="AU24" s="137">
        <f>L24+'07.31.19'!AU24</f>
        <v>723.93</v>
      </c>
      <c r="AV24" s="84">
        <f t="shared" si="24"/>
        <v>723.93</v>
      </c>
      <c r="AW24" s="84">
        <f>N24+'07.31.19'!AW24</f>
        <v>0</v>
      </c>
      <c r="AX24" s="84">
        <f>O24+'07.31.19'!AX24</f>
        <v>0</v>
      </c>
      <c r="AY24" s="84">
        <f>P24+'07.31.19'!AY24</f>
        <v>0</v>
      </c>
      <c r="AZ24" s="84">
        <f t="shared" si="25"/>
        <v>0</v>
      </c>
      <c r="BA24" s="224">
        <v>698290.76</v>
      </c>
      <c r="BB24" s="137">
        <f>Z24+'07.31.19'!BB24</f>
        <v>8888.09</v>
      </c>
      <c r="BC24" s="137">
        <f>AA24+'07.31.19'!BC24</f>
        <v>519.04</v>
      </c>
      <c r="BD24" s="276">
        <f>AB24+'07.31.19'!BD24</f>
        <v>0</v>
      </c>
      <c r="BE24" s="280">
        <f>AC24+'07.31.19'!BE24</f>
        <v>-611.5</v>
      </c>
      <c r="BF24" s="276">
        <f>AD24+'07.31.19'!BF24</f>
        <v>0</v>
      </c>
      <c r="BG24" s="280">
        <f>AE24+'07.31.19'!BG24</f>
        <v>-35.090000000000003</v>
      </c>
      <c r="BH24" s="84">
        <f t="shared" si="26"/>
        <v>8760.5400000000009</v>
      </c>
      <c r="BI24" s="84">
        <f>AG24+'07.31.19'!BI24</f>
        <v>-3617.76</v>
      </c>
      <c r="BJ24" s="84">
        <f>AH24+'07.31.19'!BJ24</f>
        <v>0</v>
      </c>
      <c r="BK24" s="116">
        <f t="shared" si="27"/>
        <v>-3617.76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323863.05</v>
      </c>
      <c r="G25" s="9">
        <v>0</v>
      </c>
      <c r="H25" s="129">
        <f t="shared" si="0"/>
        <v>323863.05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0</v>
      </c>
      <c r="M25" s="9">
        <f t="shared" si="3"/>
        <v>0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323863.05</v>
      </c>
      <c r="S25" s="14">
        <f>(R25/(R$31-1575)*(S$31-1575))</f>
        <v>406881.82</v>
      </c>
      <c r="T25" s="86">
        <v>184516.77</v>
      </c>
      <c r="U25" s="79">
        <f t="shared" si="8"/>
        <v>8.7425719999999998E-2</v>
      </c>
      <c r="V25" s="203"/>
      <c r="W25" s="264"/>
      <c r="X25" s="204">
        <f t="shared" ref="X25:Y28" si="28">$U25*X$31</f>
        <v>450.93</v>
      </c>
      <c r="Y25" s="268">
        <f t="shared" si="28"/>
        <v>273.13</v>
      </c>
      <c r="Z25" s="124">
        <f t="shared" si="9"/>
        <v>724.06</v>
      </c>
      <c r="AA25" s="268">
        <f t="shared" ref="AA25:AE28" si="29">$U25*AA$31</f>
        <v>0</v>
      </c>
      <c r="AB25" s="204">
        <f t="shared" si="29"/>
        <v>0</v>
      </c>
      <c r="AC25" s="268">
        <f t="shared" si="29"/>
        <v>0</v>
      </c>
      <c r="AD25" s="204">
        <f t="shared" si="29"/>
        <v>0</v>
      </c>
      <c r="AE25" s="268">
        <f t="shared" si="29"/>
        <v>0</v>
      </c>
      <c r="AF25" s="7">
        <f t="shared" si="11"/>
        <v>724.06</v>
      </c>
      <c r="AG25" s="7">
        <f>U25*AG$31</f>
        <v>-398.06</v>
      </c>
      <c r="AH25" s="7">
        <v>0</v>
      </c>
      <c r="AI25" s="124">
        <f t="shared" si="13"/>
        <v>-398.06</v>
      </c>
      <c r="AJ25" s="14">
        <f t="shared" si="14"/>
        <v>184842.77</v>
      </c>
      <c r="AK25" s="285"/>
      <c r="AL25" s="236"/>
      <c r="AM25" s="33">
        <f t="shared" si="15"/>
        <v>508705.82</v>
      </c>
      <c r="AN25" s="33">
        <f>(S25+AJ25)+((AJ25/AJ$31)*AO$49)</f>
        <v>637068.84</v>
      </c>
      <c r="AO25" s="83"/>
      <c r="AP25" s="114">
        <v>310331.06</v>
      </c>
      <c r="AQ25" s="186">
        <v>369387.93</v>
      </c>
      <c r="AR25" s="192">
        <f>G25+'07.31.19'!AR25</f>
        <v>0</v>
      </c>
      <c r="AS25" s="114">
        <f t="shared" si="23"/>
        <v>128363.02</v>
      </c>
      <c r="AT25" s="137">
        <f>K25+'07.31.19'!AT25</f>
        <v>0</v>
      </c>
      <c r="AU25" s="137">
        <f>L25+'07.31.19'!AU25</f>
        <v>157.66999999999999</v>
      </c>
      <c r="AV25" s="84">
        <f t="shared" si="24"/>
        <v>157.66999999999999</v>
      </c>
      <c r="AW25" s="84">
        <f>N25+'07.31.19'!AW25</f>
        <v>0</v>
      </c>
      <c r="AX25" s="84">
        <f>O25+'07.31.19'!AX25</f>
        <v>0</v>
      </c>
      <c r="AY25" s="84">
        <f>P25+'07.31.19'!AY25</f>
        <v>0</v>
      </c>
      <c r="AZ25" s="84">
        <f t="shared" si="25"/>
        <v>0</v>
      </c>
      <c r="BA25" s="224">
        <v>183722.72</v>
      </c>
      <c r="BB25" s="137">
        <f>Z25+'07.31.19'!BB25</f>
        <v>1935.75</v>
      </c>
      <c r="BC25" s="137">
        <f>AA25+'07.31.19'!BC25</f>
        <v>113.05</v>
      </c>
      <c r="BD25" s="276">
        <f>AB25+'07.31.19'!BD25</f>
        <v>0</v>
      </c>
      <c r="BE25" s="280">
        <f>AC25+'07.31.19'!BE25</f>
        <v>-133.18</v>
      </c>
      <c r="BF25" s="276">
        <f>AD25+'07.31.19'!BF25</f>
        <v>0</v>
      </c>
      <c r="BG25" s="280">
        <f>AE25+'07.31.19'!BG25</f>
        <v>-7.65</v>
      </c>
      <c r="BH25" s="84">
        <f t="shared" si="26"/>
        <v>1907.97</v>
      </c>
      <c r="BI25" s="84">
        <f>AG25+'07.31.19'!BI25</f>
        <v>-787.92</v>
      </c>
      <c r="BJ25" s="84">
        <f>AH25+'07.31.19'!BJ25</f>
        <v>0</v>
      </c>
      <c r="BK25" s="116">
        <f t="shared" si="27"/>
        <v>-787.92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13569.25</v>
      </c>
      <c r="G26" s="9">
        <v>0</v>
      </c>
      <c r="H26" s="129">
        <f t="shared" si="0"/>
        <v>13569.25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0</v>
      </c>
      <c r="M26" s="9">
        <f t="shared" si="3"/>
        <v>0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13569.25</v>
      </c>
      <c r="S26" s="14">
        <f>(R26/(R$31-1575)*(S$31-1575))</f>
        <v>17047.580000000002</v>
      </c>
      <c r="T26" s="86">
        <v>9467.68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18.89</v>
      </c>
      <c r="Y26" s="268">
        <f t="shared" si="28"/>
        <v>11.44</v>
      </c>
      <c r="Z26" s="124">
        <f t="shared" si="9"/>
        <v>30.33</v>
      </c>
      <c r="AA26" s="268">
        <f t="shared" si="29"/>
        <v>0</v>
      </c>
      <c r="AB26" s="204">
        <f t="shared" si="29"/>
        <v>0</v>
      </c>
      <c r="AC26" s="268">
        <f t="shared" si="29"/>
        <v>0</v>
      </c>
      <c r="AD26" s="204">
        <f t="shared" si="29"/>
        <v>0</v>
      </c>
      <c r="AE26" s="268">
        <f t="shared" si="29"/>
        <v>0</v>
      </c>
      <c r="AF26" s="7">
        <f t="shared" si="11"/>
        <v>30.33</v>
      </c>
      <c r="AG26" s="7">
        <f>U26*AG$31</f>
        <v>-16.68</v>
      </c>
      <c r="AH26" s="7">
        <v>0</v>
      </c>
      <c r="AI26" s="124">
        <f t="shared" si="13"/>
        <v>-16.68</v>
      </c>
      <c r="AJ26" s="14">
        <f t="shared" si="14"/>
        <v>9481.33</v>
      </c>
      <c r="AK26" s="233"/>
      <c r="AL26" s="284"/>
      <c r="AM26" s="33">
        <f t="shared" si="15"/>
        <v>23050.58</v>
      </c>
      <c r="AN26" s="33">
        <f>(S26+AJ26)+((AJ26/AJ$31)*AO$49)</f>
        <v>28854.799999999999</v>
      </c>
      <c r="AO26" s="83"/>
      <c r="AP26" s="114">
        <v>13002.29</v>
      </c>
      <c r="AQ26" s="186">
        <v>15476.66</v>
      </c>
      <c r="AR26" s="192">
        <f>G26+'07.31.19'!AR26</f>
        <v>0</v>
      </c>
      <c r="AS26" s="114">
        <f t="shared" si="23"/>
        <v>5804.22</v>
      </c>
      <c r="AT26" s="137">
        <f>K26+'07.31.19'!AT26</f>
        <v>0</v>
      </c>
      <c r="AU26" s="137">
        <f>L26+'07.31.19'!AU26</f>
        <v>6.61</v>
      </c>
      <c r="AV26" s="84">
        <f t="shared" si="24"/>
        <v>6.61</v>
      </c>
      <c r="AW26" s="84">
        <f>N26+'07.31.19'!AW26</f>
        <v>0</v>
      </c>
      <c r="AX26" s="84">
        <f>O26+'07.31.19'!AX26</f>
        <v>0</v>
      </c>
      <c r="AY26" s="84">
        <f>P26+'07.31.19'!AY26</f>
        <v>0</v>
      </c>
      <c r="AZ26" s="84">
        <f t="shared" si="25"/>
        <v>0</v>
      </c>
      <c r="BA26" s="224">
        <v>9815.51</v>
      </c>
      <c r="BB26" s="137">
        <f>Z26+'07.31.19'!BB26</f>
        <v>81.099999999999994</v>
      </c>
      <c r="BC26" s="137">
        <f>AA26+'07.31.19'!BC26</f>
        <v>4.74</v>
      </c>
      <c r="BD26" s="276">
        <f>AB26+'07.31.19'!BD26</f>
        <v>0</v>
      </c>
      <c r="BE26" s="280">
        <f>AC26+'07.31.19'!BE26</f>
        <v>-5.58</v>
      </c>
      <c r="BF26" s="276">
        <f>AD26+'07.31.19'!BF26</f>
        <v>0</v>
      </c>
      <c r="BG26" s="280">
        <f>AE26+'07.31.19'!BG26</f>
        <v>-0.32</v>
      </c>
      <c r="BH26" s="84">
        <f t="shared" si="26"/>
        <v>79.94</v>
      </c>
      <c r="BI26" s="84">
        <f>AG26+'07.31.19'!BI26</f>
        <v>-33.01</v>
      </c>
      <c r="BJ26" s="84">
        <f>AH26+'07.31.19'!BJ26</f>
        <v>-381.11</v>
      </c>
      <c r="BK26" s="116">
        <f t="shared" si="27"/>
        <v>-414.12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13387.17</v>
      </c>
      <c r="G27" s="9">
        <v>0</v>
      </c>
      <c r="H27" s="129">
        <f t="shared" si="0"/>
        <v>13387.17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0</v>
      </c>
      <c r="M27" s="9">
        <f t="shared" si="3"/>
        <v>0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13387.17</v>
      </c>
      <c r="S27" s="14">
        <f>(R27/(R$31-1575)*(S$31-1575))</f>
        <v>16818.830000000002</v>
      </c>
      <c r="T27" s="86">
        <v>7172.36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18.64</v>
      </c>
      <c r="Y27" s="268">
        <f t="shared" si="28"/>
        <v>11.29</v>
      </c>
      <c r="Z27" s="124">
        <f t="shared" si="9"/>
        <v>29.93</v>
      </c>
      <c r="AA27" s="268">
        <f t="shared" si="29"/>
        <v>0</v>
      </c>
      <c r="AB27" s="204">
        <f t="shared" si="29"/>
        <v>0</v>
      </c>
      <c r="AC27" s="268">
        <f t="shared" si="29"/>
        <v>0</v>
      </c>
      <c r="AD27" s="204">
        <f t="shared" si="29"/>
        <v>0</v>
      </c>
      <c r="AE27" s="268">
        <f t="shared" si="29"/>
        <v>0</v>
      </c>
      <c r="AF27" s="7">
        <f t="shared" si="11"/>
        <v>29.93</v>
      </c>
      <c r="AG27" s="7">
        <f>U27*AG$31</f>
        <v>-16.45</v>
      </c>
      <c r="AH27" s="7">
        <v>0</v>
      </c>
      <c r="AI27" s="124">
        <f t="shared" si="13"/>
        <v>-16.45</v>
      </c>
      <c r="AJ27" s="14">
        <f t="shared" si="14"/>
        <v>7185.84</v>
      </c>
      <c r="AK27" s="233" t="s">
        <v>120</v>
      </c>
      <c r="AL27" s="236" t="s">
        <v>115</v>
      </c>
      <c r="AM27" s="33">
        <f t="shared" si="15"/>
        <v>20573.009999999998</v>
      </c>
      <c r="AN27" s="33">
        <f>(S27+AJ27)+((AJ27/AJ$31)*AO$49)</f>
        <v>25767.45</v>
      </c>
      <c r="AO27" s="83"/>
      <c r="AP27" s="114">
        <v>12827.82</v>
      </c>
      <c r="AQ27" s="186">
        <v>15268.99</v>
      </c>
      <c r="AR27" s="192">
        <f>G27+'07.31.19'!AR27</f>
        <v>0</v>
      </c>
      <c r="AS27" s="114">
        <f t="shared" si="23"/>
        <v>5194.4399999999996</v>
      </c>
      <c r="AT27" s="137">
        <f>K27+'07.31.19'!AT27</f>
        <v>0</v>
      </c>
      <c r="AU27" s="137">
        <f>L27+'07.31.19'!AU27</f>
        <v>6.52</v>
      </c>
      <c r="AV27" s="84">
        <f t="shared" si="24"/>
        <v>6.52</v>
      </c>
      <c r="AW27" s="84">
        <f>N27+'07.31.19'!AW27</f>
        <v>0</v>
      </c>
      <c r="AX27" s="84">
        <f>O27+'07.31.19'!AX27</f>
        <v>0</v>
      </c>
      <c r="AY27" s="84">
        <f>P27+'07.31.19'!AY27</f>
        <v>0</v>
      </c>
      <c r="AZ27" s="84">
        <f t="shared" si="25"/>
        <v>0</v>
      </c>
      <c r="BA27" s="224">
        <v>7139.55</v>
      </c>
      <c r="BB27" s="137">
        <f>Z27+'07.31.19'!BB27</f>
        <v>80.02</v>
      </c>
      <c r="BC27" s="137">
        <f>AA27+'07.31.19'!BC27</f>
        <v>4.67</v>
      </c>
      <c r="BD27" s="276">
        <f>AB27+'07.31.19'!BD27</f>
        <v>0</v>
      </c>
      <c r="BE27" s="280">
        <f>AC27+'07.31.19'!BE27</f>
        <v>-5.51</v>
      </c>
      <c r="BF27" s="276">
        <f>AD27+'07.31.19'!BF27</f>
        <v>0</v>
      </c>
      <c r="BG27" s="280">
        <f>AE27+'07.31.19'!BG27</f>
        <v>-0.32</v>
      </c>
      <c r="BH27" s="84">
        <f t="shared" si="26"/>
        <v>78.86</v>
      </c>
      <c r="BI27" s="84">
        <f>AG27+'07.31.19'!BI27</f>
        <v>-32.57</v>
      </c>
      <c r="BJ27" s="84">
        <f>AH27+'07.31.19'!BJ27</f>
        <v>0</v>
      </c>
      <c r="BK27" s="116">
        <f t="shared" si="27"/>
        <v>-32.57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G28+'07.31.19'!AR28</f>
        <v>0</v>
      </c>
      <c r="AS28" s="114">
        <f t="shared" si="23"/>
        <v>0</v>
      </c>
      <c r="AT28" s="137">
        <f>K28+'07.31.19'!AT28</f>
        <v>0</v>
      </c>
      <c r="AU28" s="137">
        <f>L28+'07.31.19'!AU28</f>
        <v>0</v>
      </c>
      <c r="AV28" s="84">
        <f t="shared" si="24"/>
        <v>0</v>
      </c>
      <c r="AW28" s="84">
        <f>N28+'07.31.19'!AW28</f>
        <v>0</v>
      </c>
      <c r="AX28" s="84">
        <f>O28+'07.31.19'!AX28</f>
        <v>0</v>
      </c>
      <c r="AY28" s="84">
        <f>P28+'07.31.19'!AY28</f>
        <v>0</v>
      </c>
      <c r="AZ28" s="84">
        <f t="shared" si="25"/>
        <v>0</v>
      </c>
      <c r="BA28" s="224">
        <v>0</v>
      </c>
      <c r="BB28" s="137">
        <f>Z28+'07.31.19'!BB28</f>
        <v>0</v>
      </c>
      <c r="BC28" s="137">
        <f>AA28+'07.31.19'!BC28</f>
        <v>0</v>
      </c>
      <c r="BD28" s="276">
        <f>AB28+'07.31.19'!BD28</f>
        <v>0</v>
      </c>
      <c r="BE28" s="280">
        <f>AC28+'07.31.19'!BE28</f>
        <v>0</v>
      </c>
      <c r="BF28" s="276">
        <f>AD28+'07.31.19'!BF28</f>
        <v>0</v>
      </c>
      <c r="BG28" s="280">
        <f>AE28+'07.31.19'!BG28</f>
        <v>0</v>
      </c>
      <c r="BH28" s="84">
        <f t="shared" si="26"/>
        <v>0</v>
      </c>
      <c r="BI28" s="84">
        <f>AG28+'07.31.19'!BI28</f>
        <v>0</v>
      </c>
      <c r="BJ28" s="84">
        <f>AH28+'07.31.19'!BJ28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3706011.69</v>
      </c>
      <c r="G31" s="48">
        <f>SUM(G12:G29)</f>
        <v>0</v>
      </c>
      <c r="H31" s="130">
        <f>SUM(H12:H29)</f>
        <v>3706011.69</v>
      </c>
      <c r="I31" s="78">
        <f>SUM(I12:I30)</f>
        <v>1</v>
      </c>
      <c r="J31" s="115"/>
      <c r="K31" s="115">
        <v>0</v>
      </c>
      <c r="L31" s="115">
        <v>0</v>
      </c>
      <c r="M31" s="48">
        <f>SUM(M12:M29)</f>
        <v>0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3706011.69</v>
      </c>
      <c r="S31" s="49">
        <f>R31+AO45</f>
        <v>4655603.78</v>
      </c>
      <c r="T31" s="50">
        <f>SUM(T12:T29)</f>
        <v>2451073.5699999998</v>
      </c>
      <c r="U31" s="51">
        <f>SUM(U12:U30)</f>
        <v>1</v>
      </c>
      <c r="V31" s="206">
        <v>0</v>
      </c>
      <c r="W31" s="306">
        <v>2451073.5699999998</v>
      </c>
      <c r="X31" s="206">
        <f>1410.49+3747.41</f>
        <v>5157.8999999999996</v>
      </c>
      <c r="Y31" s="266">
        <f>1014.58+1222.98+886.6</f>
        <v>3124.16</v>
      </c>
      <c r="Z31" s="115">
        <f>SUM(Z12:Z29)</f>
        <v>8282.06</v>
      </c>
      <c r="AA31" s="272">
        <v>0</v>
      </c>
      <c r="AB31" s="210">
        <v>0</v>
      </c>
      <c r="AC31" s="272">
        <v>0</v>
      </c>
      <c r="AD31" s="210">
        <v>0</v>
      </c>
      <c r="AE31" s="272">
        <v>0</v>
      </c>
      <c r="AF31" s="48">
        <f>SUM(AF12:AF29)</f>
        <v>8282.06</v>
      </c>
      <c r="AG31" s="80">
        <f>-2746.78-1806.33</f>
        <v>-4553.1099999999997</v>
      </c>
      <c r="AH31" s="48">
        <f>SUM(AH12:AH30)</f>
        <v>0</v>
      </c>
      <c r="AI31" s="115">
        <f>SUM(AI12:AI30)</f>
        <v>-4553.1099999999997</v>
      </c>
      <c r="AJ31" s="52">
        <f>SUM(AJ12:AJ30)</f>
        <v>2454802.52</v>
      </c>
      <c r="AK31" s="210">
        <f>V31+X31+AB31+AD31-5157.9</f>
        <v>0</v>
      </c>
      <c r="AL31" s="305">
        <f>W31+Y31+AA31+AC31+AE31++AG31+AH31+5157.9</f>
        <v>2454802.52</v>
      </c>
      <c r="AM31" s="35">
        <f>SUM(AM12:AM29)</f>
        <v>6160814.21</v>
      </c>
      <c r="AN31" s="35">
        <f>3056996.38+4654028.78+1575</f>
        <v>7712600.1600000001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1551785.95</v>
      </c>
      <c r="AT31" s="115">
        <v>0</v>
      </c>
      <c r="AU31" s="115">
        <f t="shared" si="30"/>
        <v>1803.44</v>
      </c>
      <c r="AV31" s="48">
        <f t="shared" si="30"/>
        <v>1803.44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22141.68</v>
      </c>
      <c r="BC31" s="115">
        <f t="shared" si="30"/>
        <v>1293.05</v>
      </c>
      <c r="BD31" s="210">
        <f t="shared" si="30"/>
        <v>0</v>
      </c>
      <c r="BE31" s="272">
        <f t="shared" si="30"/>
        <v>-1523.4</v>
      </c>
      <c r="BF31" s="210">
        <f t="shared" si="30"/>
        <v>0</v>
      </c>
      <c r="BG31" s="272">
        <f t="shared" si="30"/>
        <v>-87.48</v>
      </c>
      <c r="BH31" s="48">
        <f t="shared" si="30"/>
        <v>21823.85</v>
      </c>
      <c r="BI31" s="48">
        <f t="shared" si="30"/>
        <v>-9012.43</v>
      </c>
      <c r="BJ31" s="48">
        <f t="shared" si="30"/>
        <v>-381.11</v>
      </c>
      <c r="BK31" s="73">
        <f t="shared" si="30"/>
        <v>-9393.5400000000009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3704436.69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3704436.69</v>
      </c>
      <c r="S34" s="259">
        <f>S31+S33</f>
        <v>4654028.78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6159239.21</v>
      </c>
      <c r="AN34" s="259">
        <f>AN31+AN33</f>
        <v>7711025.1600000001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'07.31.19'!R31</f>
        <v>3706011.69</v>
      </c>
      <c r="G38" s="121">
        <f>SUM(G12:G29)</f>
        <v>0</v>
      </c>
      <c r="H38" s="121">
        <f>F31+G31+P31</f>
        <v>3706011.69</v>
      </c>
      <c r="I38" s="144">
        <v>1</v>
      </c>
      <c r="J38" s="121"/>
      <c r="K38" s="121">
        <f>SUM(K12:K29)</f>
        <v>0</v>
      </c>
      <c r="L38" s="121">
        <f>SUM(L12:L29)</f>
        <v>0</v>
      </c>
      <c r="M38" s="121">
        <f>K31+L31</f>
        <v>0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3706011.69</v>
      </c>
      <c r="S38" s="121">
        <f>SUM(S12:S29)</f>
        <v>4655603.78</v>
      </c>
      <c r="T38" s="121">
        <f>'07.31.19'!AJ31</f>
        <v>2451073.5699999998</v>
      </c>
      <c r="U38" s="144">
        <v>1</v>
      </c>
      <c r="V38" s="229"/>
      <c r="W38" s="198"/>
      <c r="X38" s="121">
        <f t="shared" ref="X38:AE38" si="31">SUM(X12:X29)</f>
        <v>5157.8999999999996</v>
      </c>
      <c r="Y38" s="121">
        <f t="shared" si="31"/>
        <v>3124.16</v>
      </c>
      <c r="Z38" s="121">
        <f t="shared" si="31"/>
        <v>8282.06</v>
      </c>
      <c r="AA38" s="121">
        <f t="shared" si="31"/>
        <v>0</v>
      </c>
      <c r="AB38" s="121">
        <f t="shared" si="31"/>
        <v>0</v>
      </c>
      <c r="AC38" s="121">
        <f t="shared" si="31"/>
        <v>0</v>
      </c>
      <c r="AD38" s="121">
        <f t="shared" si="31"/>
        <v>0</v>
      </c>
      <c r="AE38" s="121">
        <f t="shared" si="31"/>
        <v>0</v>
      </c>
      <c r="AF38" s="121">
        <f>SUM(Z31:AE31)</f>
        <v>8282.06</v>
      </c>
      <c r="AG38" s="121">
        <f>SUM(AG12:AG29)</f>
        <v>-4553.1099999999997</v>
      </c>
      <c r="AH38" s="121">
        <f>SUM(AH12:AH29)</f>
        <v>0</v>
      </c>
      <c r="AI38" s="121">
        <f>AG38+AH38</f>
        <v>-4553.1099999999997</v>
      </c>
      <c r="AJ38" s="121">
        <f>T31+AF31+AI31</f>
        <v>2454802.52</v>
      </c>
      <c r="AK38" s="149"/>
      <c r="AL38" s="121"/>
      <c r="AM38" s="121">
        <f>R31+AJ31</f>
        <v>6160814.21</v>
      </c>
      <c r="AN38" s="121">
        <f>SUM(AN12:AN29)</f>
        <v>7712600.1600000001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0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8282.06</v>
      </c>
      <c r="BI38" s="146">
        <f>AG31</f>
        <v>-4553.1099999999997</v>
      </c>
      <c r="BJ38" s="146">
        <f>AH31</f>
        <v>0</v>
      </c>
      <c r="BK38" s="146">
        <f>AI31</f>
        <v>-4553.1099999999997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1803.44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13541.79</v>
      </c>
      <c r="BI40" s="149">
        <f t="shared" si="33"/>
        <v>-4459.32</v>
      </c>
      <c r="BJ40" s="149">
        <f t="shared" si="33"/>
        <v>-381.11</v>
      </c>
      <c r="BK40" s="149">
        <f t="shared" si="33"/>
        <v>-4840.43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'07.31.19'!AR31</f>
        <v>0</v>
      </c>
      <c r="AS41" s="141"/>
      <c r="AT41" s="141"/>
      <c r="AU41" s="141"/>
      <c r="AV41" s="141">
        <f>'07.31.19'!AV31</f>
        <v>1803.44</v>
      </c>
      <c r="AW41" s="141">
        <f>'07.31.19'!AW31</f>
        <v>0</v>
      </c>
      <c r="AX41" s="141">
        <f>'07.31.19'!AX31</f>
        <v>0</v>
      </c>
      <c r="AY41" s="141">
        <f>'07.31.19'!AY31</f>
        <v>0</v>
      </c>
      <c r="AZ41" s="141">
        <f>'07.31.19'!AZ31</f>
        <v>0</v>
      </c>
      <c r="BA41" s="181"/>
      <c r="BB41" s="181"/>
      <c r="BC41" s="181"/>
      <c r="BD41" s="181"/>
      <c r="BE41" s="181"/>
      <c r="BF41" s="181"/>
      <c r="BG41" s="181"/>
      <c r="BH41" s="141">
        <f>'07.31.19'!BH31</f>
        <v>13541.79</v>
      </c>
      <c r="BI41" s="141">
        <f>'07.31.19'!BI31</f>
        <v>-4459.32</v>
      </c>
      <c r="BJ41" s="141">
        <f>'07.31.19'!BJ31</f>
        <v>-381.11</v>
      </c>
      <c r="BK41" s="141">
        <f>'07.31.19'!BK31</f>
        <v>-4840.43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 t="shared" si="35"/>
        <v>0</v>
      </c>
      <c r="AH42" s="298">
        <f t="shared" si="35"/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3704436.69</v>
      </c>
      <c r="AM45" s="289"/>
      <c r="AN45" s="289">
        <v>4654028.78</v>
      </c>
      <c r="AO45" s="307">
        <f>AN45-AL45</f>
        <v>949592.09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3704436.69</v>
      </c>
      <c r="AN46" s="289">
        <v>0</v>
      </c>
      <c r="AO46" s="307">
        <f>AN46-AL46</f>
        <v>0</v>
      </c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2350511.41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104291.11</v>
      </c>
      <c r="AM49" s="290">
        <f>AL48+AL49</f>
        <v>2454802.52</v>
      </c>
      <c r="AN49" s="290">
        <v>3056996.38</v>
      </c>
      <c r="AO49" s="307">
        <f>AN49-AM49</f>
        <v>602193.86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6159239.21</v>
      </c>
      <c r="AN51" s="296">
        <f>AN45+AN46+AN49</f>
        <v>7711025.1600000001</v>
      </c>
      <c r="AO51" s="308">
        <f>AO45+AO46+AO49</f>
        <v>1551785.95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165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65168.959999999999</v>
      </c>
      <c r="G12" s="9">
        <v>0</v>
      </c>
      <c r="H12" s="129">
        <f t="shared" ref="H12:H28" si="0">F12+G12+P12</f>
        <v>65168.959999999999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357.85</v>
      </c>
      <c r="M12" s="9">
        <f t="shared" ref="M12:M28" si="3">K12+L12</f>
        <v>357.85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65526.81</v>
      </c>
      <c r="S12" s="14">
        <f t="shared" ref="S12:S23" si="7">(R12/(R$31-1575)*(S$31-1575))</f>
        <v>82508.460000000006</v>
      </c>
      <c r="T12" s="86">
        <v>24359.83</v>
      </c>
      <c r="U12" s="79">
        <f t="shared" ref="U12:U28" si="8">I12</f>
        <v>1.7592139999999999E-2</v>
      </c>
      <c r="V12" s="203"/>
      <c r="W12" s="264"/>
      <c r="X12" s="204">
        <f>$U12*X$31</f>
        <v>249.81</v>
      </c>
      <c r="Y12" s="268">
        <f>$U12*Y$31</f>
        <v>149.5</v>
      </c>
      <c r="Z12" s="124">
        <f t="shared" ref="Z12:Z28" si="9">X12+Y12</f>
        <v>399.31</v>
      </c>
      <c r="AA12" s="268">
        <f t="shared" ref="AA12:AE23" si="10">$U12*AA$31</f>
        <v>93.54</v>
      </c>
      <c r="AB12" s="204">
        <f t="shared" si="10"/>
        <v>-2.4300000000000002</v>
      </c>
      <c r="AC12" s="268">
        <f t="shared" si="10"/>
        <v>0</v>
      </c>
      <c r="AD12" s="204">
        <f t="shared" si="10"/>
        <v>-1.35</v>
      </c>
      <c r="AE12" s="268">
        <f t="shared" si="10"/>
        <v>-0.74</v>
      </c>
      <c r="AF12" s="7">
        <f t="shared" ref="AF12:AF28" si="11">SUM(Z12:AE12)</f>
        <v>488.33</v>
      </c>
      <c r="AG12" s="7">
        <f t="shared" ref="AG12:AG23" si="12">U12*AG$31</f>
        <v>-81.400000000000006</v>
      </c>
      <c r="AH12" s="7">
        <v>0</v>
      </c>
      <c r="AI12" s="124">
        <f t="shared" ref="AI12:AI28" si="13">AG12+AH12</f>
        <v>-81.400000000000006</v>
      </c>
      <c r="AJ12" s="14">
        <f t="shared" ref="AJ12:AJ28" si="14">T12+AF12+AI12</f>
        <v>24766.76</v>
      </c>
      <c r="AK12" s="233"/>
      <c r="AL12" s="236"/>
      <c r="AM12" s="33">
        <f t="shared" ref="AM12:AM28" si="15">R12+AJ12</f>
        <v>90293.57</v>
      </c>
      <c r="AN12" s="33">
        <f t="shared" ref="AN12:AN23" si="16">(S12+AJ12)+((AJ12/AJ$31)*AO$49)</f>
        <v>113617.59</v>
      </c>
      <c r="AO12" s="83"/>
      <c r="AP12" s="114">
        <v>62445.99</v>
      </c>
      <c r="AQ12" s="186">
        <v>74329.64</v>
      </c>
      <c r="AR12" s="192">
        <f>G12+'08.31.19'!AR12</f>
        <v>0</v>
      </c>
      <c r="AS12" s="114">
        <f t="shared" ref="AS12:AS17" si="17">AN12-AM12</f>
        <v>23324.02</v>
      </c>
      <c r="AT12" s="137">
        <f>K12+'08.31.19'!AT12</f>
        <v>0</v>
      </c>
      <c r="AU12" s="137">
        <f>L12+'08.31.19'!AU12</f>
        <v>389.58</v>
      </c>
      <c r="AV12" s="84">
        <f t="shared" ref="AV12:AV17" si="18">AT12+AU12</f>
        <v>389.58</v>
      </c>
      <c r="AW12" s="84">
        <f>N12+'08.31.19'!AW12</f>
        <v>0</v>
      </c>
      <c r="AX12" s="84">
        <f>O12+'08.31.19'!AX12</f>
        <v>0</v>
      </c>
      <c r="AY12" s="84">
        <f>P12+'08.31.19'!AY12</f>
        <v>0</v>
      </c>
      <c r="AZ12" s="84">
        <f t="shared" ref="AZ12:AZ17" si="19">AX12+AY12</f>
        <v>0</v>
      </c>
      <c r="BA12" s="224">
        <v>27434.37</v>
      </c>
      <c r="BB12" s="137">
        <f>Z12+'08.31.19'!BB12</f>
        <v>788.83</v>
      </c>
      <c r="BC12" s="137">
        <f>AA12+'08.31.19'!BC12</f>
        <v>116.29</v>
      </c>
      <c r="BD12" s="276">
        <f>AB12+'08.31.19'!BD12</f>
        <v>-2.4300000000000002</v>
      </c>
      <c r="BE12" s="280">
        <f>AC12+'08.31.19'!BE12</f>
        <v>-26.8</v>
      </c>
      <c r="BF12" s="276">
        <f>AD12+'08.31.19'!BF12</f>
        <v>-1.35</v>
      </c>
      <c r="BG12" s="280">
        <f>AE12+'08.31.19'!BG12</f>
        <v>-2.2799999999999998</v>
      </c>
      <c r="BH12" s="84">
        <f t="shared" ref="BH12:BH17" si="20">SUM(BB12:BG12)</f>
        <v>872.26</v>
      </c>
      <c r="BI12" s="84">
        <f>AG12+'08.31.19'!BI12</f>
        <v>-239.95</v>
      </c>
      <c r="BJ12" s="84">
        <f>AH12+'08.31.19'!BJ12</f>
        <v>-3299.92</v>
      </c>
      <c r="BK12" s="116">
        <f t="shared" ref="BK12:BK17" si="21">BI12+BJ12</f>
        <v>-3539.87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5149.7700000000004</v>
      </c>
      <c r="G13" s="9">
        <v>0</v>
      </c>
      <c r="H13" s="129">
        <f t="shared" si="0"/>
        <v>5149.7700000000004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28.28</v>
      </c>
      <c r="M13" s="9">
        <f t="shared" si="3"/>
        <v>28.28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5178.05</v>
      </c>
      <c r="S13" s="14">
        <f t="shared" si="7"/>
        <v>6519.97</v>
      </c>
      <c r="T13" s="86">
        <v>3744.47</v>
      </c>
      <c r="U13" s="79">
        <f t="shared" si="8"/>
        <v>1.3901600000000001E-3</v>
      </c>
      <c r="V13" s="203"/>
      <c r="W13" s="264"/>
      <c r="X13" s="204">
        <f>$U13*X$31</f>
        <v>19.739999999999998</v>
      </c>
      <c r="Y13" s="268">
        <f>$U13*Y$31</f>
        <v>11.81</v>
      </c>
      <c r="Z13" s="124">
        <f t="shared" si="9"/>
        <v>31.55</v>
      </c>
      <c r="AA13" s="268">
        <f t="shared" si="10"/>
        <v>7.39</v>
      </c>
      <c r="AB13" s="204">
        <f t="shared" si="10"/>
        <v>-0.19</v>
      </c>
      <c r="AC13" s="268">
        <f t="shared" si="10"/>
        <v>0</v>
      </c>
      <c r="AD13" s="204">
        <f t="shared" si="10"/>
        <v>-0.11</v>
      </c>
      <c r="AE13" s="268">
        <f t="shared" si="10"/>
        <v>-0.06</v>
      </c>
      <c r="AF13" s="7">
        <f t="shared" si="11"/>
        <v>38.58</v>
      </c>
      <c r="AG13" s="7">
        <f t="shared" si="12"/>
        <v>-6.43</v>
      </c>
      <c r="AH13" s="7">
        <v>0</v>
      </c>
      <c r="AI13" s="124">
        <f t="shared" si="13"/>
        <v>-6.43</v>
      </c>
      <c r="AJ13" s="14">
        <f t="shared" si="14"/>
        <v>3776.62</v>
      </c>
      <c r="AK13" s="233"/>
      <c r="AL13" s="236"/>
      <c r="AM13" s="33">
        <f t="shared" si="15"/>
        <v>8954.67</v>
      </c>
      <c r="AN13" s="33">
        <f t="shared" si="16"/>
        <v>11263.72</v>
      </c>
      <c r="AO13" s="83"/>
      <c r="AP13" s="114">
        <v>4934.59</v>
      </c>
      <c r="AQ13" s="186">
        <v>5873.66</v>
      </c>
      <c r="AR13" s="192">
        <f>G13+'08.31.19'!AR13</f>
        <v>0</v>
      </c>
      <c r="AS13" s="114">
        <f t="shared" si="17"/>
        <v>2309.0500000000002</v>
      </c>
      <c r="AT13" s="137">
        <f>K13+'08.31.19'!AT13</f>
        <v>0</v>
      </c>
      <c r="AU13" s="137">
        <f>L13+'08.31.19'!AU13</f>
        <v>30.79</v>
      </c>
      <c r="AV13" s="84">
        <f t="shared" si="18"/>
        <v>30.79</v>
      </c>
      <c r="AW13" s="84">
        <f>N13+'08.31.19'!AW13</f>
        <v>0</v>
      </c>
      <c r="AX13" s="84">
        <f>O13+'08.31.19'!AX13</f>
        <v>0</v>
      </c>
      <c r="AY13" s="84">
        <f>P13+'08.31.19'!AY13</f>
        <v>0</v>
      </c>
      <c r="AZ13" s="84">
        <f t="shared" si="19"/>
        <v>0</v>
      </c>
      <c r="BA13" s="224">
        <v>3726.67</v>
      </c>
      <c r="BB13" s="137">
        <f>Z13+'08.31.19'!BB13</f>
        <v>62.32</v>
      </c>
      <c r="BC13" s="137">
        <f>AA13+'08.31.19'!BC13</f>
        <v>9.19</v>
      </c>
      <c r="BD13" s="276">
        <f>AB13+'08.31.19'!BD13</f>
        <v>-0.19</v>
      </c>
      <c r="BE13" s="280">
        <f>AC13+'08.31.19'!BE13</f>
        <v>-2.12</v>
      </c>
      <c r="BF13" s="276">
        <f>AD13+'08.31.19'!BF13</f>
        <v>-0.11</v>
      </c>
      <c r="BG13" s="280">
        <f>AE13+'08.31.19'!BG13</f>
        <v>-0.18</v>
      </c>
      <c r="BH13" s="84">
        <f t="shared" si="20"/>
        <v>68.91</v>
      </c>
      <c r="BI13" s="84">
        <f>AG13+'08.31.19'!BI13</f>
        <v>-18.96</v>
      </c>
      <c r="BJ13" s="84">
        <f>AH13+'08.31.19'!BJ13</f>
        <v>0</v>
      </c>
      <c r="BK13" s="116">
        <f t="shared" si="21"/>
        <v>-18.96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378969.11</v>
      </c>
      <c r="G14" s="9">
        <v>0</v>
      </c>
      <c r="H14" s="129">
        <f t="shared" si="0"/>
        <v>378969.11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2080.94</v>
      </c>
      <c r="M14" s="9">
        <f t="shared" si="3"/>
        <v>2080.94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381050.05</v>
      </c>
      <c r="S14" s="14">
        <f t="shared" si="7"/>
        <v>479801.36</v>
      </c>
      <c r="T14" s="86">
        <v>322950.45</v>
      </c>
      <c r="U14" s="79">
        <f t="shared" si="8"/>
        <v>0.10230141</v>
      </c>
      <c r="V14" s="304"/>
      <c r="W14" s="304"/>
      <c r="X14" s="204">
        <f>($U14*X$31)</f>
        <v>1452.69</v>
      </c>
      <c r="Y14" s="268">
        <f>($U14*Y$31)</f>
        <v>869.38</v>
      </c>
      <c r="Z14" s="124">
        <f t="shared" si="9"/>
        <v>2322.0700000000002</v>
      </c>
      <c r="AA14" s="268">
        <f t="shared" si="10"/>
        <v>543.94000000000005</v>
      </c>
      <c r="AB14" s="204">
        <f t="shared" si="10"/>
        <v>-14.13</v>
      </c>
      <c r="AC14" s="268">
        <f t="shared" si="10"/>
        <v>0</v>
      </c>
      <c r="AD14" s="204">
        <f t="shared" si="10"/>
        <v>-7.84</v>
      </c>
      <c r="AE14" s="268">
        <f t="shared" si="10"/>
        <v>-4.29</v>
      </c>
      <c r="AF14" s="7">
        <f t="shared" si="11"/>
        <v>2839.75</v>
      </c>
      <c r="AG14" s="7">
        <f t="shared" si="12"/>
        <v>-473.37</v>
      </c>
      <c r="AH14" s="7">
        <v>0</v>
      </c>
      <c r="AI14" s="124">
        <f t="shared" si="13"/>
        <v>-473.37</v>
      </c>
      <c r="AJ14" s="14">
        <f t="shared" si="14"/>
        <v>325316.83</v>
      </c>
      <c r="AK14" s="233"/>
      <c r="AL14" s="236"/>
      <c r="AM14" s="33">
        <f t="shared" si="15"/>
        <v>706366.88</v>
      </c>
      <c r="AN14" s="33">
        <f t="shared" si="16"/>
        <v>888426.64</v>
      </c>
      <c r="AO14" s="83"/>
      <c r="AP14" s="114">
        <v>363134.62</v>
      </c>
      <c r="AQ14" s="186">
        <v>432240.15</v>
      </c>
      <c r="AR14" s="192">
        <f>G14+'08.31.19'!AR14</f>
        <v>0</v>
      </c>
      <c r="AS14" s="114">
        <f t="shared" si="17"/>
        <v>182059.76</v>
      </c>
      <c r="AT14" s="137">
        <f>K14+'08.31.19'!AT14</f>
        <v>0</v>
      </c>
      <c r="AU14" s="137">
        <f>L14+'08.31.19'!AU14</f>
        <v>2265.4299999999998</v>
      </c>
      <c r="AV14" s="84">
        <f t="shared" si="18"/>
        <v>2265.4299999999998</v>
      </c>
      <c r="AW14" s="84">
        <f>N14+'08.31.19'!AW14</f>
        <v>0</v>
      </c>
      <c r="AX14" s="84">
        <f>O14+'08.31.19'!AX14</f>
        <v>0</v>
      </c>
      <c r="AY14" s="84">
        <f>P14+'08.31.19'!AY14</f>
        <v>0</v>
      </c>
      <c r="AZ14" s="84">
        <f t="shared" si="19"/>
        <v>0</v>
      </c>
      <c r="BA14" s="224">
        <v>321639.82</v>
      </c>
      <c r="BB14" s="137">
        <f>Z14+'08.31.19'!BB14</f>
        <v>4587.2</v>
      </c>
      <c r="BC14" s="137">
        <f>AA14+'08.31.19'!BC14</f>
        <v>676.22</v>
      </c>
      <c r="BD14" s="276">
        <f>AB14+'08.31.19'!BD14</f>
        <v>-14.13</v>
      </c>
      <c r="BE14" s="280">
        <f>AC14+'08.31.19'!BE14</f>
        <v>-155.85</v>
      </c>
      <c r="BF14" s="276">
        <f>AD14+'08.31.19'!BF14</f>
        <v>-7.84</v>
      </c>
      <c r="BG14" s="280">
        <f>AE14+'08.31.19'!BG14</f>
        <v>-13.24</v>
      </c>
      <c r="BH14" s="84">
        <f t="shared" si="20"/>
        <v>5072.3599999999997</v>
      </c>
      <c r="BI14" s="84">
        <f>AG14+'08.31.19'!BI14</f>
        <v>-1395.35</v>
      </c>
      <c r="BJ14" s="84">
        <f>AH14+'08.31.19'!BJ14</f>
        <v>0</v>
      </c>
      <c r="BK14" s="116">
        <f t="shared" si="21"/>
        <v>-1395.35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164129.37</v>
      </c>
      <c r="G15" s="9">
        <v>0</v>
      </c>
      <c r="H15" s="129">
        <f t="shared" si="0"/>
        <v>164129.37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901.24</v>
      </c>
      <c r="M15" s="9">
        <f t="shared" si="3"/>
        <v>901.24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165030.60999999999</v>
      </c>
      <c r="S15" s="14">
        <f t="shared" si="7"/>
        <v>207799.24</v>
      </c>
      <c r="T15" s="86">
        <v>173291.28</v>
      </c>
      <c r="U15" s="79">
        <f t="shared" si="8"/>
        <v>4.4306159999999997E-2</v>
      </c>
      <c r="V15" s="203"/>
      <c r="W15" s="264"/>
      <c r="X15" s="204">
        <f t="shared" ref="X15:Y23" si="22">$U15*X$31</f>
        <v>629.15</v>
      </c>
      <c r="Y15" s="268">
        <f t="shared" si="22"/>
        <v>376.52</v>
      </c>
      <c r="Z15" s="124">
        <f t="shared" si="9"/>
        <v>1005.67</v>
      </c>
      <c r="AA15" s="268">
        <f t="shared" si="10"/>
        <v>235.58</v>
      </c>
      <c r="AB15" s="204">
        <f t="shared" si="10"/>
        <v>-6.12</v>
      </c>
      <c r="AC15" s="268">
        <f t="shared" si="10"/>
        <v>0</v>
      </c>
      <c r="AD15" s="204">
        <f t="shared" si="10"/>
        <v>-3.4</v>
      </c>
      <c r="AE15" s="268">
        <f t="shared" si="10"/>
        <v>-1.86</v>
      </c>
      <c r="AF15" s="7">
        <f t="shared" si="11"/>
        <v>1229.8699999999999</v>
      </c>
      <c r="AG15" s="7">
        <f t="shared" si="12"/>
        <v>-205.01</v>
      </c>
      <c r="AH15" s="7">
        <v>0</v>
      </c>
      <c r="AI15" s="124">
        <f t="shared" si="13"/>
        <v>-205.01</v>
      </c>
      <c r="AJ15" s="14">
        <f t="shared" si="14"/>
        <v>174316.14</v>
      </c>
      <c r="AK15" s="233"/>
      <c r="AL15" s="236"/>
      <c r="AM15" s="33">
        <f t="shared" si="15"/>
        <v>339346.75</v>
      </c>
      <c r="AN15" s="33">
        <f t="shared" si="16"/>
        <v>426754.96</v>
      </c>
      <c r="AO15" s="83"/>
      <c r="AP15" s="114">
        <v>157271.56</v>
      </c>
      <c r="AQ15" s="186">
        <v>187200.78</v>
      </c>
      <c r="AR15" s="192">
        <f>G15+'08.31.19'!AR15</f>
        <v>0</v>
      </c>
      <c r="AS15" s="114">
        <f t="shared" si="17"/>
        <v>87408.21</v>
      </c>
      <c r="AT15" s="137">
        <f>K15+'08.31.19'!AT15</f>
        <v>0</v>
      </c>
      <c r="AU15" s="137">
        <f>L15+'08.31.19'!AU15</f>
        <v>981.14</v>
      </c>
      <c r="AV15" s="84">
        <f t="shared" si="18"/>
        <v>981.14</v>
      </c>
      <c r="AW15" s="84">
        <f>N15+'08.31.19'!AW15</f>
        <v>0</v>
      </c>
      <c r="AX15" s="84">
        <f>O15+'08.31.19'!AX15</f>
        <v>0</v>
      </c>
      <c r="AY15" s="84">
        <f>P15+'08.31.19'!AY15</f>
        <v>0</v>
      </c>
      <c r="AZ15" s="84">
        <f t="shared" si="19"/>
        <v>0</v>
      </c>
      <c r="BA15" s="224">
        <v>172723.67</v>
      </c>
      <c r="BB15" s="137">
        <f>Z15+'08.31.19'!BB15</f>
        <v>1986.68</v>
      </c>
      <c r="BC15" s="137">
        <f>AA15+'08.31.19'!BC15</f>
        <v>292.87</v>
      </c>
      <c r="BD15" s="276">
        <f>AB15+'08.31.19'!BD15</f>
        <v>-6.12</v>
      </c>
      <c r="BE15" s="280">
        <f>AC15+'08.31.19'!BE15</f>
        <v>-67.5</v>
      </c>
      <c r="BF15" s="276">
        <f>AD15+'08.31.19'!BF15</f>
        <v>-3.4</v>
      </c>
      <c r="BG15" s="280">
        <f>AE15+'08.31.19'!BG15</f>
        <v>-5.74</v>
      </c>
      <c r="BH15" s="84">
        <f t="shared" si="20"/>
        <v>2196.79</v>
      </c>
      <c r="BI15" s="84">
        <f>AG15+'08.31.19'!BI15</f>
        <v>-604.32000000000005</v>
      </c>
      <c r="BJ15" s="84">
        <f>AH15+'08.31.19'!BJ15</f>
        <v>0</v>
      </c>
      <c r="BK15" s="116">
        <f t="shared" si="21"/>
        <v>-604.32000000000005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10109.81</v>
      </c>
      <c r="G16" s="9">
        <v>0</v>
      </c>
      <c r="H16" s="129">
        <f t="shared" si="0"/>
        <v>10109.81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55.51</v>
      </c>
      <c r="M16" s="9">
        <f t="shared" si="3"/>
        <v>55.51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10165.32</v>
      </c>
      <c r="S16" s="14">
        <f t="shared" si="7"/>
        <v>12799.72</v>
      </c>
      <c r="T16" s="86">
        <v>7366.51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38.75</v>
      </c>
      <c r="Y16" s="268">
        <f t="shared" si="22"/>
        <v>23.19</v>
      </c>
      <c r="Z16" s="124">
        <f t="shared" si="9"/>
        <v>61.94</v>
      </c>
      <c r="AA16" s="268">
        <f t="shared" si="10"/>
        <v>14.51</v>
      </c>
      <c r="AB16" s="204">
        <f t="shared" si="10"/>
        <v>-0.38</v>
      </c>
      <c r="AC16" s="268">
        <f t="shared" si="10"/>
        <v>0</v>
      </c>
      <c r="AD16" s="204">
        <f t="shared" si="10"/>
        <v>-0.21</v>
      </c>
      <c r="AE16" s="268">
        <f t="shared" si="10"/>
        <v>-0.11</v>
      </c>
      <c r="AF16" s="7">
        <f t="shared" si="11"/>
        <v>75.75</v>
      </c>
      <c r="AG16" s="7">
        <f t="shared" si="12"/>
        <v>-12.63</v>
      </c>
      <c r="AH16" s="7">
        <v>0</v>
      </c>
      <c r="AI16" s="124">
        <f t="shared" si="13"/>
        <v>-12.63</v>
      </c>
      <c r="AJ16" s="14">
        <f t="shared" si="14"/>
        <v>7429.63</v>
      </c>
      <c r="AK16" s="233" t="s">
        <v>118</v>
      </c>
      <c r="AL16" s="236" t="s">
        <v>114</v>
      </c>
      <c r="AM16" s="33">
        <f t="shared" si="15"/>
        <v>17594.95</v>
      </c>
      <c r="AN16" s="33">
        <f t="shared" si="16"/>
        <v>22131.96</v>
      </c>
      <c r="AO16" s="83"/>
      <c r="AP16" s="114">
        <v>9687.4</v>
      </c>
      <c r="AQ16" s="186">
        <v>11530.94</v>
      </c>
      <c r="AR16" s="192">
        <f>G16+'08.31.19'!AR16</f>
        <v>0</v>
      </c>
      <c r="AS16" s="114">
        <f t="shared" si="17"/>
        <v>4537.01</v>
      </c>
      <c r="AT16" s="137">
        <f>K16+'08.31.19'!AT16</f>
        <v>0</v>
      </c>
      <c r="AU16" s="137">
        <f>L16+'08.31.19'!AU16</f>
        <v>60.43</v>
      </c>
      <c r="AV16" s="84">
        <f t="shared" si="18"/>
        <v>60.43</v>
      </c>
      <c r="AW16" s="84">
        <f>N16+'08.31.19'!AW16</f>
        <v>0</v>
      </c>
      <c r="AX16" s="84">
        <f>O16+'08.31.19'!AX16</f>
        <v>0</v>
      </c>
      <c r="AY16" s="84">
        <f>P16+'08.31.19'!AY16</f>
        <v>0</v>
      </c>
      <c r="AZ16" s="84">
        <f t="shared" si="19"/>
        <v>0</v>
      </c>
      <c r="BA16" s="224">
        <v>7331.55</v>
      </c>
      <c r="BB16" s="137">
        <f>Z16+'08.31.19'!BB16</f>
        <v>122.37</v>
      </c>
      <c r="BC16" s="137">
        <f>AA16+'08.31.19'!BC16</f>
        <v>18.04</v>
      </c>
      <c r="BD16" s="276">
        <f>AB16+'08.31.19'!BD16</f>
        <v>-0.38</v>
      </c>
      <c r="BE16" s="280">
        <f>AC16+'08.31.19'!BE16</f>
        <v>-4.16</v>
      </c>
      <c r="BF16" s="276">
        <f>AD16+'08.31.19'!BF16</f>
        <v>-0.21</v>
      </c>
      <c r="BG16" s="280">
        <f>AE16+'08.31.19'!BG16</f>
        <v>-0.35</v>
      </c>
      <c r="BH16" s="84">
        <f t="shared" si="20"/>
        <v>135.31</v>
      </c>
      <c r="BI16" s="84">
        <f>AG16+'08.31.19'!BI16</f>
        <v>-37.229999999999997</v>
      </c>
      <c r="BJ16" s="84">
        <f>AH16+'08.31.19'!BJ16</f>
        <v>0</v>
      </c>
      <c r="BK16" s="116">
        <f t="shared" si="21"/>
        <v>-37.229999999999997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881.02</v>
      </c>
      <c r="G17" s="9">
        <v>0</v>
      </c>
      <c r="H17" s="129">
        <f t="shared" si="0"/>
        <v>881.02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4.84</v>
      </c>
      <c r="M17" s="9">
        <f t="shared" si="3"/>
        <v>4.84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885.86</v>
      </c>
      <c r="S17" s="14">
        <f t="shared" si="7"/>
        <v>1115.44</v>
      </c>
      <c r="T17" s="86">
        <v>653.28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3.38</v>
      </c>
      <c r="Y17" s="268">
        <f t="shared" si="22"/>
        <v>2.02</v>
      </c>
      <c r="Z17" s="124">
        <f t="shared" si="9"/>
        <v>5.4</v>
      </c>
      <c r="AA17" s="268">
        <f t="shared" si="10"/>
        <v>1.26</v>
      </c>
      <c r="AB17" s="204">
        <f t="shared" si="10"/>
        <v>-0.03</v>
      </c>
      <c r="AC17" s="268">
        <f t="shared" si="10"/>
        <v>0</v>
      </c>
      <c r="AD17" s="204">
        <f t="shared" si="10"/>
        <v>-0.02</v>
      </c>
      <c r="AE17" s="268">
        <f t="shared" si="10"/>
        <v>-0.01</v>
      </c>
      <c r="AF17" s="7">
        <f t="shared" si="11"/>
        <v>6.6</v>
      </c>
      <c r="AG17" s="7">
        <f t="shared" si="12"/>
        <v>-1.1000000000000001</v>
      </c>
      <c r="AH17" s="7">
        <v>0</v>
      </c>
      <c r="AI17" s="124">
        <f t="shared" si="13"/>
        <v>-1.1000000000000001</v>
      </c>
      <c r="AJ17" s="14">
        <f t="shared" si="14"/>
        <v>658.78</v>
      </c>
      <c r="AK17" s="233" t="s">
        <v>129</v>
      </c>
      <c r="AL17" s="282" t="s">
        <v>128</v>
      </c>
      <c r="AM17" s="33">
        <f t="shared" si="15"/>
        <v>1544.64</v>
      </c>
      <c r="AN17" s="33">
        <f t="shared" si="16"/>
        <v>1942.92</v>
      </c>
      <c r="AO17" s="83"/>
      <c r="AP17" s="114">
        <v>844.21</v>
      </c>
      <c r="AQ17" s="186">
        <v>1004.87</v>
      </c>
      <c r="AR17" s="192">
        <f>G17+'08.31.19'!AR17</f>
        <v>0</v>
      </c>
      <c r="AS17" s="114">
        <f t="shared" si="17"/>
        <v>398.28</v>
      </c>
      <c r="AT17" s="137">
        <f>K17+'08.31.19'!AT17</f>
        <v>0</v>
      </c>
      <c r="AU17" s="137">
        <f>L17+'08.31.19'!AU17</f>
        <v>5.27</v>
      </c>
      <c r="AV17" s="84">
        <f t="shared" si="18"/>
        <v>5.27</v>
      </c>
      <c r="AW17" s="84">
        <f>N17+'08.31.19'!AW17</f>
        <v>0</v>
      </c>
      <c r="AX17" s="84">
        <f>O17+'08.31.19'!AX17</f>
        <v>0</v>
      </c>
      <c r="AY17" s="84">
        <f>P17+'08.31.19'!AY17</f>
        <v>0</v>
      </c>
      <c r="AZ17" s="84">
        <f t="shared" si="19"/>
        <v>0</v>
      </c>
      <c r="BA17" s="224">
        <v>650.23</v>
      </c>
      <c r="BB17" s="137">
        <f>Z17+'08.31.19'!BB17</f>
        <v>10.66</v>
      </c>
      <c r="BC17" s="137">
        <f>AA17+'08.31.19'!BC17</f>
        <v>1.57</v>
      </c>
      <c r="BD17" s="276">
        <f>AB17+'08.31.19'!BD17</f>
        <v>-0.03</v>
      </c>
      <c r="BE17" s="280">
        <f>AC17+'08.31.19'!BE17</f>
        <v>-0.36</v>
      </c>
      <c r="BF17" s="276">
        <f>AD17+'08.31.19'!BF17</f>
        <v>-0.02</v>
      </c>
      <c r="BG17" s="280">
        <f>AE17+'08.31.19'!BG17</f>
        <v>-0.03</v>
      </c>
      <c r="BH17" s="84">
        <f t="shared" si="20"/>
        <v>11.79</v>
      </c>
      <c r="BI17" s="84">
        <f>AG17+'08.31.19'!BI17</f>
        <v>-3.24</v>
      </c>
      <c r="BJ17" s="84">
        <f>AH17+'08.31.19'!BJ17</f>
        <v>0</v>
      </c>
      <c r="BK17" s="116">
        <f t="shared" si="21"/>
        <v>-3.24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27770.95</v>
      </c>
      <c r="G18" s="9">
        <v>0</v>
      </c>
      <c r="H18" s="129">
        <f t="shared" si="0"/>
        <v>27770.95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152.49</v>
      </c>
      <c r="M18" s="9">
        <f t="shared" si="3"/>
        <v>152.49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27923.439999999999</v>
      </c>
      <c r="S18" s="14">
        <f t="shared" si="7"/>
        <v>35159.96</v>
      </c>
      <c r="T18" s="86">
        <v>7340.86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106.45</v>
      </c>
      <c r="Y18" s="268">
        <f t="shared" si="22"/>
        <v>63.71</v>
      </c>
      <c r="Z18" s="124">
        <f t="shared" si="9"/>
        <v>170.16</v>
      </c>
      <c r="AA18" s="268">
        <f t="shared" si="10"/>
        <v>39.86</v>
      </c>
      <c r="AB18" s="204">
        <f t="shared" si="10"/>
        <v>-1.04</v>
      </c>
      <c r="AC18" s="268">
        <f t="shared" si="10"/>
        <v>0</v>
      </c>
      <c r="AD18" s="204">
        <f t="shared" si="10"/>
        <v>-0.56999999999999995</v>
      </c>
      <c r="AE18" s="268">
        <f t="shared" si="10"/>
        <v>-0.31</v>
      </c>
      <c r="AF18" s="7">
        <f t="shared" si="11"/>
        <v>208.1</v>
      </c>
      <c r="AG18" s="7">
        <f t="shared" si="12"/>
        <v>-34.69</v>
      </c>
      <c r="AH18" s="7">
        <v>0</v>
      </c>
      <c r="AI18" s="124">
        <f t="shared" si="13"/>
        <v>-34.69</v>
      </c>
      <c r="AJ18" s="14">
        <f t="shared" si="14"/>
        <v>7514.27</v>
      </c>
      <c r="AK18" s="281"/>
      <c r="AL18" s="281"/>
      <c r="AM18" s="33">
        <f t="shared" si="15"/>
        <v>35437.71</v>
      </c>
      <c r="AN18" s="33">
        <f t="shared" si="16"/>
        <v>44598.51</v>
      </c>
      <c r="AO18" s="83"/>
      <c r="AP18" s="114">
        <v>26610.59</v>
      </c>
      <c r="AQ18" s="186">
        <v>31674.66</v>
      </c>
      <c r="AR18" s="192">
        <f>G18+'08.31.19'!AR18</f>
        <v>0</v>
      </c>
      <c r="AS18" s="114">
        <f t="shared" ref="AS18:AS28" si="23">AN18-AM18</f>
        <v>9160.7999999999993</v>
      </c>
      <c r="AT18" s="137">
        <f>K18+'08.31.19'!AT18</f>
        <v>0</v>
      </c>
      <c r="AU18" s="137">
        <f>L18+'08.31.19'!AU18</f>
        <v>166.01</v>
      </c>
      <c r="AV18" s="84">
        <f t="shared" ref="AV18:AV28" si="24">AT18+AU18</f>
        <v>166.01</v>
      </c>
      <c r="AW18" s="84">
        <f>N18+'08.31.19'!AW18</f>
        <v>0</v>
      </c>
      <c r="AX18" s="84">
        <f>O18+'08.31.19'!AX18</f>
        <v>0</v>
      </c>
      <c r="AY18" s="84">
        <f>P18+'08.31.19'!AY18</f>
        <v>0</v>
      </c>
      <c r="AZ18" s="84">
        <f t="shared" ref="AZ18:AZ28" si="25">AX18+AY18</f>
        <v>0</v>
      </c>
      <c r="BA18" s="224">
        <v>7244.82</v>
      </c>
      <c r="BB18" s="137">
        <f>Z18+'08.31.19'!BB18</f>
        <v>336.15</v>
      </c>
      <c r="BC18" s="137">
        <f>AA18+'08.31.19'!BC18</f>
        <v>49.55</v>
      </c>
      <c r="BD18" s="276">
        <f>AB18+'08.31.19'!BD18</f>
        <v>-1.04</v>
      </c>
      <c r="BE18" s="280">
        <f>AC18+'08.31.19'!BE18</f>
        <v>-11.42</v>
      </c>
      <c r="BF18" s="276">
        <f>AD18+'08.31.19'!BF18</f>
        <v>-0.56999999999999995</v>
      </c>
      <c r="BG18" s="280">
        <f>AE18+'08.31.19'!BG18</f>
        <v>-0.97</v>
      </c>
      <c r="BH18" s="84">
        <f t="shared" ref="BH18:BH28" si="26">SUM(BB18:BG18)</f>
        <v>371.7</v>
      </c>
      <c r="BI18" s="84">
        <f>AG18+'08.31.19'!BI18</f>
        <v>-102.25</v>
      </c>
      <c r="BJ18" s="84">
        <f>AH18+'08.31.19'!BJ18</f>
        <v>0</v>
      </c>
      <c r="BK18" s="116">
        <f t="shared" ref="BK18:BK28" si="27">BI18+BJ18</f>
        <v>-102.25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93803.3</v>
      </c>
      <c r="G19" s="9">
        <v>0</v>
      </c>
      <c r="H19" s="129">
        <f t="shared" si="0"/>
        <v>93803.3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515.08000000000004</v>
      </c>
      <c r="M19" s="9">
        <f t="shared" si="3"/>
        <v>515.08000000000004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94318.38</v>
      </c>
      <c r="S19" s="14">
        <f t="shared" si="7"/>
        <v>118761.53</v>
      </c>
      <c r="T19" s="86">
        <v>68267.66</v>
      </c>
      <c r="U19" s="79">
        <f t="shared" si="8"/>
        <v>2.5321880000000001E-2</v>
      </c>
      <c r="V19" s="203"/>
      <c r="W19" s="264"/>
      <c r="X19" s="204">
        <f t="shared" si="22"/>
        <v>359.57</v>
      </c>
      <c r="Y19" s="268">
        <f t="shared" si="22"/>
        <v>215.19</v>
      </c>
      <c r="Z19" s="124">
        <f t="shared" si="9"/>
        <v>574.76</v>
      </c>
      <c r="AA19" s="268">
        <f t="shared" si="10"/>
        <v>134.63999999999999</v>
      </c>
      <c r="AB19" s="204">
        <f t="shared" si="10"/>
        <v>-3.5</v>
      </c>
      <c r="AC19" s="268">
        <f t="shared" si="10"/>
        <v>0</v>
      </c>
      <c r="AD19" s="204">
        <f t="shared" si="10"/>
        <v>-1.94</v>
      </c>
      <c r="AE19" s="268">
        <f t="shared" si="10"/>
        <v>-1.06</v>
      </c>
      <c r="AF19" s="7">
        <f t="shared" si="11"/>
        <v>702.9</v>
      </c>
      <c r="AG19" s="7">
        <f t="shared" si="12"/>
        <v>-117.17</v>
      </c>
      <c r="AH19" s="7">
        <v>0</v>
      </c>
      <c r="AI19" s="124">
        <f t="shared" si="13"/>
        <v>-117.17</v>
      </c>
      <c r="AJ19" s="14">
        <f t="shared" si="14"/>
        <v>68853.39</v>
      </c>
      <c r="AK19" s="233"/>
      <c r="AL19" s="237"/>
      <c r="AM19" s="33">
        <f t="shared" si="15"/>
        <v>163171.76999999999</v>
      </c>
      <c r="AN19" s="33">
        <f t="shared" si="16"/>
        <v>205247.17</v>
      </c>
      <c r="AO19" s="83"/>
      <c r="AP19" s="114">
        <v>89883.9</v>
      </c>
      <c r="AQ19" s="186">
        <v>106989.06</v>
      </c>
      <c r="AR19" s="192">
        <f>G19+'08.31.19'!AR19</f>
        <v>0</v>
      </c>
      <c r="AS19" s="114">
        <f t="shared" si="23"/>
        <v>42075.4</v>
      </c>
      <c r="AT19" s="137">
        <f>K19+'08.31.19'!AT19</f>
        <v>0</v>
      </c>
      <c r="AU19" s="137">
        <f>L19+'08.31.19'!AU19</f>
        <v>560.75</v>
      </c>
      <c r="AV19" s="84">
        <f t="shared" si="24"/>
        <v>560.75</v>
      </c>
      <c r="AW19" s="84">
        <f>N19+'08.31.19'!AW19</f>
        <v>0</v>
      </c>
      <c r="AX19" s="84">
        <f>O19+'08.31.19'!AX19</f>
        <v>0</v>
      </c>
      <c r="AY19" s="84">
        <f>P19+'08.31.19'!AY19</f>
        <v>0</v>
      </c>
      <c r="AZ19" s="84">
        <f t="shared" si="25"/>
        <v>0</v>
      </c>
      <c r="BA19" s="224">
        <v>67943.259999999995</v>
      </c>
      <c r="BB19" s="137">
        <f>Z19+'08.31.19'!BB19</f>
        <v>1135.43</v>
      </c>
      <c r="BC19" s="137">
        <f>AA19+'08.31.19'!BC19</f>
        <v>167.38</v>
      </c>
      <c r="BD19" s="276">
        <f>AB19+'08.31.19'!BD19</f>
        <v>-3.5</v>
      </c>
      <c r="BE19" s="280">
        <f>AC19+'08.31.19'!BE19</f>
        <v>-38.58</v>
      </c>
      <c r="BF19" s="276">
        <f>AD19+'08.31.19'!BF19</f>
        <v>-1.94</v>
      </c>
      <c r="BG19" s="280">
        <f>AE19+'08.31.19'!BG19</f>
        <v>-3.28</v>
      </c>
      <c r="BH19" s="84">
        <f t="shared" si="26"/>
        <v>1255.51</v>
      </c>
      <c r="BI19" s="84">
        <f>AG19+'08.31.19'!BI19</f>
        <v>-345.38</v>
      </c>
      <c r="BJ19" s="84">
        <f>AH19+'08.31.19'!BJ19</f>
        <v>0</v>
      </c>
      <c r="BK19" s="116">
        <f t="shared" si="27"/>
        <v>-345.38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34715.58</v>
      </c>
      <c r="G20" s="9">
        <v>0</v>
      </c>
      <c r="H20" s="129">
        <f t="shared" si="0"/>
        <v>34715.58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190.63</v>
      </c>
      <c r="M20" s="9">
        <f t="shared" si="3"/>
        <v>190.63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34906.21</v>
      </c>
      <c r="S20" s="14">
        <f t="shared" si="7"/>
        <v>43952.35</v>
      </c>
      <c r="T20" s="86">
        <v>18537.18</v>
      </c>
      <c r="U20" s="79">
        <f t="shared" si="8"/>
        <v>9.3713500000000005E-3</v>
      </c>
      <c r="V20" s="315"/>
      <c r="W20" s="315"/>
      <c r="X20" s="204">
        <f t="shared" si="22"/>
        <v>133.07</v>
      </c>
      <c r="Y20" s="268">
        <f t="shared" si="22"/>
        <v>79.64</v>
      </c>
      <c r="Z20" s="124">
        <f t="shared" si="9"/>
        <v>212.71</v>
      </c>
      <c r="AA20" s="268">
        <f t="shared" si="10"/>
        <v>49.83</v>
      </c>
      <c r="AB20" s="204">
        <f t="shared" si="10"/>
        <v>-1.29</v>
      </c>
      <c r="AC20" s="268">
        <f t="shared" si="10"/>
        <v>0</v>
      </c>
      <c r="AD20" s="204">
        <f t="shared" si="10"/>
        <v>-0.72</v>
      </c>
      <c r="AE20" s="268">
        <f t="shared" si="10"/>
        <v>-0.39</v>
      </c>
      <c r="AF20" s="7">
        <f t="shared" si="11"/>
        <v>260.14</v>
      </c>
      <c r="AG20" s="7">
        <f t="shared" si="12"/>
        <v>-43.36</v>
      </c>
      <c r="AH20" s="7">
        <v>0</v>
      </c>
      <c r="AI20" s="124">
        <f t="shared" si="13"/>
        <v>-43.36</v>
      </c>
      <c r="AJ20" s="14">
        <f t="shared" si="14"/>
        <v>18753.96</v>
      </c>
      <c r="AK20" s="283"/>
      <c r="AL20" s="284"/>
      <c r="AM20" s="33">
        <f t="shared" si="15"/>
        <v>53660.17</v>
      </c>
      <c r="AN20" s="33">
        <f t="shared" si="16"/>
        <v>67508.899999999994</v>
      </c>
      <c r="AO20" s="83"/>
      <c r="AP20" s="114">
        <v>33265.06</v>
      </c>
      <c r="AQ20" s="186">
        <v>39595.49</v>
      </c>
      <c r="AR20" s="192">
        <f>G20+'08.31.19'!AR20</f>
        <v>0</v>
      </c>
      <c r="AS20" s="114">
        <f t="shared" si="23"/>
        <v>13848.73</v>
      </c>
      <c r="AT20" s="137">
        <f>K20+'08.31.19'!AT20</f>
        <v>0</v>
      </c>
      <c r="AU20" s="137">
        <f>L20+'08.31.19'!AU20</f>
        <v>207.53</v>
      </c>
      <c r="AV20" s="84">
        <f t="shared" si="24"/>
        <v>207.53</v>
      </c>
      <c r="AW20" s="84">
        <f>N20+'08.31.19'!AW20</f>
        <v>0</v>
      </c>
      <c r="AX20" s="84">
        <f>O20+'08.31.19'!AX20</f>
        <v>0</v>
      </c>
      <c r="AY20" s="84">
        <f>P20+'08.31.19'!AY20</f>
        <v>0</v>
      </c>
      <c r="AZ20" s="84">
        <f t="shared" si="25"/>
        <v>0</v>
      </c>
      <c r="BA20" s="224">
        <v>18417.12</v>
      </c>
      <c r="BB20" s="137">
        <f>Z20+'08.31.19'!BB20</f>
        <v>420.21</v>
      </c>
      <c r="BC20" s="137">
        <f>AA20+'08.31.19'!BC20</f>
        <v>61.95</v>
      </c>
      <c r="BD20" s="276">
        <f>AB20+'08.31.19'!BD20</f>
        <v>-1.29</v>
      </c>
      <c r="BE20" s="280">
        <f>AC20+'08.31.19'!BE20</f>
        <v>-14.28</v>
      </c>
      <c r="BF20" s="276">
        <f>AD20+'08.31.19'!BF20</f>
        <v>-0.72</v>
      </c>
      <c r="BG20" s="280">
        <f>AE20+'08.31.19'!BG20</f>
        <v>-1.21</v>
      </c>
      <c r="BH20" s="84">
        <f t="shared" si="26"/>
        <v>464.66</v>
      </c>
      <c r="BI20" s="84">
        <f>AG20+'08.31.19'!BI20</f>
        <v>-127.82</v>
      </c>
      <c r="BJ20" s="84">
        <f>AH20+'08.31.19'!BJ20</f>
        <v>0</v>
      </c>
      <c r="BK20" s="116">
        <f t="shared" si="27"/>
        <v>-127.82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535241.81000000006</v>
      </c>
      <c r="G21" s="9">
        <v>0</v>
      </c>
      <c r="H21" s="129">
        <f t="shared" si="0"/>
        <v>535241.81000000006</v>
      </c>
      <c r="I21" s="76">
        <f t="shared" si="1"/>
        <v>0.14448669</v>
      </c>
      <c r="J21" s="128"/>
      <c r="K21" s="128">
        <f t="shared" si="2"/>
        <v>0</v>
      </c>
      <c r="L21" s="128">
        <f t="shared" si="2"/>
        <v>2939.05</v>
      </c>
      <c r="M21" s="9">
        <f t="shared" si="3"/>
        <v>2939.05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538180.86</v>
      </c>
      <c r="S21" s="14">
        <f t="shared" si="7"/>
        <v>677653.52</v>
      </c>
      <c r="T21" s="86">
        <v>498143.18</v>
      </c>
      <c r="U21" s="79">
        <f t="shared" si="8"/>
        <v>0.14448669</v>
      </c>
      <c r="V21" s="203"/>
      <c r="W21" s="264"/>
      <c r="X21" s="204">
        <f t="shared" si="22"/>
        <v>2051.7199999999998</v>
      </c>
      <c r="Y21" s="268">
        <f t="shared" si="22"/>
        <v>1227.8800000000001</v>
      </c>
      <c r="Z21" s="124">
        <f t="shared" si="9"/>
        <v>3279.6</v>
      </c>
      <c r="AA21" s="268">
        <f t="shared" si="10"/>
        <v>768.24</v>
      </c>
      <c r="AB21" s="204">
        <f t="shared" si="10"/>
        <v>-19.96</v>
      </c>
      <c r="AC21" s="268">
        <f t="shared" si="10"/>
        <v>0</v>
      </c>
      <c r="AD21" s="204">
        <f t="shared" si="10"/>
        <v>-11.08</v>
      </c>
      <c r="AE21" s="268">
        <f t="shared" si="10"/>
        <v>-6.06</v>
      </c>
      <c r="AF21" s="7">
        <f t="shared" si="11"/>
        <v>4010.74</v>
      </c>
      <c r="AG21" s="7">
        <f t="shared" si="12"/>
        <v>-668.57</v>
      </c>
      <c r="AH21" s="7">
        <v>0</v>
      </c>
      <c r="AI21" s="124">
        <f t="shared" si="13"/>
        <v>-668.57</v>
      </c>
      <c r="AJ21" s="14">
        <f t="shared" si="14"/>
        <v>501485.35</v>
      </c>
      <c r="AK21" s="285"/>
      <c r="AL21" s="236"/>
      <c r="AM21" s="33">
        <f t="shared" si="15"/>
        <v>1039666.21</v>
      </c>
      <c r="AN21" s="33">
        <f t="shared" si="16"/>
        <v>1307561.27</v>
      </c>
      <c r="AO21" s="83"/>
      <c r="AP21" s="114">
        <v>512877.8</v>
      </c>
      <c r="AQ21" s="186">
        <v>610479.87</v>
      </c>
      <c r="AR21" s="192">
        <f>G21+'08.31.19'!AR21</f>
        <v>0</v>
      </c>
      <c r="AS21" s="114">
        <f t="shared" si="23"/>
        <v>267895.06</v>
      </c>
      <c r="AT21" s="137">
        <f>K21+'08.31.19'!AT21</f>
        <v>0</v>
      </c>
      <c r="AU21" s="137">
        <f>L21+'08.31.19'!AU21</f>
        <v>3199.62</v>
      </c>
      <c r="AV21" s="84">
        <f t="shared" si="24"/>
        <v>3199.62</v>
      </c>
      <c r="AW21" s="84">
        <f>N21+'08.31.19'!AW21</f>
        <v>0</v>
      </c>
      <c r="AX21" s="84">
        <f>O21+'08.31.19'!AX21</f>
        <v>0</v>
      </c>
      <c r="AY21" s="84">
        <f>P21+'08.31.19'!AY21</f>
        <v>0</v>
      </c>
      <c r="AZ21" s="84">
        <f t="shared" si="25"/>
        <v>0</v>
      </c>
      <c r="BA21" s="224">
        <v>492992.17</v>
      </c>
      <c r="BB21" s="137">
        <f>Z21+'08.31.19'!BB21</f>
        <v>6478.78</v>
      </c>
      <c r="BC21" s="137">
        <f>AA21+'08.31.19'!BC21</f>
        <v>955.07</v>
      </c>
      <c r="BD21" s="276">
        <f>AB21+'08.31.19'!BD21</f>
        <v>-19.96</v>
      </c>
      <c r="BE21" s="280">
        <f>AC21+'08.31.19'!BE21</f>
        <v>-220.11</v>
      </c>
      <c r="BF21" s="276">
        <f>AD21+'08.31.19'!BF21</f>
        <v>-11.08</v>
      </c>
      <c r="BG21" s="280">
        <f>AE21+'08.31.19'!BG21</f>
        <v>-18.7</v>
      </c>
      <c r="BH21" s="84">
        <f t="shared" si="26"/>
        <v>7164</v>
      </c>
      <c r="BI21" s="84">
        <f>AG21+'08.31.19'!BI21</f>
        <v>-1970.74</v>
      </c>
      <c r="BJ21" s="84">
        <f>AH21+'08.31.19'!BJ21</f>
        <v>3299.92</v>
      </c>
      <c r="BK21" s="116">
        <f t="shared" si="27"/>
        <v>1329.18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547815.1</v>
      </c>
      <c r="G22" s="9">
        <v>0</v>
      </c>
      <c r="H22" s="129">
        <f t="shared" si="0"/>
        <v>547815.1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3008.09</v>
      </c>
      <c r="M22" s="9">
        <f t="shared" si="3"/>
        <v>3008.09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550823.18999999994</v>
      </c>
      <c r="S22" s="14">
        <f t="shared" si="7"/>
        <v>693572.18</v>
      </c>
      <c r="T22" s="86">
        <v>423183.35999999999</v>
      </c>
      <c r="U22" s="79">
        <f t="shared" si="8"/>
        <v>0.14788081</v>
      </c>
      <c r="V22" s="316"/>
      <c r="W22" s="317"/>
      <c r="X22" s="204">
        <f t="shared" si="22"/>
        <v>2099.92</v>
      </c>
      <c r="Y22" s="268">
        <f t="shared" si="22"/>
        <v>1256.72</v>
      </c>
      <c r="Z22" s="124">
        <f t="shared" si="9"/>
        <v>3356.64</v>
      </c>
      <c r="AA22" s="268">
        <f t="shared" si="10"/>
        <v>786.29</v>
      </c>
      <c r="AB22" s="204">
        <f t="shared" si="10"/>
        <v>-20.43</v>
      </c>
      <c r="AC22" s="268">
        <f t="shared" si="10"/>
        <v>0</v>
      </c>
      <c r="AD22" s="204">
        <f t="shared" si="10"/>
        <v>-11.34</v>
      </c>
      <c r="AE22" s="268">
        <f t="shared" si="10"/>
        <v>-6.2</v>
      </c>
      <c r="AF22" s="7">
        <f t="shared" si="11"/>
        <v>4104.96</v>
      </c>
      <c r="AG22" s="7">
        <f t="shared" si="12"/>
        <v>-684.27</v>
      </c>
      <c r="AH22" s="7">
        <v>0</v>
      </c>
      <c r="AI22" s="124">
        <f t="shared" si="13"/>
        <v>-684.27</v>
      </c>
      <c r="AJ22" s="14">
        <f t="shared" si="14"/>
        <v>426604.05</v>
      </c>
      <c r="AK22" s="283"/>
      <c r="AL22" s="284"/>
      <c r="AM22" s="33">
        <f t="shared" si="15"/>
        <v>977427.24</v>
      </c>
      <c r="AN22" s="33">
        <f t="shared" si="16"/>
        <v>1229422.72</v>
      </c>
      <c r="AO22" s="83"/>
      <c r="AP22" s="114">
        <v>524925.73</v>
      </c>
      <c r="AQ22" s="186">
        <v>624820.56000000006</v>
      </c>
      <c r="AR22" s="192">
        <f>G22+'08.31.19'!AR22</f>
        <v>0</v>
      </c>
      <c r="AS22" s="114">
        <f t="shared" si="23"/>
        <v>251995.48</v>
      </c>
      <c r="AT22" s="137">
        <f>K22+'08.31.19'!AT22</f>
        <v>0</v>
      </c>
      <c r="AU22" s="137">
        <f>L22+'08.31.19'!AU22</f>
        <v>3274.78</v>
      </c>
      <c r="AV22" s="84">
        <f t="shared" si="24"/>
        <v>3274.78</v>
      </c>
      <c r="AW22" s="84">
        <f>N22+'08.31.19'!AW22</f>
        <v>0</v>
      </c>
      <c r="AX22" s="84">
        <f>O22+'08.31.19'!AX22</f>
        <v>0</v>
      </c>
      <c r="AY22" s="84">
        <f>P22+'08.31.19'!AY22</f>
        <v>0</v>
      </c>
      <c r="AZ22" s="84">
        <f t="shared" si="25"/>
        <v>0</v>
      </c>
      <c r="BA22" s="224">
        <v>421288.81</v>
      </c>
      <c r="BB22" s="137">
        <f>Z22+'08.31.19'!BB22</f>
        <v>6630.96</v>
      </c>
      <c r="BC22" s="137">
        <f>AA22+'08.31.19'!BC22</f>
        <v>977.51</v>
      </c>
      <c r="BD22" s="276">
        <f>AB22+'08.31.19'!BD22</f>
        <v>-20.43</v>
      </c>
      <c r="BE22" s="280">
        <f>AC22+'08.31.19'!BE22</f>
        <v>-225.28</v>
      </c>
      <c r="BF22" s="276">
        <f>AD22+'08.31.19'!BF22</f>
        <v>-11.34</v>
      </c>
      <c r="BG22" s="280">
        <f>AE22+'08.31.19'!BG22</f>
        <v>-19.14</v>
      </c>
      <c r="BH22" s="84">
        <f t="shared" si="26"/>
        <v>7332.28</v>
      </c>
      <c r="BI22" s="84">
        <f>AG22+'08.31.19'!BI22</f>
        <v>-2017.04</v>
      </c>
      <c r="BJ22" s="84">
        <f>AH22+'08.31.19'!BJ22</f>
        <v>0</v>
      </c>
      <c r="BK22" s="116">
        <f t="shared" si="27"/>
        <v>-2017.04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2833.37</v>
      </c>
      <c r="G23" s="9">
        <v>0</v>
      </c>
      <c r="H23" s="129">
        <f t="shared" si="0"/>
        <v>2833.37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15.56</v>
      </c>
      <c r="M23" s="9">
        <f t="shared" si="3"/>
        <v>15.56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2848.93</v>
      </c>
      <c r="S23" s="14">
        <f t="shared" si="7"/>
        <v>3587.25</v>
      </c>
      <c r="T23" s="86">
        <v>2020.98</v>
      </c>
      <c r="U23" s="79">
        <f t="shared" si="8"/>
        <v>7.6486000000000002E-4</v>
      </c>
      <c r="V23" s="203"/>
      <c r="W23" s="264"/>
      <c r="X23" s="204">
        <f t="shared" si="22"/>
        <v>10.86</v>
      </c>
      <c r="Y23" s="268">
        <f t="shared" si="22"/>
        <v>6.5</v>
      </c>
      <c r="Z23" s="124">
        <f t="shared" si="9"/>
        <v>17.36</v>
      </c>
      <c r="AA23" s="268">
        <f t="shared" si="10"/>
        <v>4.07</v>
      </c>
      <c r="AB23" s="204">
        <f t="shared" si="10"/>
        <v>-0.11</v>
      </c>
      <c r="AC23" s="268">
        <f t="shared" si="10"/>
        <v>0</v>
      </c>
      <c r="AD23" s="204">
        <f t="shared" si="10"/>
        <v>-0.06</v>
      </c>
      <c r="AE23" s="268">
        <f t="shared" si="10"/>
        <v>-0.03</v>
      </c>
      <c r="AF23" s="7">
        <f t="shared" si="11"/>
        <v>21.23</v>
      </c>
      <c r="AG23" s="7">
        <f t="shared" si="12"/>
        <v>-3.54</v>
      </c>
      <c r="AH23" s="7">
        <v>0</v>
      </c>
      <c r="AI23" s="124">
        <f t="shared" si="13"/>
        <v>-3.54</v>
      </c>
      <c r="AJ23" s="14">
        <f t="shared" si="14"/>
        <v>2038.67</v>
      </c>
      <c r="AK23" s="285"/>
      <c r="AL23" s="236"/>
      <c r="AM23" s="33">
        <f t="shared" si="15"/>
        <v>4887.6000000000004</v>
      </c>
      <c r="AN23" s="33">
        <f t="shared" si="16"/>
        <v>6147.99</v>
      </c>
      <c r="AO23" s="83"/>
      <c r="AP23" s="114">
        <v>2714.97</v>
      </c>
      <c r="AQ23" s="186">
        <v>3231.64</v>
      </c>
      <c r="AR23" s="192">
        <f>G23+'08.31.19'!AR23</f>
        <v>0</v>
      </c>
      <c r="AS23" s="114">
        <f t="shared" si="23"/>
        <v>1260.3900000000001</v>
      </c>
      <c r="AT23" s="137">
        <f>K23+'08.31.19'!AT23</f>
        <v>0</v>
      </c>
      <c r="AU23" s="137">
        <f>L23+'08.31.19'!AU23</f>
        <v>16.940000000000001</v>
      </c>
      <c r="AV23" s="84">
        <f t="shared" si="24"/>
        <v>16.940000000000001</v>
      </c>
      <c r="AW23" s="84">
        <f>N23+'08.31.19'!AW23</f>
        <v>0</v>
      </c>
      <c r="AX23" s="84">
        <f>O23+'08.31.19'!AX23</f>
        <v>0</v>
      </c>
      <c r="AY23" s="84">
        <f>P23+'08.31.19'!AY23</f>
        <v>0</v>
      </c>
      <c r="AZ23" s="84">
        <f t="shared" si="25"/>
        <v>0</v>
      </c>
      <c r="BA23" s="224">
        <v>2011.18</v>
      </c>
      <c r="BB23" s="137">
        <f>Z23+'08.31.19'!BB23</f>
        <v>34.299999999999997</v>
      </c>
      <c r="BC23" s="137">
        <f>AA23+'08.31.19'!BC23</f>
        <v>5.0599999999999996</v>
      </c>
      <c r="BD23" s="276">
        <f>AB23+'08.31.19'!BD23</f>
        <v>-0.11</v>
      </c>
      <c r="BE23" s="280">
        <f>AC23+'08.31.19'!BE23</f>
        <v>-1.17</v>
      </c>
      <c r="BF23" s="276">
        <f>AD23+'08.31.19'!BF23</f>
        <v>-0.06</v>
      </c>
      <c r="BG23" s="280">
        <f>AE23+'08.31.19'!BG23</f>
        <v>-0.1</v>
      </c>
      <c r="BH23" s="84">
        <f t="shared" si="26"/>
        <v>37.92</v>
      </c>
      <c r="BI23" s="84">
        <f>AG23+'08.31.19'!BI23</f>
        <v>-10.43</v>
      </c>
      <c r="BJ23" s="84">
        <f>AH23+'08.31.19'!BJ23</f>
        <v>0</v>
      </c>
      <c r="BK23" s="116">
        <f t="shared" si="27"/>
        <v>-10.43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1487029.07</v>
      </c>
      <c r="G24" s="9">
        <v>0</v>
      </c>
      <c r="H24" s="129">
        <f t="shared" si="0"/>
        <v>1487029.07</v>
      </c>
      <c r="I24" s="76">
        <f>H24/(H$31-1575)+0.00000001</f>
        <v>0.40141842</v>
      </c>
      <c r="J24" s="128"/>
      <c r="K24" s="128">
        <f>$I24*K$31</f>
        <v>0</v>
      </c>
      <c r="L24" s="318">
        <f>($I24*L$31)-0.01</f>
        <v>8165.36</v>
      </c>
      <c r="M24" s="9">
        <f t="shared" si="3"/>
        <v>8165.36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1495194.43</v>
      </c>
      <c r="S24" s="14">
        <f>(R24/(R$31-1575)*(S$31-1575))-0.01</f>
        <v>1882682.64</v>
      </c>
      <c r="T24" s="86">
        <v>703433.54</v>
      </c>
      <c r="U24" s="79">
        <f t="shared" si="8"/>
        <v>0.40141842</v>
      </c>
      <c r="V24" s="203"/>
      <c r="W24" s="264"/>
      <c r="X24" s="311">
        <f>($U24*X$31)+0.02</f>
        <v>5700.2</v>
      </c>
      <c r="Y24" s="312">
        <f>($U24*Y$31)+0.01</f>
        <v>3411.35</v>
      </c>
      <c r="Z24" s="313">
        <f t="shared" si="9"/>
        <v>9111.5499999999993</v>
      </c>
      <c r="AA24" s="312">
        <f>($U24*AA$31)-0.01</f>
        <v>2134.34</v>
      </c>
      <c r="AB24" s="311">
        <f>($U24*AB$31)</f>
        <v>-55.46</v>
      </c>
      <c r="AC24" s="312">
        <f>($U24*AC$31)</f>
        <v>0</v>
      </c>
      <c r="AD24" s="311">
        <f>($U24*AD$31)</f>
        <v>-30.78</v>
      </c>
      <c r="AE24" s="312">
        <f>($U24*AE$31)-0.02</f>
        <v>-16.86</v>
      </c>
      <c r="AF24" s="7">
        <f t="shared" si="11"/>
        <v>11142.79</v>
      </c>
      <c r="AG24" s="7">
        <f>(U24*AG$31)</f>
        <v>-1857.44</v>
      </c>
      <c r="AH24" s="7">
        <v>0</v>
      </c>
      <c r="AI24" s="124">
        <f t="shared" si="13"/>
        <v>-1857.44</v>
      </c>
      <c r="AJ24" s="14">
        <f t="shared" si="14"/>
        <v>712718.89</v>
      </c>
      <c r="AK24" s="285"/>
      <c r="AL24" s="236"/>
      <c r="AM24" s="33">
        <f t="shared" si="15"/>
        <v>2207913.3199999998</v>
      </c>
      <c r="AN24" s="33">
        <f>((S24+AJ24)+((AJ24/AJ$31)*AO$49))</f>
        <v>2777917.47</v>
      </c>
      <c r="AO24" s="83"/>
      <c r="AP24" s="114">
        <v>1424896.51</v>
      </c>
      <c r="AQ24" s="186">
        <v>1696058.26</v>
      </c>
      <c r="AR24" s="192">
        <f>G24+'08.31.19'!AR24</f>
        <v>0</v>
      </c>
      <c r="AS24" s="114">
        <f t="shared" si="23"/>
        <v>570004.15</v>
      </c>
      <c r="AT24" s="137">
        <f>K24+'08.31.19'!AT24</f>
        <v>0</v>
      </c>
      <c r="AU24" s="137">
        <f>L24+'08.31.19'!AU24</f>
        <v>8889.2900000000009</v>
      </c>
      <c r="AV24" s="84">
        <f t="shared" si="24"/>
        <v>8889.2900000000009</v>
      </c>
      <c r="AW24" s="84">
        <f>N24+'08.31.19'!AW24</f>
        <v>0</v>
      </c>
      <c r="AX24" s="84">
        <f>O24+'08.31.19'!AX24</f>
        <v>0</v>
      </c>
      <c r="AY24" s="84">
        <f>P24+'08.31.19'!AY24</f>
        <v>0</v>
      </c>
      <c r="AZ24" s="84">
        <f t="shared" si="25"/>
        <v>0</v>
      </c>
      <c r="BA24" s="224">
        <v>698290.76</v>
      </c>
      <c r="BB24" s="137">
        <f>Z24+'08.31.19'!BB24</f>
        <v>17999.64</v>
      </c>
      <c r="BC24" s="137">
        <f>AA24+'08.31.19'!BC24</f>
        <v>2653.38</v>
      </c>
      <c r="BD24" s="276">
        <f>AB24+'08.31.19'!BD24</f>
        <v>-55.46</v>
      </c>
      <c r="BE24" s="280">
        <f>AC24+'08.31.19'!BE24</f>
        <v>-611.5</v>
      </c>
      <c r="BF24" s="276">
        <f>AD24+'08.31.19'!BF24</f>
        <v>-30.78</v>
      </c>
      <c r="BG24" s="280">
        <f>AE24+'08.31.19'!BG24</f>
        <v>-51.95</v>
      </c>
      <c r="BH24" s="84">
        <f t="shared" si="26"/>
        <v>19903.330000000002</v>
      </c>
      <c r="BI24" s="84">
        <f>AG24+'08.31.19'!BI24</f>
        <v>-5475.2</v>
      </c>
      <c r="BJ24" s="84">
        <f>AH24+'08.31.19'!BJ24</f>
        <v>0</v>
      </c>
      <c r="BK24" s="116">
        <f t="shared" si="27"/>
        <v>-5475.2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323863.05</v>
      </c>
      <c r="G25" s="9">
        <v>0</v>
      </c>
      <c r="H25" s="129">
        <f t="shared" si="0"/>
        <v>323863.05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1778.35</v>
      </c>
      <c r="M25" s="9">
        <f t="shared" si="3"/>
        <v>1778.35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325641.40000000002</v>
      </c>
      <c r="S25" s="14">
        <f>(R25/(R$31-1575)*(S$31-1575))</f>
        <v>410033.24</v>
      </c>
      <c r="T25" s="86">
        <v>184842.77</v>
      </c>
      <c r="U25" s="79">
        <f t="shared" si="8"/>
        <v>8.7425719999999998E-2</v>
      </c>
      <c r="V25" s="203"/>
      <c r="W25" s="264"/>
      <c r="X25" s="204">
        <f t="shared" ref="X25:Y28" si="28">$U25*X$31</f>
        <v>1241.45</v>
      </c>
      <c r="Y25" s="268">
        <f t="shared" si="28"/>
        <v>742.96</v>
      </c>
      <c r="Z25" s="124">
        <f t="shared" si="9"/>
        <v>1984.41</v>
      </c>
      <c r="AA25" s="268">
        <f t="shared" ref="AA25:AE28" si="29">$U25*AA$31</f>
        <v>464.85</v>
      </c>
      <c r="AB25" s="204">
        <f t="shared" si="29"/>
        <v>-12.08</v>
      </c>
      <c r="AC25" s="268">
        <f t="shared" si="29"/>
        <v>0</v>
      </c>
      <c r="AD25" s="204">
        <f t="shared" si="29"/>
        <v>-6.7</v>
      </c>
      <c r="AE25" s="268">
        <f t="shared" si="29"/>
        <v>-3.67</v>
      </c>
      <c r="AF25" s="7">
        <f t="shared" si="11"/>
        <v>2426.81</v>
      </c>
      <c r="AG25" s="7">
        <f>U25*AG$31</f>
        <v>-404.54</v>
      </c>
      <c r="AH25" s="7">
        <v>0</v>
      </c>
      <c r="AI25" s="124">
        <f t="shared" si="13"/>
        <v>-404.54</v>
      </c>
      <c r="AJ25" s="14">
        <f t="shared" si="14"/>
        <v>186865.04</v>
      </c>
      <c r="AK25" s="285"/>
      <c r="AL25" s="236"/>
      <c r="AM25" s="33">
        <f t="shared" si="15"/>
        <v>512506.44</v>
      </c>
      <c r="AN25" s="33">
        <f>(S25+AJ25)+((AJ25/AJ$31)*AO$49)</f>
        <v>644751.43999999994</v>
      </c>
      <c r="AO25" s="83"/>
      <c r="AP25" s="114">
        <v>310331.06</v>
      </c>
      <c r="AQ25" s="186">
        <v>369387.93</v>
      </c>
      <c r="AR25" s="192">
        <f>G25+'08.31.19'!AR25</f>
        <v>0</v>
      </c>
      <c r="AS25" s="114">
        <f t="shared" si="23"/>
        <v>132245</v>
      </c>
      <c r="AT25" s="137">
        <f>K25+'08.31.19'!AT25</f>
        <v>0</v>
      </c>
      <c r="AU25" s="137">
        <f>L25+'08.31.19'!AU25</f>
        <v>1936.02</v>
      </c>
      <c r="AV25" s="84">
        <f t="shared" si="24"/>
        <v>1936.02</v>
      </c>
      <c r="AW25" s="84">
        <f>N25+'08.31.19'!AW25</f>
        <v>0</v>
      </c>
      <c r="AX25" s="84">
        <f>O25+'08.31.19'!AX25</f>
        <v>0</v>
      </c>
      <c r="AY25" s="84">
        <f>P25+'08.31.19'!AY25</f>
        <v>0</v>
      </c>
      <c r="AZ25" s="84">
        <f t="shared" si="25"/>
        <v>0</v>
      </c>
      <c r="BA25" s="224">
        <v>183722.72</v>
      </c>
      <c r="BB25" s="137">
        <f>Z25+'08.31.19'!BB25</f>
        <v>3920.16</v>
      </c>
      <c r="BC25" s="137">
        <f>AA25+'08.31.19'!BC25</f>
        <v>577.9</v>
      </c>
      <c r="BD25" s="276">
        <f>AB25+'08.31.19'!BD25</f>
        <v>-12.08</v>
      </c>
      <c r="BE25" s="280">
        <f>AC25+'08.31.19'!BE25</f>
        <v>-133.18</v>
      </c>
      <c r="BF25" s="276">
        <f>AD25+'08.31.19'!BF25</f>
        <v>-6.7</v>
      </c>
      <c r="BG25" s="280">
        <f>AE25+'08.31.19'!BG25</f>
        <v>-11.32</v>
      </c>
      <c r="BH25" s="84">
        <f t="shared" si="26"/>
        <v>4334.78</v>
      </c>
      <c r="BI25" s="84">
        <f>AG25+'08.31.19'!BI25</f>
        <v>-1192.46</v>
      </c>
      <c r="BJ25" s="84">
        <f>AH25+'08.31.19'!BJ25</f>
        <v>0</v>
      </c>
      <c r="BK25" s="116">
        <f t="shared" si="27"/>
        <v>-1192.46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13569.25</v>
      </c>
      <c r="G26" s="9">
        <v>0</v>
      </c>
      <c r="H26" s="129">
        <f t="shared" si="0"/>
        <v>13569.25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74.510000000000005</v>
      </c>
      <c r="M26" s="9">
        <f t="shared" si="3"/>
        <v>74.510000000000005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13643.76</v>
      </c>
      <c r="S26" s="14">
        <f>(R26/(R$31-1575)*(S$31-1575))</f>
        <v>17179.62</v>
      </c>
      <c r="T26" s="86">
        <v>9481.33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52.01</v>
      </c>
      <c r="Y26" s="268">
        <f t="shared" si="28"/>
        <v>31.13</v>
      </c>
      <c r="Z26" s="124">
        <f t="shared" si="9"/>
        <v>83.14</v>
      </c>
      <c r="AA26" s="268">
        <f t="shared" si="29"/>
        <v>19.48</v>
      </c>
      <c r="AB26" s="204">
        <f t="shared" si="29"/>
        <v>-0.51</v>
      </c>
      <c r="AC26" s="268">
        <f t="shared" si="29"/>
        <v>0</v>
      </c>
      <c r="AD26" s="204">
        <f t="shared" si="29"/>
        <v>-0.28000000000000003</v>
      </c>
      <c r="AE26" s="268">
        <f t="shared" si="29"/>
        <v>-0.15</v>
      </c>
      <c r="AF26" s="7">
        <f t="shared" si="11"/>
        <v>101.68</v>
      </c>
      <c r="AG26" s="7">
        <f>U26*AG$31</f>
        <v>-16.95</v>
      </c>
      <c r="AH26" s="7">
        <v>0</v>
      </c>
      <c r="AI26" s="124">
        <f t="shared" si="13"/>
        <v>-16.95</v>
      </c>
      <c r="AJ26" s="14">
        <f t="shared" si="14"/>
        <v>9566.06</v>
      </c>
      <c r="AK26" s="233"/>
      <c r="AL26" s="284"/>
      <c r="AM26" s="33">
        <f t="shared" si="15"/>
        <v>23209.82</v>
      </c>
      <c r="AN26" s="33">
        <f>(S26+AJ26)+((AJ26/AJ$31)*AO$49)</f>
        <v>29195.4</v>
      </c>
      <c r="AO26" s="83"/>
      <c r="AP26" s="114">
        <v>13002.29</v>
      </c>
      <c r="AQ26" s="186">
        <v>15476.66</v>
      </c>
      <c r="AR26" s="192">
        <f>G26+'08.31.19'!AR26</f>
        <v>0</v>
      </c>
      <c r="AS26" s="114">
        <f t="shared" si="23"/>
        <v>5985.58</v>
      </c>
      <c r="AT26" s="137">
        <f>K26+'08.31.19'!AT26</f>
        <v>0</v>
      </c>
      <c r="AU26" s="137">
        <f>L26+'08.31.19'!AU26</f>
        <v>81.12</v>
      </c>
      <c r="AV26" s="84">
        <f t="shared" si="24"/>
        <v>81.12</v>
      </c>
      <c r="AW26" s="84">
        <f>N26+'08.31.19'!AW26</f>
        <v>0</v>
      </c>
      <c r="AX26" s="84">
        <f>O26+'08.31.19'!AX26</f>
        <v>0</v>
      </c>
      <c r="AY26" s="84">
        <f>P26+'08.31.19'!AY26</f>
        <v>0</v>
      </c>
      <c r="AZ26" s="84">
        <f t="shared" si="25"/>
        <v>0</v>
      </c>
      <c r="BA26" s="224">
        <v>9815.51</v>
      </c>
      <c r="BB26" s="137">
        <f>Z26+'08.31.19'!BB26</f>
        <v>164.24</v>
      </c>
      <c r="BC26" s="137">
        <f>AA26+'08.31.19'!BC26</f>
        <v>24.22</v>
      </c>
      <c r="BD26" s="276">
        <f>AB26+'08.31.19'!BD26</f>
        <v>-0.51</v>
      </c>
      <c r="BE26" s="280">
        <f>AC26+'08.31.19'!BE26</f>
        <v>-5.58</v>
      </c>
      <c r="BF26" s="276">
        <f>AD26+'08.31.19'!BF26</f>
        <v>-0.28000000000000003</v>
      </c>
      <c r="BG26" s="280">
        <f>AE26+'08.31.19'!BG26</f>
        <v>-0.47</v>
      </c>
      <c r="BH26" s="84">
        <f t="shared" si="26"/>
        <v>181.62</v>
      </c>
      <c r="BI26" s="84">
        <f>AG26+'08.31.19'!BI26</f>
        <v>-49.96</v>
      </c>
      <c r="BJ26" s="84">
        <f>AH26+'08.31.19'!BJ26</f>
        <v>-381.11</v>
      </c>
      <c r="BK26" s="116">
        <f t="shared" si="27"/>
        <v>-431.07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13387.17</v>
      </c>
      <c r="G27" s="9">
        <v>0</v>
      </c>
      <c r="H27" s="129">
        <f t="shared" si="0"/>
        <v>13387.17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73.510000000000005</v>
      </c>
      <c r="M27" s="9">
        <f t="shared" si="3"/>
        <v>73.510000000000005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13460.68</v>
      </c>
      <c r="S27" s="14">
        <f>(R27/(R$31-1575)*(S$31-1575))</f>
        <v>16949.09</v>
      </c>
      <c r="T27" s="86">
        <v>7185.84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51.32</v>
      </c>
      <c r="Y27" s="268">
        <f t="shared" si="28"/>
        <v>30.71</v>
      </c>
      <c r="Z27" s="124">
        <f t="shared" si="9"/>
        <v>82.03</v>
      </c>
      <c r="AA27" s="268">
        <f t="shared" si="29"/>
        <v>19.21</v>
      </c>
      <c r="AB27" s="204">
        <f t="shared" si="29"/>
        <v>-0.5</v>
      </c>
      <c r="AC27" s="268">
        <f t="shared" si="29"/>
        <v>0</v>
      </c>
      <c r="AD27" s="204">
        <f t="shared" si="29"/>
        <v>-0.28000000000000003</v>
      </c>
      <c r="AE27" s="268">
        <f t="shared" si="29"/>
        <v>-0.15</v>
      </c>
      <c r="AF27" s="7">
        <f t="shared" si="11"/>
        <v>100.31</v>
      </c>
      <c r="AG27" s="7">
        <f>U27*AG$31</f>
        <v>-16.72</v>
      </c>
      <c r="AH27" s="7">
        <v>0</v>
      </c>
      <c r="AI27" s="124">
        <f t="shared" si="13"/>
        <v>-16.72</v>
      </c>
      <c r="AJ27" s="14">
        <f t="shared" si="14"/>
        <v>7269.43</v>
      </c>
      <c r="AK27" s="233" t="s">
        <v>120</v>
      </c>
      <c r="AL27" s="236" t="s">
        <v>115</v>
      </c>
      <c r="AM27" s="33">
        <f t="shared" si="15"/>
        <v>20730.11</v>
      </c>
      <c r="AN27" s="33">
        <f>(S27+AJ27)+((AJ27/AJ$31)*AO$49)</f>
        <v>26080.11</v>
      </c>
      <c r="AO27" s="83"/>
      <c r="AP27" s="114">
        <v>12827.82</v>
      </c>
      <c r="AQ27" s="186">
        <v>15268.99</v>
      </c>
      <c r="AR27" s="192">
        <f>G27+'08.31.19'!AR27</f>
        <v>0</v>
      </c>
      <c r="AS27" s="114">
        <f t="shared" si="23"/>
        <v>5350</v>
      </c>
      <c r="AT27" s="137">
        <f>K27+'08.31.19'!AT27</f>
        <v>0</v>
      </c>
      <c r="AU27" s="137">
        <f>L27+'08.31.19'!AU27</f>
        <v>80.03</v>
      </c>
      <c r="AV27" s="84">
        <f t="shared" si="24"/>
        <v>80.03</v>
      </c>
      <c r="AW27" s="84">
        <f>N27+'08.31.19'!AW27</f>
        <v>0</v>
      </c>
      <c r="AX27" s="84">
        <f>O27+'08.31.19'!AX27</f>
        <v>0</v>
      </c>
      <c r="AY27" s="84">
        <f>P27+'08.31.19'!AY27</f>
        <v>0</v>
      </c>
      <c r="AZ27" s="84">
        <f t="shared" si="25"/>
        <v>0</v>
      </c>
      <c r="BA27" s="224">
        <v>7139.55</v>
      </c>
      <c r="BB27" s="137">
        <f>Z27+'08.31.19'!BB27</f>
        <v>162.05000000000001</v>
      </c>
      <c r="BC27" s="137">
        <f>AA27+'08.31.19'!BC27</f>
        <v>23.88</v>
      </c>
      <c r="BD27" s="276">
        <f>AB27+'08.31.19'!BD27</f>
        <v>-0.5</v>
      </c>
      <c r="BE27" s="280">
        <f>AC27+'08.31.19'!BE27</f>
        <v>-5.51</v>
      </c>
      <c r="BF27" s="276">
        <f>AD27+'08.31.19'!BF27</f>
        <v>-0.28000000000000003</v>
      </c>
      <c r="BG27" s="280">
        <f>AE27+'08.31.19'!BG27</f>
        <v>-0.47</v>
      </c>
      <c r="BH27" s="84">
        <f t="shared" si="26"/>
        <v>179.17</v>
      </c>
      <c r="BI27" s="84">
        <f>AG27+'08.31.19'!BI27</f>
        <v>-49.29</v>
      </c>
      <c r="BJ27" s="84">
        <f>AH27+'08.31.19'!BJ27</f>
        <v>0</v>
      </c>
      <c r="BK27" s="116">
        <f t="shared" si="27"/>
        <v>-49.29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G28+'08.31.19'!AR28</f>
        <v>0</v>
      </c>
      <c r="AS28" s="114">
        <f t="shared" si="23"/>
        <v>0</v>
      </c>
      <c r="AT28" s="137">
        <f>K28+'08.31.19'!AT28</f>
        <v>0</v>
      </c>
      <c r="AU28" s="137">
        <f>L28+'08.31.19'!AU28</f>
        <v>0</v>
      </c>
      <c r="AV28" s="84">
        <f t="shared" si="24"/>
        <v>0</v>
      </c>
      <c r="AW28" s="84">
        <f>N28+'08.31.19'!AW28</f>
        <v>0</v>
      </c>
      <c r="AX28" s="84">
        <f>O28+'08.31.19'!AX28</f>
        <v>0</v>
      </c>
      <c r="AY28" s="84">
        <f>P28+'08.31.19'!AY28</f>
        <v>0</v>
      </c>
      <c r="AZ28" s="84">
        <f t="shared" si="25"/>
        <v>0</v>
      </c>
      <c r="BA28" s="224">
        <v>0</v>
      </c>
      <c r="BB28" s="137">
        <f>Z28+'08.31.19'!BB28</f>
        <v>0</v>
      </c>
      <c r="BC28" s="137">
        <f>AA28+'08.31.19'!BC28</f>
        <v>0</v>
      </c>
      <c r="BD28" s="276">
        <f>AB28+'08.31.19'!BD28</f>
        <v>0</v>
      </c>
      <c r="BE28" s="280">
        <f>AC28+'08.31.19'!BE28</f>
        <v>0</v>
      </c>
      <c r="BF28" s="276">
        <f>AD28+'08.31.19'!BF28</f>
        <v>0</v>
      </c>
      <c r="BG28" s="280">
        <f>AE28+'08.31.19'!BG28</f>
        <v>0</v>
      </c>
      <c r="BH28" s="84">
        <f t="shared" si="26"/>
        <v>0</v>
      </c>
      <c r="BI28" s="84">
        <f>AG28+'08.31.19'!BI28</f>
        <v>0</v>
      </c>
      <c r="BJ28" s="84">
        <f>AH28+'08.31.19'!BJ28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3706011.69</v>
      </c>
      <c r="G31" s="48">
        <f>SUM(G12:G29)</f>
        <v>0</v>
      </c>
      <c r="H31" s="130">
        <f>SUM(H12:H29)</f>
        <v>3706011.69</v>
      </c>
      <c r="I31" s="78">
        <f>SUM(I12:I30)</f>
        <v>1</v>
      </c>
      <c r="J31" s="115"/>
      <c r="K31" s="115">
        <v>0</v>
      </c>
      <c r="L31" s="115">
        <v>20341.29</v>
      </c>
      <c r="M31" s="48">
        <f>SUM(M12:M29)</f>
        <v>20341.29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3726352.98</v>
      </c>
      <c r="S31" s="49">
        <f>R31+AO45</f>
        <v>4691650.57</v>
      </c>
      <c r="T31" s="50">
        <f>SUM(T12:T29)</f>
        <v>2454802.52</v>
      </c>
      <c r="U31" s="51">
        <f>SUM(U12:U30)</f>
        <v>1</v>
      </c>
      <c r="V31" s="206">
        <v>0</v>
      </c>
      <c r="W31" s="306">
        <v>2454802.52</v>
      </c>
      <c r="X31" s="206">
        <f>2533.31+11666.78</f>
        <v>14200.09</v>
      </c>
      <c r="Y31" s="266">
        <f>400+8098.21</f>
        <v>8498.2099999999991</v>
      </c>
      <c r="Z31" s="115">
        <f>SUM(Z12:Z29)</f>
        <v>22698.3</v>
      </c>
      <c r="AA31" s="272">
        <v>5317.03</v>
      </c>
      <c r="AB31" s="210">
        <v>-138.16</v>
      </c>
      <c r="AC31" s="272">
        <v>0</v>
      </c>
      <c r="AD31" s="210">
        <f>-76.68</f>
        <v>-76.680000000000007</v>
      </c>
      <c r="AE31" s="272">
        <v>-41.95</v>
      </c>
      <c r="AF31" s="48">
        <f>SUM(AF12:AF29)</f>
        <v>27758.54</v>
      </c>
      <c r="AG31" s="80">
        <f>-2782.07-1845.12</f>
        <v>-4627.1899999999996</v>
      </c>
      <c r="AH31" s="48">
        <f>SUM(AH12:AH30)</f>
        <v>0</v>
      </c>
      <c r="AI31" s="115">
        <f>SUM(AI12:AI30)</f>
        <v>-4627.1899999999996</v>
      </c>
      <c r="AJ31" s="52">
        <f>SUM(AJ12:AJ30)</f>
        <v>2477933.87</v>
      </c>
      <c r="AK31" s="210">
        <f>V31+X31+AB31+AD31-13845.11</f>
        <v>140.13999999999999</v>
      </c>
      <c r="AL31" s="305">
        <f>W31+Y31+AA31+AC31+AE31++AG31+AH31+13845.11</f>
        <v>2477793.73</v>
      </c>
      <c r="AM31" s="35">
        <f>SUM(AM12:AM29)</f>
        <v>6204286.8499999996</v>
      </c>
      <c r="AN31" s="35">
        <f>3112353.06+4690215.71+1575</f>
        <v>7804143.7699999996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1599856.92</v>
      </c>
      <c r="AT31" s="115">
        <v>0</v>
      </c>
      <c r="AU31" s="115">
        <f t="shared" si="30"/>
        <v>22144.73</v>
      </c>
      <c r="AV31" s="48">
        <f t="shared" si="30"/>
        <v>22144.73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44839.98</v>
      </c>
      <c r="BC31" s="115">
        <f t="shared" si="30"/>
        <v>6610.08</v>
      </c>
      <c r="BD31" s="210">
        <f t="shared" si="30"/>
        <v>-138.16</v>
      </c>
      <c r="BE31" s="272">
        <f t="shared" si="30"/>
        <v>-1523.4</v>
      </c>
      <c r="BF31" s="210">
        <f t="shared" si="30"/>
        <v>-76.680000000000007</v>
      </c>
      <c r="BG31" s="272">
        <f t="shared" si="30"/>
        <v>-129.43</v>
      </c>
      <c r="BH31" s="48">
        <f t="shared" si="30"/>
        <v>49582.39</v>
      </c>
      <c r="BI31" s="48">
        <f t="shared" si="30"/>
        <v>-13639.62</v>
      </c>
      <c r="BJ31" s="48">
        <f t="shared" si="30"/>
        <v>-381.11</v>
      </c>
      <c r="BK31" s="73">
        <f t="shared" si="30"/>
        <v>-14020.73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3704436.69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3724777.98</v>
      </c>
      <c r="S34" s="259">
        <f>S31+S33</f>
        <v>4690075.57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6202711.8499999996</v>
      </c>
      <c r="AN34" s="259">
        <f>AN31+AN33</f>
        <v>7802568.7699999996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'08.31.19'!R31</f>
        <v>3706011.69</v>
      </c>
      <c r="G38" s="121">
        <f>SUM(G12:G29)</f>
        <v>0</v>
      </c>
      <c r="H38" s="121">
        <f>F31+G31+P31</f>
        <v>3706011.69</v>
      </c>
      <c r="I38" s="144">
        <v>1</v>
      </c>
      <c r="J38" s="121"/>
      <c r="K38" s="121">
        <f>SUM(K12:K29)</f>
        <v>0</v>
      </c>
      <c r="L38" s="121">
        <f>SUM(L12:L29)</f>
        <v>20341.29</v>
      </c>
      <c r="M38" s="121">
        <f>K31+L31</f>
        <v>20341.29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3726352.98</v>
      </c>
      <c r="S38" s="121">
        <f>SUM(S12:S29)</f>
        <v>4691650.57</v>
      </c>
      <c r="T38" s="121">
        <f>'08.31.19'!AJ31</f>
        <v>2454802.52</v>
      </c>
      <c r="U38" s="144">
        <v>1</v>
      </c>
      <c r="V38" s="229"/>
      <c r="W38" s="198"/>
      <c r="X38" s="121">
        <f t="shared" ref="X38:AE38" si="31">SUM(X12:X29)</f>
        <v>14200.09</v>
      </c>
      <c r="Y38" s="121">
        <f t="shared" si="31"/>
        <v>8498.2099999999991</v>
      </c>
      <c r="Z38" s="121">
        <f t="shared" si="31"/>
        <v>22698.3</v>
      </c>
      <c r="AA38" s="121">
        <f t="shared" si="31"/>
        <v>5317.03</v>
      </c>
      <c r="AB38" s="121">
        <f t="shared" si="31"/>
        <v>-138.16</v>
      </c>
      <c r="AC38" s="121">
        <f t="shared" si="31"/>
        <v>0</v>
      </c>
      <c r="AD38" s="121">
        <f t="shared" si="31"/>
        <v>-76.680000000000007</v>
      </c>
      <c r="AE38" s="121">
        <f t="shared" si="31"/>
        <v>-41.95</v>
      </c>
      <c r="AF38" s="121">
        <f>SUM(Z31:AE31)</f>
        <v>27758.54</v>
      </c>
      <c r="AG38" s="121">
        <f>SUM(AG12:AG29)</f>
        <v>-4627.1899999999996</v>
      </c>
      <c r="AH38" s="121">
        <f>SUM(AH12:AH29)</f>
        <v>0</v>
      </c>
      <c r="AI38" s="121">
        <f>AG38+AH38</f>
        <v>-4627.1899999999996</v>
      </c>
      <c r="AJ38" s="121">
        <f>T31+AF31+AI31</f>
        <v>2477933.87</v>
      </c>
      <c r="AK38" s="149"/>
      <c r="AL38" s="121"/>
      <c r="AM38" s="121">
        <f>R31+AJ31</f>
        <v>6204286.8499999996</v>
      </c>
      <c r="AN38" s="121">
        <f>SUM(AN12:AN29)</f>
        <v>7804143.7699999996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20341.29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27758.54</v>
      </c>
      <c r="BI38" s="146">
        <f>AG31</f>
        <v>-4627.1899999999996</v>
      </c>
      <c r="BJ38" s="146">
        <f>AH31</f>
        <v>0</v>
      </c>
      <c r="BK38" s="146">
        <f>AI31</f>
        <v>-4627.1899999999996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1803.44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21823.85</v>
      </c>
      <c r="BI40" s="149">
        <f t="shared" si="33"/>
        <v>-9012.43</v>
      </c>
      <c r="BJ40" s="149">
        <f t="shared" si="33"/>
        <v>-381.11</v>
      </c>
      <c r="BK40" s="149">
        <f t="shared" si="33"/>
        <v>-9393.5400000000009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'08.31.19'!AR31</f>
        <v>0</v>
      </c>
      <c r="AS41" s="141"/>
      <c r="AT41" s="141"/>
      <c r="AU41" s="141"/>
      <c r="AV41" s="141">
        <f>'08.31.19'!AV31</f>
        <v>1803.44</v>
      </c>
      <c r="AW41" s="141">
        <f>'08.31.19'!AW31</f>
        <v>0</v>
      </c>
      <c r="AX41" s="141">
        <f>'08.31.19'!AX31</f>
        <v>0</v>
      </c>
      <c r="AY41" s="141">
        <f>'08.31.19'!AY31</f>
        <v>0</v>
      </c>
      <c r="AZ41" s="141">
        <f>'08.31.19'!AZ31</f>
        <v>0</v>
      </c>
      <c r="BA41" s="181"/>
      <c r="BB41" s="181"/>
      <c r="BC41" s="181"/>
      <c r="BD41" s="181"/>
      <c r="BE41" s="181"/>
      <c r="BF41" s="181"/>
      <c r="BG41" s="181"/>
      <c r="BH41" s="141">
        <f>'08.31.19'!BH31</f>
        <v>21823.85</v>
      </c>
      <c r="BI41" s="141">
        <f>'08.31.19'!BI31</f>
        <v>-9012.43</v>
      </c>
      <c r="BJ41" s="141">
        <f>'08.31.19'!BJ31</f>
        <v>-381.11</v>
      </c>
      <c r="BK41" s="141">
        <f>'08.31.19'!BK31</f>
        <v>-9393.5400000000009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 t="shared" si="35"/>
        <v>0</v>
      </c>
      <c r="AH42" s="298">
        <f t="shared" si="35"/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3724777.98</v>
      </c>
      <c r="AM45" s="289"/>
      <c r="AN45" s="289">
        <v>4690075.57</v>
      </c>
      <c r="AO45" s="307">
        <f>AN45-AL45</f>
        <v>965297.59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140.13999999999999</v>
      </c>
      <c r="AM46" s="289">
        <f>AL45+AL46</f>
        <v>3724918.12</v>
      </c>
      <c r="AN46" s="289">
        <v>140.13999999999999</v>
      </c>
      <c r="AO46" s="307">
        <f>AN46-AL46</f>
        <v>0</v>
      </c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2355828.44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121965.29</v>
      </c>
      <c r="AM49" s="290">
        <f>AL48+AL49</f>
        <v>2477793.73</v>
      </c>
      <c r="AN49" s="290">
        <v>3112353.06</v>
      </c>
      <c r="AO49" s="307">
        <f>AN49-AM49</f>
        <v>634559.32999999996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6202711.8499999996</v>
      </c>
      <c r="AN51" s="296">
        <f>AN45+AN46+AN49</f>
        <v>7802568.7699999996</v>
      </c>
      <c r="AO51" s="308">
        <f>AO45+AO46+AO49</f>
        <v>1599856.92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166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65526.81</v>
      </c>
      <c r="G12" s="9">
        <v>0</v>
      </c>
      <c r="H12" s="129">
        <f t="shared" ref="H12:H28" si="0">F12+G12+P12</f>
        <v>65526.81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0</v>
      </c>
      <c r="M12" s="9">
        <f t="shared" ref="M12:M28" si="3">K12+L12</f>
        <v>0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65526.81</v>
      </c>
      <c r="S12" s="14">
        <f t="shared" ref="S12:S23" si="7">(R12/(R$31-1575)*(S$31-1575))</f>
        <v>83321.3</v>
      </c>
      <c r="T12" s="86">
        <v>24766.76</v>
      </c>
      <c r="U12" s="79">
        <f t="shared" ref="U12:U28" si="8">I12</f>
        <v>1.7592139999999999E-2</v>
      </c>
      <c r="V12" s="203"/>
      <c r="W12" s="264"/>
      <c r="X12" s="204">
        <f>$U12*X$31</f>
        <v>135.78</v>
      </c>
      <c r="Y12" s="268">
        <f>$U12*Y$31</f>
        <v>111.58</v>
      </c>
      <c r="Z12" s="124">
        <f t="shared" ref="Z12:Z28" si="9">X12+Y12</f>
        <v>247.36</v>
      </c>
      <c r="AA12" s="268">
        <f t="shared" ref="AA12:AE23" si="10">$U12*AA$31</f>
        <v>0</v>
      </c>
      <c r="AB12" s="204">
        <f t="shared" si="10"/>
        <v>0</v>
      </c>
      <c r="AC12" s="268">
        <f t="shared" si="10"/>
        <v>-13.18</v>
      </c>
      <c r="AD12" s="204">
        <f t="shared" si="10"/>
        <v>0</v>
      </c>
      <c r="AE12" s="268">
        <f t="shared" si="10"/>
        <v>-1.54</v>
      </c>
      <c r="AF12" s="7">
        <f t="shared" ref="AF12:AF28" si="11">SUM(Z12:AE12)</f>
        <v>232.64</v>
      </c>
      <c r="AG12" s="7">
        <f t="shared" ref="AG12:AG23" si="12">U12*AG$31</f>
        <v>-79.36</v>
      </c>
      <c r="AH12" s="7">
        <v>0</v>
      </c>
      <c r="AI12" s="124">
        <f t="shared" ref="AI12:AI28" si="13">AG12+AH12</f>
        <v>-79.36</v>
      </c>
      <c r="AJ12" s="14">
        <f t="shared" ref="AJ12:AJ28" si="14">T12+AF12+AI12</f>
        <v>24920.04</v>
      </c>
      <c r="AK12" s="233"/>
      <c r="AL12" s="236"/>
      <c r="AM12" s="33">
        <f t="shared" ref="AM12:AM28" si="15">R12+AJ12</f>
        <v>90446.85</v>
      </c>
      <c r="AN12" s="33">
        <f t="shared" ref="AN12:AN23" si="16">(S12+AJ12)+((AJ12/AJ$31)*AO$49)</f>
        <v>114813.82</v>
      </c>
      <c r="AO12" s="83"/>
      <c r="AP12" s="114">
        <v>62445.99</v>
      </c>
      <c r="AQ12" s="186">
        <v>74329.64</v>
      </c>
      <c r="AR12" s="192">
        <f>G12+'09.30.19'!AR12</f>
        <v>0</v>
      </c>
      <c r="AS12" s="114">
        <f t="shared" ref="AS12:AS17" si="17">AN12-AM12</f>
        <v>24366.97</v>
      </c>
      <c r="AT12" s="137">
        <f>K12+'09.30.19'!AT12</f>
        <v>0</v>
      </c>
      <c r="AU12" s="137">
        <f>L12+'09.30.19'!AU12</f>
        <v>389.58</v>
      </c>
      <c r="AV12" s="84">
        <f t="shared" ref="AV12:AV17" si="18">AT12+AU12</f>
        <v>389.58</v>
      </c>
      <c r="AW12" s="84">
        <f>N12+'09.30.19'!AW12</f>
        <v>0</v>
      </c>
      <c r="AX12" s="84">
        <f>O12+'09.30.19'!AX12</f>
        <v>0</v>
      </c>
      <c r="AY12" s="84">
        <f>P12+'09.30.19'!AY12</f>
        <v>0</v>
      </c>
      <c r="AZ12" s="84">
        <f t="shared" ref="AZ12:AZ17" si="19">AX12+AY12</f>
        <v>0</v>
      </c>
      <c r="BA12" s="224">
        <v>27434.37</v>
      </c>
      <c r="BB12" s="137">
        <f>Z12+'09.30.19'!BB12</f>
        <v>1036.19</v>
      </c>
      <c r="BC12" s="137">
        <f>AA12+'09.30.19'!BC12</f>
        <v>116.29</v>
      </c>
      <c r="BD12" s="276">
        <f>AB12+'09.30.19'!BD12</f>
        <v>-2.4300000000000002</v>
      </c>
      <c r="BE12" s="280">
        <f>AC12+'09.30.19'!BE12</f>
        <v>-39.979999999999997</v>
      </c>
      <c r="BF12" s="276">
        <f>AD12+'09.30.19'!BF12</f>
        <v>-1.35</v>
      </c>
      <c r="BG12" s="280">
        <f>AE12+'09.30.19'!BG12</f>
        <v>-3.82</v>
      </c>
      <c r="BH12" s="84">
        <f t="shared" ref="BH12:BH17" si="20">SUM(BB12:BG12)</f>
        <v>1104.9000000000001</v>
      </c>
      <c r="BI12" s="84">
        <f>AG12+'09.30.19'!BI12</f>
        <v>-319.31</v>
      </c>
      <c r="BJ12" s="84">
        <f>AH12+'09.30.19'!BJ12</f>
        <v>-3299.92</v>
      </c>
      <c r="BK12" s="116">
        <f t="shared" ref="BK12:BK17" si="21">BI12+BJ12</f>
        <v>-3619.23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5178.05</v>
      </c>
      <c r="G13" s="9">
        <v>0</v>
      </c>
      <c r="H13" s="129">
        <f t="shared" si="0"/>
        <v>5178.05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0</v>
      </c>
      <c r="M13" s="9">
        <f t="shared" si="3"/>
        <v>0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5178.05</v>
      </c>
      <c r="S13" s="14">
        <f t="shared" si="7"/>
        <v>6584.2</v>
      </c>
      <c r="T13" s="86">
        <v>3776.62</v>
      </c>
      <c r="U13" s="79">
        <f t="shared" si="8"/>
        <v>1.3901600000000001E-3</v>
      </c>
      <c r="V13" s="203"/>
      <c r="W13" s="264"/>
      <c r="X13" s="204">
        <f>$U13*X$31</f>
        <v>10.73</v>
      </c>
      <c r="Y13" s="268">
        <f>$U13*Y$31</f>
        <v>8.82</v>
      </c>
      <c r="Z13" s="124">
        <f t="shared" si="9"/>
        <v>19.55</v>
      </c>
      <c r="AA13" s="268">
        <f t="shared" si="10"/>
        <v>0</v>
      </c>
      <c r="AB13" s="204">
        <f t="shared" si="10"/>
        <v>0</v>
      </c>
      <c r="AC13" s="268">
        <f t="shared" si="10"/>
        <v>-1.04</v>
      </c>
      <c r="AD13" s="204">
        <f t="shared" si="10"/>
        <v>0</v>
      </c>
      <c r="AE13" s="268">
        <f t="shared" si="10"/>
        <v>-0.12</v>
      </c>
      <c r="AF13" s="7">
        <f t="shared" si="11"/>
        <v>18.39</v>
      </c>
      <c r="AG13" s="7">
        <f t="shared" si="12"/>
        <v>-6.27</v>
      </c>
      <c r="AH13" s="7">
        <v>0</v>
      </c>
      <c r="AI13" s="124">
        <f t="shared" si="13"/>
        <v>-6.27</v>
      </c>
      <c r="AJ13" s="14">
        <f t="shared" si="14"/>
        <v>3788.74</v>
      </c>
      <c r="AK13" s="233"/>
      <c r="AL13" s="236"/>
      <c r="AM13" s="33">
        <f t="shared" si="15"/>
        <v>8966.7900000000009</v>
      </c>
      <c r="AN13" s="33">
        <f t="shared" si="16"/>
        <v>11372.19</v>
      </c>
      <c r="AO13" s="83"/>
      <c r="AP13" s="114">
        <v>4934.59</v>
      </c>
      <c r="AQ13" s="186">
        <v>5873.66</v>
      </c>
      <c r="AR13" s="192">
        <f>G13+'09.30.19'!AR13</f>
        <v>0</v>
      </c>
      <c r="AS13" s="114">
        <f t="shared" si="17"/>
        <v>2405.4</v>
      </c>
      <c r="AT13" s="137">
        <f>K13+'09.30.19'!AT13</f>
        <v>0</v>
      </c>
      <c r="AU13" s="137">
        <f>L13+'09.30.19'!AU13</f>
        <v>30.79</v>
      </c>
      <c r="AV13" s="84">
        <f t="shared" si="18"/>
        <v>30.79</v>
      </c>
      <c r="AW13" s="84">
        <f>N13+'09.30.19'!AW13</f>
        <v>0</v>
      </c>
      <c r="AX13" s="84">
        <f>O13+'09.30.19'!AX13</f>
        <v>0</v>
      </c>
      <c r="AY13" s="84">
        <f>P13+'09.30.19'!AY13</f>
        <v>0</v>
      </c>
      <c r="AZ13" s="84">
        <f t="shared" si="19"/>
        <v>0</v>
      </c>
      <c r="BA13" s="224">
        <v>3726.67</v>
      </c>
      <c r="BB13" s="137">
        <f>Z13+'09.30.19'!BB13</f>
        <v>81.87</v>
      </c>
      <c r="BC13" s="137">
        <f>AA13+'09.30.19'!BC13</f>
        <v>9.19</v>
      </c>
      <c r="BD13" s="276">
        <f>AB13+'09.30.19'!BD13</f>
        <v>-0.19</v>
      </c>
      <c r="BE13" s="280">
        <f>AC13+'09.30.19'!BE13</f>
        <v>-3.16</v>
      </c>
      <c r="BF13" s="276">
        <f>AD13+'09.30.19'!BF13</f>
        <v>-0.11</v>
      </c>
      <c r="BG13" s="280">
        <f>AE13+'09.30.19'!BG13</f>
        <v>-0.3</v>
      </c>
      <c r="BH13" s="84">
        <f t="shared" si="20"/>
        <v>87.3</v>
      </c>
      <c r="BI13" s="84">
        <f>AG13+'09.30.19'!BI13</f>
        <v>-25.23</v>
      </c>
      <c r="BJ13" s="84">
        <f>AH13+'09.30.19'!BJ13</f>
        <v>0</v>
      </c>
      <c r="BK13" s="116">
        <f t="shared" si="21"/>
        <v>-25.23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381050.05</v>
      </c>
      <c r="G14" s="9">
        <v>0</v>
      </c>
      <c r="H14" s="129">
        <f t="shared" si="0"/>
        <v>381050.05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0</v>
      </c>
      <c r="M14" s="9">
        <f t="shared" si="3"/>
        <v>0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381050.05</v>
      </c>
      <c r="S14" s="14">
        <f t="shared" si="7"/>
        <v>484528.19</v>
      </c>
      <c r="T14" s="86">
        <v>325316.83</v>
      </c>
      <c r="U14" s="79">
        <f t="shared" si="8"/>
        <v>0.10230141</v>
      </c>
      <c r="V14" s="304"/>
      <c r="W14" s="304"/>
      <c r="X14" s="204">
        <f>($U14*X$31)</f>
        <v>789.6</v>
      </c>
      <c r="Y14" s="268">
        <f>($U14*Y$31)</f>
        <v>648.88</v>
      </c>
      <c r="Z14" s="124">
        <f t="shared" si="9"/>
        <v>1438.48</v>
      </c>
      <c r="AA14" s="268">
        <f t="shared" si="10"/>
        <v>0</v>
      </c>
      <c r="AB14" s="204">
        <f t="shared" si="10"/>
        <v>0</v>
      </c>
      <c r="AC14" s="268">
        <f t="shared" si="10"/>
        <v>-76.62</v>
      </c>
      <c r="AD14" s="204">
        <f t="shared" si="10"/>
        <v>0</v>
      </c>
      <c r="AE14" s="268">
        <f t="shared" si="10"/>
        <v>-8.9499999999999993</v>
      </c>
      <c r="AF14" s="7">
        <f t="shared" si="11"/>
        <v>1352.91</v>
      </c>
      <c r="AG14" s="7">
        <f t="shared" si="12"/>
        <v>-461.49</v>
      </c>
      <c r="AH14" s="7">
        <v>0</v>
      </c>
      <c r="AI14" s="124">
        <f t="shared" si="13"/>
        <v>-461.49</v>
      </c>
      <c r="AJ14" s="14">
        <f t="shared" si="14"/>
        <v>326208.25</v>
      </c>
      <c r="AK14" s="233"/>
      <c r="AL14" s="236"/>
      <c r="AM14" s="33">
        <f t="shared" si="15"/>
        <v>707258.3</v>
      </c>
      <c r="AN14" s="33">
        <f t="shared" si="16"/>
        <v>896771.48</v>
      </c>
      <c r="AO14" s="83"/>
      <c r="AP14" s="114">
        <v>363134.62</v>
      </c>
      <c r="AQ14" s="186">
        <v>432240.15</v>
      </c>
      <c r="AR14" s="192">
        <f>G14+'09.30.19'!AR14</f>
        <v>0</v>
      </c>
      <c r="AS14" s="114">
        <f t="shared" si="17"/>
        <v>189513.18</v>
      </c>
      <c r="AT14" s="137">
        <f>K14+'09.30.19'!AT14</f>
        <v>0</v>
      </c>
      <c r="AU14" s="137">
        <f>L14+'09.30.19'!AU14</f>
        <v>2265.4299999999998</v>
      </c>
      <c r="AV14" s="84">
        <f t="shared" si="18"/>
        <v>2265.4299999999998</v>
      </c>
      <c r="AW14" s="84">
        <f>N14+'09.30.19'!AW14</f>
        <v>0</v>
      </c>
      <c r="AX14" s="84">
        <f>O14+'09.30.19'!AX14</f>
        <v>0</v>
      </c>
      <c r="AY14" s="84">
        <f>P14+'09.30.19'!AY14</f>
        <v>0</v>
      </c>
      <c r="AZ14" s="84">
        <f t="shared" si="19"/>
        <v>0</v>
      </c>
      <c r="BA14" s="224">
        <v>321639.82</v>
      </c>
      <c r="BB14" s="137">
        <f>Z14+'09.30.19'!BB14</f>
        <v>6025.68</v>
      </c>
      <c r="BC14" s="137">
        <f>AA14+'09.30.19'!BC14</f>
        <v>676.22</v>
      </c>
      <c r="BD14" s="276">
        <f>AB14+'09.30.19'!BD14</f>
        <v>-14.13</v>
      </c>
      <c r="BE14" s="280">
        <f>AC14+'09.30.19'!BE14</f>
        <v>-232.47</v>
      </c>
      <c r="BF14" s="276">
        <f>AD14+'09.30.19'!BF14</f>
        <v>-7.84</v>
      </c>
      <c r="BG14" s="280">
        <f>AE14+'09.30.19'!BG14</f>
        <v>-22.19</v>
      </c>
      <c r="BH14" s="84">
        <f t="shared" si="20"/>
        <v>6425.27</v>
      </c>
      <c r="BI14" s="84">
        <f>AG14+'09.30.19'!BI14</f>
        <v>-1856.84</v>
      </c>
      <c r="BJ14" s="84">
        <f>AH14+'09.30.19'!BJ14</f>
        <v>0</v>
      </c>
      <c r="BK14" s="116">
        <f t="shared" si="21"/>
        <v>-1856.84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165030.60999999999</v>
      </c>
      <c r="G15" s="9">
        <v>0</v>
      </c>
      <c r="H15" s="129">
        <f t="shared" si="0"/>
        <v>165030.60999999999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0</v>
      </c>
      <c r="M15" s="9">
        <f t="shared" si="3"/>
        <v>0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165030.60999999999</v>
      </c>
      <c r="S15" s="14">
        <f t="shared" si="7"/>
        <v>209846.39999999999</v>
      </c>
      <c r="T15" s="86">
        <v>174316.14</v>
      </c>
      <c r="U15" s="79">
        <f t="shared" si="8"/>
        <v>4.4306159999999997E-2</v>
      </c>
      <c r="V15" s="203"/>
      <c r="W15" s="264"/>
      <c r="X15" s="204">
        <f t="shared" ref="X15:Y23" si="22">$U15*X$31</f>
        <v>341.97</v>
      </c>
      <c r="Y15" s="268">
        <f t="shared" si="22"/>
        <v>281.02</v>
      </c>
      <c r="Z15" s="124">
        <f t="shared" si="9"/>
        <v>622.99</v>
      </c>
      <c r="AA15" s="268">
        <f t="shared" si="10"/>
        <v>0</v>
      </c>
      <c r="AB15" s="204">
        <f t="shared" si="10"/>
        <v>0</v>
      </c>
      <c r="AC15" s="268">
        <f t="shared" si="10"/>
        <v>-33.19</v>
      </c>
      <c r="AD15" s="204">
        <f t="shared" si="10"/>
        <v>0</v>
      </c>
      <c r="AE15" s="268">
        <f t="shared" si="10"/>
        <v>-3.88</v>
      </c>
      <c r="AF15" s="7">
        <f t="shared" si="11"/>
        <v>585.91999999999996</v>
      </c>
      <c r="AG15" s="7">
        <f t="shared" si="12"/>
        <v>-199.87</v>
      </c>
      <c r="AH15" s="7">
        <v>0</v>
      </c>
      <c r="AI15" s="124">
        <f t="shared" si="13"/>
        <v>-199.87</v>
      </c>
      <c r="AJ15" s="14">
        <f t="shared" si="14"/>
        <v>174702.19</v>
      </c>
      <c r="AK15" s="233"/>
      <c r="AL15" s="236"/>
      <c r="AM15" s="33">
        <f t="shared" si="15"/>
        <v>339732.8</v>
      </c>
      <c r="AN15" s="33">
        <f t="shared" si="16"/>
        <v>430625.02</v>
      </c>
      <c r="AO15" s="83"/>
      <c r="AP15" s="114">
        <v>157271.56</v>
      </c>
      <c r="AQ15" s="186">
        <v>187200.78</v>
      </c>
      <c r="AR15" s="192">
        <f>G15+'09.30.19'!AR15</f>
        <v>0</v>
      </c>
      <c r="AS15" s="114">
        <f t="shared" si="17"/>
        <v>90892.22</v>
      </c>
      <c r="AT15" s="137">
        <f>K15+'09.30.19'!AT15</f>
        <v>0</v>
      </c>
      <c r="AU15" s="137">
        <f>L15+'09.30.19'!AU15</f>
        <v>981.14</v>
      </c>
      <c r="AV15" s="84">
        <f t="shared" si="18"/>
        <v>981.14</v>
      </c>
      <c r="AW15" s="84">
        <f>N15+'09.30.19'!AW15</f>
        <v>0</v>
      </c>
      <c r="AX15" s="84">
        <f>O15+'09.30.19'!AX15</f>
        <v>0</v>
      </c>
      <c r="AY15" s="84">
        <f>P15+'09.30.19'!AY15</f>
        <v>0</v>
      </c>
      <c r="AZ15" s="84">
        <f t="shared" si="19"/>
        <v>0</v>
      </c>
      <c r="BA15" s="224">
        <v>172723.67</v>
      </c>
      <c r="BB15" s="137">
        <f>Z15+'09.30.19'!BB15</f>
        <v>2609.67</v>
      </c>
      <c r="BC15" s="137">
        <f>AA15+'09.30.19'!BC15</f>
        <v>292.87</v>
      </c>
      <c r="BD15" s="276">
        <f>AB15+'09.30.19'!BD15</f>
        <v>-6.12</v>
      </c>
      <c r="BE15" s="280">
        <f>AC15+'09.30.19'!BE15</f>
        <v>-100.69</v>
      </c>
      <c r="BF15" s="276">
        <f>AD15+'09.30.19'!BF15</f>
        <v>-3.4</v>
      </c>
      <c r="BG15" s="280">
        <f>AE15+'09.30.19'!BG15</f>
        <v>-9.6199999999999992</v>
      </c>
      <c r="BH15" s="84">
        <f t="shared" si="20"/>
        <v>2782.71</v>
      </c>
      <c r="BI15" s="84">
        <f>AG15+'09.30.19'!BI15</f>
        <v>-804.19</v>
      </c>
      <c r="BJ15" s="84">
        <f>AH15+'09.30.19'!BJ15</f>
        <v>0</v>
      </c>
      <c r="BK15" s="116">
        <f t="shared" si="21"/>
        <v>-804.19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10165.32</v>
      </c>
      <c r="G16" s="9">
        <v>0</v>
      </c>
      <c r="H16" s="129">
        <f t="shared" si="0"/>
        <v>10165.32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0</v>
      </c>
      <c r="M16" s="9">
        <f t="shared" si="3"/>
        <v>0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10165.32</v>
      </c>
      <c r="S16" s="14">
        <f t="shared" si="7"/>
        <v>12925.82</v>
      </c>
      <c r="T16" s="86">
        <v>7429.63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21.06</v>
      </c>
      <c r="Y16" s="268">
        <f t="shared" si="22"/>
        <v>17.309999999999999</v>
      </c>
      <c r="Z16" s="124">
        <f t="shared" si="9"/>
        <v>38.369999999999997</v>
      </c>
      <c r="AA16" s="268">
        <f t="shared" si="10"/>
        <v>0</v>
      </c>
      <c r="AB16" s="204">
        <f t="shared" si="10"/>
        <v>0</v>
      </c>
      <c r="AC16" s="268">
        <f t="shared" si="10"/>
        <v>-2.04</v>
      </c>
      <c r="AD16" s="204">
        <f t="shared" si="10"/>
        <v>0</v>
      </c>
      <c r="AE16" s="268">
        <f t="shared" si="10"/>
        <v>-0.24</v>
      </c>
      <c r="AF16" s="7">
        <f t="shared" si="11"/>
        <v>36.090000000000003</v>
      </c>
      <c r="AG16" s="7">
        <f t="shared" si="12"/>
        <v>-12.31</v>
      </c>
      <c r="AH16" s="7">
        <v>0</v>
      </c>
      <c r="AI16" s="124">
        <f t="shared" si="13"/>
        <v>-12.31</v>
      </c>
      <c r="AJ16" s="14">
        <f t="shared" si="14"/>
        <v>7453.41</v>
      </c>
      <c r="AK16" s="233" t="s">
        <v>118</v>
      </c>
      <c r="AL16" s="236" t="s">
        <v>114</v>
      </c>
      <c r="AM16" s="33">
        <f t="shared" si="15"/>
        <v>17618.73</v>
      </c>
      <c r="AN16" s="33">
        <f t="shared" si="16"/>
        <v>22345.01</v>
      </c>
      <c r="AO16" s="83"/>
      <c r="AP16" s="114">
        <v>9687.4</v>
      </c>
      <c r="AQ16" s="186">
        <v>11530.94</v>
      </c>
      <c r="AR16" s="192">
        <f>G16+'09.30.19'!AR16</f>
        <v>0</v>
      </c>
      <c r="AS16" s="114">
        <f t="shared" si="17"/>
        <v>4726.28</v>
      </c>
      <c r="AT16" s="137">
        <f>K16+'09.30.19'!AT16</f>
        <v>0</v>
      </c>
      <c r="AU16" s="137">
        <f>L16+'09.30.19'!AU16</f>
        <v>60.43</v>
      </c>
      <c r="AV16" s="84">
        <f t="shared" si="18"/>
        <v>60.43</v>
      </c>
      <c r="AW16" s="84">
        <f>N16+'09.30.19'!AW16</f>
        <v>0</v>
      </c>
      <c r="AX16" s="84">
        <f>O16+'09.30.19'!AX16</f>
        <v>0</v>
      </c>
      <c r="AY16" s="84">
        <f>P16+'09.30.19'!AY16</f>
        <v>0</v>
      </c>
      <c r="AZ16" s="84">
        <f t="shared" si="19"/>
        <v>0</v>
      </c>
      <c r="BA16" s="224">
        <v>7331.55</v>
      </c>
      <c r="BB16" s="137">
        <f>Z16+'09.30.19'!BB16</f>
        <v>160.74</v>
      </c>
      <c r="BC16" s="137">
        <f>AA16+'09.30.19'!BC16</f>
        <v>18.04</v>
      </c>
      <c r="BD16" s="276">
        <f>AB16+'09.30.19'!BD16</f>
        <v>-0.38</v>
      </c>
      <c r="BE16" s="280">
        <f>AC16+'09.30.19'!BE16</f>
        <v>-6.2</v>
      </c>
      <c r="BF16" s="276">
        <f>AD16+'09.30.19'!BF16</f>
        <v>-0.21</v>
      </c>
      <c r="BG16" s="280">
        <f>AE16+'09.30.19'!BG16</f>
        <v>-0.59</v>
      </c>
      <c r="BH16" s="84">
        <f t="shared" si="20"/>
        <v>171.4</v>
      </c>
      <c r="BI16" s="84">
        <f>AG16+'09.30.19'!BI16</f>
        <v>-49.54</v>
      </c>
      <c r="BJ16" s="84">
        <f>AH16+'09.30.19'!BJ16</f>
        <v>0</v>
      </c>
      <c r="BK16" s="116">
        <f t="shared" si="21"/>
        <v>-49.54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885.86</v>
      </c>
      <c r="G17" s="9">
        <v>0</v>
      </c>
      <c r="H17" s="129">
        <f t="shared" si="0"/>
        <v>885.86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0</v>
      </c>
      <c r="M17" s="9">
        <f t="shared" si="3"/>
        <v>0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885.86</v>
      </c>
      <c r="S17" s="14">
        <f t="shared" si="7"/>
        <v>1126.42</v>
      </c>
      <c r="T17" s="86">
        <v>658.78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1.84</v>
      </c>
      <c r="Y17" s="268">
        <f t="shared" si="22"/>
        <v>1.51</v>
      </c>
      <c r="Z17" s="124">
        <f t="shared" si="9"/>
        <v>3.35</v>
      </c>
      <c r="AA17" s="268">
        <f t="shared" si="10"/>
        <v>0</v>
      </c>
      <c r="AB17" s="204">
        <f t="shared" si="10"/>
        <v>0</v>
      </c>
      <c r="AC17" s="268">
        <f t="shared" si="10"/>
        <v>-0.18</v>
      </c>
      <c r="AD17" s="204">
        <f t="shared" si="10"/>
        <v>0</v>
      </c>
      <c r="AE17" s="268">
        <f t="shared" si="10"/>
        <v>-0.02</v>
      </c>
      <c r="AF17" s="7">
        <f t="shared" si="11"/>
        <v>3.15</v>
      </c>
      <c r="AG17" s="7">
        <f t="shared" si="12"/>
        <v>-1.07</v>
      </c>
      <c r="AH17" s="7">
        <v>0</v>
      </c>
      <c r="AI17" s="124">
        <f t="shared" si="13"/>
        <v>-1.07</v>
      </c>
      <c r="AJ17" s="14">
        <f t="shared" si="14"/>
        <v>660.86</v>
      </c>
      <c r="AK17" s="233" t="s">
        <v>129</v>
      </c>
      <c r="AL17" s="282" t="s">
        <v>128</v>
      </c>
      <c r="AM17" s="33">
        <f t="shared" si="15"/>
        <v>1546.72</v>
      </c>
      <c r="AN17" s="33">
        <f t="shared" si="16"/>
        <v>1961.58</v>
      </c>
      <c r="AO17" s="83"/>
      <c r="AP17" s="114">
        <v>844.21</v>
      </c>
      <c r="AQ17" s="186">
        <v>1004.87</v>
      </c>
      <c r="AR17" s="192">
        <f>G17+'09.30.19'!AR17</f>
        <v>0</v>
      </c>
      <c r="AS17" s="114">
        <f t="shared" si="17"/>
        <v>414.86</v>
      </c>
      <c r="AT17" s="137">
        <f>K17+'09.30.19'!AT17</f>
        <v>0</v>
      </c>
      <c r="AU17" s="137">
        <f>L17+'09.30.19'!AU17</f>
        <v>5.27</v>
      </c>
      <c r="AV17" s="84">
        <f t="shared" si="18"/>
        <v>5.27</v>
      </c>
      <c r="AW17" s="84">
        <f>N17+'09.30.19'!AW17</f>
        <v>0</v>
      </c>
      <c r="AX17" s="84">
        <f>O17+'09.30.19'!AX17</f>
        <v>0</v>
      </c>
      <c r="AY17" s="84">
        <f>P17+'09.30.19'!AY17</f>
        <v>0</v>
      </c>
      <c r="AZ17" s="84">
        <f t="shared" si="19"/>
        <v>0</v>
      </c>
      <c r="BA17" s="224">
        <v>650.23</v>
      </c>
      <c r="BB17" s="137">
        <f>Z17+'09.30.19'!BB17</f>
        <v>14.01</v>
      </c>
      <c r="BC17" s="137">
        <f>AA17+'09.30.19'!BC17</f>
        <v>1.57</v>
      </c>
      <c r="BD17" s="276">
        <f>AB17+'09.30.19'!BD17</f>
        <v>-0.03</v>
      </c>
      <c r="BE17" s="280">
        <f>AC17+'09.30.19'!BE17</f>
        <v>-0.54</v>
      </c>
      <c r="BF17" s="276">
        <f>AD17+'09.30.19'!BF17</f>
        <v>-0.02</v>
      </c>
      <c r="BG17" s="280">
        <f>AE17+'09.30.19'!BG17</f>
        <v>-0.05</v>
      </c>
      <c r="BH17" s="84">
        <f t="shared" si="20"/>
        <v>14.94</v>
      </c>
      <c r="BI17" s="84">
        <f>AG17+'09.30.19'!BI17</f>
        <v>-4.3099999999999996</v>
      </c>
      <c r="BJ17" s="84">
        <f>AH17+'09.30.19'!BJ17</f>
        <v>0</v>
      </c>
      <c r="BK17" s="116">
        <f t="shared" si="21"/>
        <v>-4.3099999999999996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27923.439999999999</v>
      </c>
      <c r="G18" s="9">
        <v>0</v>
      </c>
      <c r="H18" s="129">
        <f t="shared" si="0"/>
        <v>27923.439999999999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0</v>
      </c>
      <c r="M18" s="9">
        <f t="shared" si="3"/>
        <v>0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27923.439999999999</v>
      </c>
      <c r="S18" s="14">
        <f t="shared" si="7"/>
        <v>35506.339999999997</v>
      </c>
      <c r="T18" s="86">
        <v>7514.27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57.86</v>
      </c>
      <c r="Y18" s="268">
        <f t="shared" si="22"/>
        <v>47.55</v>
      </c>
      <c r="Z18" s="124">
        <f t="shared" si="9"/>
        <v>105.41</v>
      </c>
      <c r="AA18" s="268">
        <f t="shared" si="10"/>
        <v>0</v>
      </c>
      <c r="AB18" s="204">
        <f t="shared" si="10"/>
        <v>0</v>
      </c>
      <c r="AC18" s="268">
        <f t="shared" si="10"/>
        <v>-5.62</v>
      </c>
      <c r="AD18" s="204">
        <f t="shared" si="10"/>
        <v>0</v>
      </c>
      <c r="AE18" s="268">
        <f t="shared" si="10"/>
        <v>-0.66</v>
      </c>
      <c r="AF18" s="7">
        <f t="shared" si="11"/>
        <v>99.13</v>
      </c>
      <c r="AG18" s="7">
        <f t="shared" si="12"/>
        <v>-33.82</v>
      </c>
      <c r="AH18" s="7">
        <v>0</v>
      </c>
      <c r="AI18" s="124">
        <f t="shared" si="13"/>
        <v>-33.82</v>
      </c>
      <c r="AJ18" s="14">
        <f t="shared" si="14"/>
        <v>7579.58</v>
      </c>
      <c r="AK18" s="281"/>
      <c r="AL18" s="281"/>
      <c r="AM18" s="33">
        <f t="shared" si="15"/>
        <v>35503.019999999997</v>
      </c>
      <c r="AN18" s="33">
        <f t="shared" si="16"/>
        <v>45084.98</v>
      </c>
      <c r="AO18" s="83"/>
      <c r="AP18" s="114">
        <v>26610.59</v>
      </c>
      <c r="AQ18" s="186">
        <v>31674.66</v>
      </c>
      <c r="AR18" s="192">
        <f>G18+'09.30.19'!AR18</f>
        <v>0</v>
      </c>
      <c r="AS18" s="114">
        <f t="shared" ref="AS18:AS28" si="23">AN18-AM18</f>
        <v>9581.9599999999991</v>
      </c>
      <c r="AT18" s="137">
        <f>K18+'09.30.19'!AT18</f>
        <v>0</v>
      </c>
      <c r="AU18" s="137">
        <f>L18+'09.30.19'!AU18</f>
        <v>166.01</v>
      </c>
      <c r="AV18" s="84">
        <f t="shared" ref="AV18:AV28" si="24">AT18+AU18</f>
        <v>166.01</v>
      </c>
      <c r="AW18" s="84">
        <f>N18+'09.30.19'!AW18</f>
        <v>0</v>
      </c>
      <c r="AX18" s="84">
        <f>O18+'09.30.19'!AX18</f>
        <v>0</v>
      </c>
      <c r="AY18" s="84">
        <f>P18+'09.30.19'!AY18</f>
        <v>0</v>
      </c>
      <c r="AZ18" s="84">
        <f t="shared" ref="AZ18:AZ28" si="25">AX18+AY18</f>
        <v>0</v>
      </c>
      <c r="BA18" s="224">
        <v>7244.82</v>
      </c>
      <c r="BB18" s="137">
        <f>Z18+'09.30.19'!BB18</f>
        <v>441.56</v>
      </c>
      <c r="BC18" s="137">
        <f>AA18+'09.30.19'!BC18</f>
        <v>49.55</v>
      </c>
      <c r="BD18" s="276">
        <f>AB18+'09.30.19'!BD18</f>
        <v>-1.04</v>
      </c>
      <c r="BE18" s="280">
        <f>AC18+'09.30.19'!BE18</f>
        <v>-17.04</v>
      </c>
      <c r="BF18" s="276">
        <f>AD18+'09.30.19'!BF18</f>
        <v>-0.56999999999999995</v>
      </c>
      <c r="BG18" s="280">
        <f>AE18+'09.30.19'!BG18</f>
        <v>-1.63</v>
      </c>
      <c r="BH18" s="84">
        <f t="shared" ref="BH18:BH28" si="26">SUM(BB18:BG18)</f>
        <v>470.83</v>
      </c>
      <c r="BI18" s="84">
        <f>AG18+'09.30.19'!BI18</f>
        <v>-136.07</v>
      </c>
      <c r="BJ18" s="84">
        <f>AH18+'09.30.19'!BJ18</f>
        <v>0</v>
      </c>
      <c r="BK18" s="116">
        <f t="shared" ref="BK18:BK28" si="27">BI18+BJ18</f>
        <v>-136.07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94318.38</v>
      </c>
      <c r="G19" s="9">
        <v>0</v>
      </c>
      <c r="H19" s="129">
        <f t="shared" si="0"/>
        <v>94318.38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0</v>
      </c>
      <c r="M19" s="9">
        <f t="shared" si="3"/>
        <v>0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94318.38</v>
      </c>
      <c r="S19" s="14">
        <f t="shared" si="7"/>
        <v>119931.53</v>
      </c>
      <c r="T19" s="86">
        <v>68853.39</v>
      </c>
      <c r="U19" s="79">
        <f t="shared" si="8"/>
        <v>2.5321880000000001E-2</v>
      </c>
      <c r="V19" s="203"/>
      <c r="W19" s="264"/>
      <c r="X19" s="204">
        <f t="shared" si="22"/>
        <v>195.44</v>
      </c>
      <c r="Y19" s="268">
        <f t="shared" si="22"/>
        <v>160.61000000000001</v>
      </c>
      <c r="Z19" s="124">
        <f t="shared" si="9"/>
        <v>356.05</v>
      </c>
      <c r="AA19" s="268">
        <f t="shared" si="10"/>
        <v>0</v>
      </c>
      <c r="AB19" s="204">
        <f t="shared" si="10"/>
        <v>0</v>
      </c>
      <c r="AC19" s="268">
        <f t="shared" si="10"/>
        <v>-18.97</v>
      </c>
      <c r="AD19" s="204">
        <f t="shared" si="10"/>
        <v>0</v>
      </c>
      <c r="AE19" s="268">
        <f t="shared" si="10"/>
        <v>-2.2200000000000002</v>
      </c>
      <c r="AF19" s="7">
        <f t="shared" si="11"/>
        <v>334.86</v>
      </c>
      <c r="AG19" s="7">
        <f t="shared" si="12"/>
        <v>-114.23</v>
      </c>
      <c r="AH19" s="7">
        <v>0</v>
      </c>
      <c r="AI19" s="124">
        <f t="shared" si="13"/>
        <v>-114.23</v>
      </c>
      <c r="AJ19" s="14">
        <f t="shared" si="14"/>
        <v>69074.02</v>
      </c>
      <c r="AK19" s="233"/>
      <c r="AL19" s="237"/>
      <c r="AM19" s="33">
        <f t="shared" si="15"/>
        <v>163392.4</v>
      </c>
      <c r="AN19" s="33">
        <f t="shared" si="16"/>
        <v>207223.32</v>
      </c>
      <c r="AO19" s="83"/>
      <c r="AP19" s="114">
        <v>89883.9</v>
      </c>
      <c r="AQ19" s="186">
        <v>106989.06</v>
      </c>
      <c r="AR19" s="192">
        <f>G19+'09.30.19'!AR19</f>
        <v>0</v>
      </c>
      <c r="AS19" s="114">
        <f t="shared" si="23"/>
        <v>43830.92</v>
      </c>
      <c r="AT19" s="137">
        <f>K19+'09.30.19'!AT19</f>
        <v>0</v>
      </c>
      <c r="AU19" s="137">
        <f>L19+'09.30.19'!AU19</f>
        <v>560.75</v>
      </c>
      <c r="AV19" s="84">
        <f t="shared" si="24"/>
        <v>560.75</v>
      </c>
      <c r="AW19" s="84">
        <f>N19+'09.30.19'!AW19</f>
        <v>0</v>
      </c>
      <c r="AX19" s="84">
        <f>O19+'09.30.19'!AX19</f>
        <v>0</v>
      </c>
      <c r="AY19" s="84">
        <f>P19+'09.30.19'!AY19</f>
        <v>0</v>
      </c>
      <c r="AZ19" s="84">
        <f t="shared" si="25"/>
        <v>0</v>
      </c>
      <c r="BA19" s="224">
        <v>67943.259999999995</v>
      </c>
      <c r="BB19" s="137">
        <f>Z19+'09.30.19'!BB19</f>
        <v>1491.48</v>
      </c>
      <c r="BC19" s="137">
        <f>AA19+'09.30.19'!BC19</f>
        <v>167.38</v>
      </c>
      <c r="BD19" s="276">
        <f>AB19+'09.30.19'!BD19</f>
        <v>-3.5</v>
      </c>
      <c r="BE19" s="280">
        <f>AC19+'09.30.19'!BE19</f>
        <v>-57.55</v>
      </c>
      <c r="BF19" s="276">
        <f>AD19+'09.30.19'!BF19</f>
        <v>-1.94</v>
      </c>
      <c r="BG19" s="280">
        <f>AE19+'09.30.19'!BG19</f>
        <v>-5.5</v>
      </c>
      <c r="BH19" s="84">
        <f t="shared" si="26"/>
        <v>1590.37</v>
      </c>
      <c r="BI19" s="84">
        <f>AG19+'09.30.19'!BI19</f>
        <v>-459.61</v>
      </c>
      <c r="BJ19" s="84">
        <f>AH19+'09.30.19'!BJ19</f>
        <v>0</v>
      </c>
      <c r="BK19" s="116">
        <f t="shared" si="27"/>
        <v>-459.61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34906.21</v>
      </c>
      <c r="G20" s="9">
        <v>0</v>
      </c>
      <c r="H20" s="129">
        <f t="shared" si="0"/>
        <v>34906.21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0</v>
      </c>
      <c r="M20" s="9">
        <f t="shared" si="3"/>
        <v>0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34906.21</v>
      </c>
      <c r="S20" s="14">
        <f t="shared" si="7"/>
        <v>44385.36</v>
      </c>
      <c r="T20" s="86">
        <v>18753.96</v>
      </c>
      <c r="U20" s="79">
        <f t="shared" si="8"/>
        <v>9.3713500000000005E-3</v>
      </c>
      <c r="V20" s="315"/>
      <c r="W20" s="315"/>
      <c r="X20" s="204">
        <f t="shared" si="22"/>
        <v>72.33</v>
      </c>
      <c r="Y20" s="268">
        <f t="shared" si="22"/>
        <v>59.44</v>
      </c>
      <c r="Z20" s="124">
        <f t="shared" si="9"/>
        <v>131.77000000000001</v>
      </c>
      <c r="AA20" s="268">
        <f t="shared" si="10"/>
        <v>0</v>
      </c>
      <c r="AB20" s="204">
        <f t="shared" si="10"/>
        <v>0</v>
      </c>
      <c r="AC20" s="268">
        <f t="shared" si="10"/>
        <v>-7.02</v>
      </c>
      <c r="AD20" s="204">
        <f t="shared" si="10"/>
        <v>0</v>
      </c>
      <c r="AE20" s="268">
        <f t="shared" si="10"/>
        <v>-0.82</v>
      </c>
      <c r="AF20" s="7">
        <f t="shared" si="11"/>
        <v>123.93</v>
      </c>
      <c r="AG20" s="7">
        <f t="shared" si="12"/>
        <v>-42.27</v>
      </c>
      <c r="AH20" s="7">
        <v>0</v>
      </c>
      <c r="AI20" s="124">
        <f t="shared" si="13"/>
        <v>-42.27</v>
      </c>
      <c r="AJ20" s="14">
        <f t="shared" si="14"/>
        <v>18835.62</v>
      </c>
      <c r="AK20" s="283"/>
      <c r="AL20" s="284"/>
      <c r="AM20" s="33">
        <f t="shared" si="15"/>
        <v>53741.83</v>
      </c>
      <c r="AN20" s="33">
        <f t="shared" si="16"/>
        <v>68188.740000000005</v>
      </c>
      <c r="AO20" s="83"/>
      <c r="AP20" s="114">
        <v>33265.06</v>
      </c>
      <c r="AQ20" s="186">
        <v>39595.49</v>
      </c>
      <c r="AR20" s="192">
        <f>G20+'09.30.19'!AR20</f>
        <v>0</v>
      </c>
      <c r="AS20" s="114">
        <f t="shared" si="23"/>
        <v>14446.91</v>
      </c>
      <c r="AT20" s="137">
        <f>K20+'09.30.19'!AT20</f>
        <v>0</v>
      </c>
      <c r="AU20" s="137">
        <f>L20+'09.30.19'!AU20</f>
        <v>207.53</v>
      </c>
      <c r="AV20" s="84">
        <f t="shared" si="24"/>
        <v>207.53</v>
      </c>
      <c r="AW20" s="84">
        <f>N20+'09.30.19'!AW20</f>
        <v>0</v>
      </c>
      <c r="AX20" s="84">
        <f>O20+'09.30.19'!AX20</f>
        <v>0</v>
      </c>
      <c r="AY20" s="84">
        <f>P20+'09.30.19'!AY20</f>
        <v>0</v>
      </c>
      <c r="AZ20" s="84">
        <f t="shared" si="25"/>
        <v>0</v>
      </c>
      <c r="BA20" s="224">
        <v>18417.12</v>
      </c>
      <c r="BB20" s="137">
        <f>Z20+'09.30.19'!BB20</f>
        <v>551.98</v>
      </c>
      <c r="BC20" s="137">
        <f>AA20+'09.30.19'!BC20</f>
        <v>61.95</v>
      </c>
      <c r="BD20" s="276">
        <f>AB20+'09.30.19'!BD20</f>
        <v>-1.29</v>
      </c>
      <c r="BE20" s="280">
        <f>AC20+'09.30.19'!BE20</f>
        <v>-21.3</v>
      </c>
      <c r="BF20" s="276">
        <f>AD20+'09.30.19'!BF20</f>
        <v>-0.72</v>
      </c>
      <c r="BG20" s="280">
        <f>AE20+'09.30.19'!BG20</f>
        <v>-2.0299999999999998</v>
      </c>
      <c r="BH20" s="84">
        <f t="shared" si="26"/>
        <v>588.59</v>
      </c>
      <c r="BI20" s="84">
        <f>AG20+'09.30.19'!BI20</f>
        <v>-170.09</v>
      </c>
      <c r="BJ20" s="84">
        <f>AH20+'09.30.19'!BJ20</f>
        <v>0</v>
      </c>
      <c r="BK20" s="116">
        <f t="shared" si="27"/>
        <v>-170.09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538180.86</v>
      </c>
      <c r="G21" s="9">
        <v>0</v>
      </c>
      <c r="H21" s="129">
        <f t="shared" si="0"/>
        <v>538180.86</v>
      </c>
      <c r="I21" s="76">
        <f t="shared" si="1"/>
        <v>0.1444867</v>
      </c>
      <c r="J21" s="128"/>
      <c r="K21" s="128">
        <f t="shared" si="2"/>
        <v>0</v>
      </c>
      <c r="L21" s="128">
        <f t="shared" si="2"/>
        <v>0</v>
      </c>
      <c r="M21" s="9">
        <f t="shared" si="3"/>
        <v>0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538180.86</v>
      </c>
      <c r="S21" s="14">
        <f t="shared" si="7"/>
        <v>684329.52</v>
      </c>
      <c r="T21" s="86">
        <v>501485.35</v>
      </c>
      <c r="U21" s="79">
        <f t="shared" si="8"/>
        <v>0.1444867</v>
      </c>
      <c r="V21" s="203"/>
      <c r="W21" s="264"/>
      <c r="X21" s="204">
        <f t="shared" si="22"/>
        <v>1115.2</v>
      </c>
      <c r="Y21" s="268">
        <f t="shared" si="22"/>
        <v>916.45</v>
      </c>
      <c r="Z21" s="124">
        <f t="shared" si="9"/>
        <v>2031.65</v>
      </c>
      <c r="AA21" s="268">
        <f t="shared" si="10"/>
        <v>0</v>
      </c>
      <c r="AB21" s="204">
        <f t="shared" si="10"/>
        <v>0</v>
      </c>
      <c r="AC21" s="268">
        <f t="shared" si="10"/>
        <v>-108.22</v>
      </c>
      <c r="AD21" s="204">
        <f t="shared" si="10"/>
        <v>0</v>
      </c>
      <c r="AE21" s="268">
        <f t="shared" si="10"/>
        <v>-12.64</v>
      </c>
      <c r="AF21" s="7">
        <f t="shared" si="11"/>
        <v>1910.79</v>
      </c>
      <c r="AG21" s="7">
        <f t="shared" si="12"/>
        <v>-651.79</v>
      </c>
      <c r="AH21" s="7">
        <v>0</v>
      </c>
      <c r="AI21" s="124">
        <f t="shared" si="13"/>
        <v>-651.79</v>
      </c>
      <c r="AJ21" s="14">
        <f t="shared" si="14"/>
        <v>502744.35</v>
      </c>
      <c r="AK21" s="285"/>
      <c r="AL21" s="236"/>
      <c r="AM21" s="33">
        <f t="shared" si="15"/>
        <v>1040925.21</v>
      </c>
      <c r="AN21" s="33">
        <f t="shared" si="16"/>
        <v>1319669.02</v>
      </c>
      <c r="AO21" s="83"/>
      <c r="AP21" s="114">
        <v>512877.8</v>
      </c>
      <c r="AQ21" s="186">
        <v>610479.87</v>
      </c>
      <c r="AR21" s="192">
        <f>G21+'09.30.19'!AR21</f>
        <v>0</v>
      </c>
      <c r="AS21" s="114">
        <f t="shared" si="23"/>
        <v>278743.81</v>
      </c>
      <c r="AT21" s="137">
        <f>K21+'09.30.19'!AT21</f>
        <v>0</v>
      </c>
      <c r="AU21" s="137">
        <f>L21+'09.30.19'!AU21</f>
        <v>3199.62</v>
      </c>
      <c r="AV21" s="84">
        <f t="shared" si="24"/>
        <v>3199.62</v>
      </c>
      <c r="AW21" s="84">
        <f>N21+'09.30.19'!AW21</f>
        <v>0</v>
      </c>
      <c r="AX21" s="84">
        <f>O21+'09.30.19'!AX21</f>
        <v>0</v>
      </c>
      <c r="AY21" s="84">
        <f>P21+'09.30.19'!AY21</f>
        <v>0</v>
      </c>
      <c r="AZ21" s="84">
        <f t="shared" si="25"/>
        <v>0</v>
      </c>
      <c r="BA21" s="224">
        <v>492992.17</v>
      </c>
      <c r="BB21" s="137">
        <f>Z21+'09.30.19'!BB21</f>
        <v>8510.43</v>
      </c>
      <c r="BC21" s="137">
        <f>AA21+'09.30.19'!BC21</f>
        <v>955.07</v>
      </c>
      <c r="BD21" s="276">
        <f>AB21+'09.30.19'!BD21</f>
        <v>-19.96</v>
      </c>
      <c r="BE21" s="280">
        <f>AC21+'09.30.19'!BE21</f>
        <v>-328.33</v>
      </c>
      <c r="BF21" s="276">
        <f>AD21+'09.30.19'!BF21</f>
        <v>-11.08</v>
      </c>
      <c r="BG21" s="280">
        <f>AE21+'09.30.19'!BG21</f>
        <v>-31.34</v>
      </c>
      <c r="BH21" s="84">
        <f t="shared" si="26"/>
        <v>9074.7900000000009</v>
      </c>
      <c r="BI21" s="84">
        <f>AG21+'09.30.19'!BI21</f>
        <v>-2622.53</v>
      </c>
      <c r="BJ21" s="84">
        <f>AH21+'09.30.19'!BJ21</f>
        <v>3299.92</v>
      </c>
      <c r="BK21" s="116">
        <f t="shared" si="27"/>
        <v>677.39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550823.18999999994</v>
      </c>
      <c r="G22" s="9">
        <v>0</v>
      </c>
      <c r="H22" s="129">
        <f t="shared" si="0"/>
        <v>550823.18999999994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0</v>
      </c>
      <c r="M22" s="9">
        <f t="shared" si="3"/>
        <v>0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550823.18999999994</v>
      </c>
      <c r="S22" s="14">
        <f t="shared" si="7"/>
        <v>700405.01</v>
      </c>
      <c r="T22" s="86">
        <v>426604.05</v>
      </c>
      <c r="U22" s="79">
        <f t="shared" si="8"/>
        <v>0.14788081</v>
      </c>
      <c r="V22" s="316"/>
      <c r="W22" s="317"/>
      <c r="X22" s="204">
        <f t="shared" si="22"/>
        <v>1141.4000000000001</v>
      </c>
      <c r="Y22" s="268">
        <f t="shared" si="22"/>
        <v>937.98</v>
      </c>
      <c r="Z22" s="124">
        <f t="shared" si="9"/>
        <v>2079.38</v>
      </c>
      <c r="AA22" s="268">
        <f t="shared" si="10"/>
        <v>0</v>
      </c>
      <c r="AB22" s="204">
        <f t="shared" si="10"/>
        <v>0</v>
      </c>
      <c r="AC22" s="268">
        <f t="shared" si="10"/>
        <v>-110.76</v>
      </c>
      <c r="AD22" s="204">
        <f t="shared" si="10"/>
        <v>0</v>
      </c>
      <c r="AE22" s="268">
        <f t="shared" si="10"/>
        <v>-12.94</v>
      </c>
      <c r="AF22" s="7">
        <f t="shared" si="11"/>
        <v>1955.68</v>
      </c>
      <c r="AG22" s="7">
        <f t="shared" si="12"/>
        <v>-667.1</v>
      </c>
      <c r="AH22" s="7">
        <v>0</v>
      </c>
      <c r="AI22" s="124">
        <f t="shared" si="13"/>
        <v>-667.1</v>
      </c>
      <c r="AJ22" s="14">
        <f t="shared" si="14"/>
        <v>427892.63</v>
      </c>
      <c r="AK22" s="283"/>
      <c r="AL22" s="284"/>
      <c r="AM22" s="33">
        <f t="shared" si="15"/>
        <v>978715.82</v>
      </c>
      <c r="AN22" s="33">
        <f t="shared" si="16"/>
        <v>1241151.2</v>
      </c>
      <c r="AO22" s="83"/>
      <c r="AP22" s="114">
        <v>524925.73</v>
      </c>
      <c r="AQ22" s="186">
        <v>624820.56000000006</v>
      </c>
      <c r="AR22" s="192">
        <f>G22+'09.30.19'!AR22</f>
        <v>0</v>
      </c>
      <c r="AS22" s="114">
        <f t="shared" si="23"/>
        <v>262435.38</v>
      </c>
      <c r="AT22" s="137">
        <f>K22+'09.30.19'!AT22</f>
        <v>0</v>
      </c>
      <c r="AU22" s="137">
        <f>L22+'09.30.19'!AU22</f>
        <v>3274.78</v>
      </c>
      <c r="AV22" s="84">
        <f t="shared" si="24"/>
        <v>3274.78</v>
      </c>
      <c r="AW22" s="84">
        <f>N22+'09.30.19'!AW22</f>
        <v>0</v>
      </c>
      <c r="AX22" s="84">
        <f>O22+'09.30.19'!AX22</f>
        <v>0</v>
      </c>
      <c r="AY22" s="84">
        <f>P22+'09.30.19'!AY22</f>
        <v>0</v>
      </c>
      <c r="AZ22" s="84">
        <f t="shared" si="25"/>
        <v>0</v>
      </c>
      <c r="BA22" s="224">
        <v>421288.81</v>
      </c>
      <c r="BB22" s="137">
        <f>Z22+'09.30.19'!BB22</f>
        <v>8710.34</v>
      </c>
      <c r="BC22" s="137">
        <f>AA22+'09.30.19'!BC22</f>
        <v>977.51</v>
      </c>
      <c r="BD22" s="276">
        <f>AB22+'09.30.19'!BD22</f>
        <v>-20.43</v>
      </c>
      <c r="BE22" s="280">
        <f>AC22+'09.30.19'!BE22</f>
        <v>-336.04</v>
      </c>
      <c r="BF22" s="276">
        <f>AD22+'09.30.19'!BF22</f>
        <v>-11.34</v>
      </c>
      <c r="BG22" s="280">
        <f>AE22+'09.30.19'!BG22</f>
        <v>-32.08</v>
      </c>
      <c r="BH22" s="84">
        <f t="shared" si="26"/>
        <v>9287.9599999999991</v>
      </c>
      <c r="BI22" s="84">
        <f>AG22+'09.30.19'!BI22</f>
        <v>-2684.14</v>
      </c>
      <c r="BJ22" s="84">
        <f>AH22+'09.30.19'!BJ22</f>
        <v>0</v>
      </c>
      <c r="BK22" s="116">
        <f t="shared" si="27"/>
        <v>-2684.14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2848.93</v>
      </c>
      <c r="G23" s="9">
        <v>0</v>
      </c>
      <c r="H23" s="129">
        <f t="shared" si="0"/>
        <v>2848.93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0</v>
      </c>
      <c r="M23" s="9">
        <f t="shared" si="3"/>
        <v>0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2848.93</v>
      </c>
      <c r="S23" s="14">
        <f t="shared" si="7"/>
        <v>3622.59</v>
      </c>
      <c r="T23" s="86">
        <v>2038.67</v>
      </c>
      <c r="U23" s="79">
        <f t="shared" si="8"/>
        <v>7.6486000000000002E-4</v>
      </c>
      <c r="V23" s="203"/>
      <c r="W23" s="264"/>
      <c r="X23" s="204">
        <f t="shared" si="22"/>
        <v>5.9</v>
      </c>
      <c r="Y23" s="268">
        <f t="shared" si="22"/>
        <v>4.8499999999999996</v>
      </c>
      <c r="Z23" s="124">
        <f t="shared" si="9"/>
        <v>10.75</v>
      </c>
      <c r="AA23" s="268">
        <f t="shared" si="10"/>
        <v>0</v>
      </c>
      <c r="AB23" s="204">
        <f t="shared" si="10"/>
        <v>0</v>
      </c>
      <c r="AC23" s="268">
        <f t="shared" si="10"/>
        <v>-0.56999999999999995</v>
      </c>
      <c r="AD23" s="204">
        <f t="shared" si="10"/>
        <v>0</v>
      </c>
      <c r="AE23" s="268">
        <f t="shared" si="10"/>
        <v>-7.0000000000000007E-2</v>
      </c>
      <c r="AF23" s="7">
        <f t="shared" si="11"/>
        <v>10.11</v>
      </c>
      <c r="AG23" s="7">
        <f t="shared" si="12"/>
        <v>-3.45</v>
      </c>
      <c r="AH23" s="7">
        <v>0</v>
      </c>
      <c r="AI23" s="124">
        <f t="shared" si="13"/>
        <v>-3.45</v>
      </c>
      <c r="AJ23" s="14">
        <f t="shared" si="14"/>
        <v>2045.33</v>
      </c>
      <c r="AK23" s="285"/>
      <c r="AL23" s="236"/>
      <c r="AM23" s="33">
        <f t="shared" si="15"/>
        <v>4894.26</v>
      </c>
      <c r="AN23" s="33">
        <f t="shared" si="16"/>
        <v>6207.36</v>
      </c>
      <c r="AO23" s="83"/>
      <c r="AP23" s="114">
        <v>2714.97</v>
      </c>
      <c r="AQ23" s="186">
        <v>3231.64</v>
      </c>
      <c r="AR23" s="192">
        <f>G23+'09.30.19'!AR23</f>
        <v>0</v>
      </c>
      <c r="AS23" s="114">
        <f t="shared" si="23"/>
        <v>1313.1</v>
      </c>
      <c r="AT23" s="137">
        <f>K23+'09.30.19'!AT23</f>
        <v>0</v>
      </c>
      <c r="AU23" s="137">
        <f>L23+'09.30.19'!AU23</f>
        <v>16.940000000000001</v>
      </c>
      <c r="AV23" s="84">
        <f t="shared" si="24"/>
        <v>16.940000000000001</v>
      </c>
      <c r="AW23" s="84">
        <f>N23+'09.30.19'!AW23</f>
        <v>0</v>
      </c>
      <c r="AX23" s="84">
        <f>O23+'09.30.19'!AX23</f>
        <v>0</v>
      </c>
      <c r="AY23" s="84">
        <f>P23+'09.30.19'!AY23</f>
        <v>0</v>
      </c>
      <c r="AZ23" s="84">
        <f t="shared" si="25"/>
        <v>0</v>
      </c>
      <c r="BA23" s="224">
        <v>2011.18</v>
      </c>
      <c r="BB23" s="137">
        <f>Z23+'09.30.19'!BB23</f>
        <v>45.05</v>
      </c>
      <c r="BC23" s="137">
        <f>AA23+'09.30.19'!BC23</f>
        <v>5.0599999999999996</v>
      </c>
      <c r="BD23" s="276">
        <f>AB23+'09.30.19'!BD23</f>
        <v>-0.11</v>
      </c>
      <c r="BE23" s="280">
        <f>AC23+'09.30.19'!BE23</f>
        <v>-1.74</v>
      </c>
      <c r="BF23" s="276">
        <f>AD23+'09.30.19'!BF23</f>
        <v>-0.06</v>
      </c>
      <c r="BG23" s="280">
        <f>AE23+'09.30.19'!BG23</f>
        <v>-0.17</v>
      </c>
      <c r="BH23" s="84">
        <f t="shared" si="26"/>
        <v>48.03</v>
      </c>
      <c r="BI23" s="84">
        <f>AG23+'09.30.19'!BI23</f>
        <v>-13.88</v>
      </c>
      <c r="BJ23" s="84">
        <f>AH23+'09.30.19'!BJ23</f>
        <v>0</v>
      </c>
      <c r="BK23" s="116">
        <f t="shared" si="27"/>
        <v>-13.88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1495194.43</v>
      </c>
      <c r="G24" s="9">
        <v>0</v>
      </c>
      <c r="H24" s="129">
        <f t="shared" si="0"/>
        <v>1495194.43</v>
      </c>
      <c r="I24" s="76">
        <f>H24/(H$31-1575)+0.00000001</f>
        <v>0.40141841</v>
      </c>
      <c r="J24" s="128"/>
      <c r="K24" s="128">
        <f>$I24*K$31</f>
        <v>0</v>
      </c>
      <c r="L24" s="318">
        <f>($I24*L$31)</f>
        <v>0</v>
      </c>
      <c r="M24" s="9">
        <f t="shared" si="3"/>
        <v>0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1495194.43</v>
      </c>
      <c r="S24" s="14">
        <f>(R24/(R$31-1575)*(S$31-1575))</f>
        <v>1901230.16</v>
      </c>
      <c r="T24" s="86">
        <v>712718.89</v>
      </c>
      <c r="U24" s="79">
        <f t="shared" si="8"/>
        <v>0.40141841</v>
      </c>
      <c r="V24" s="203"/>
      <c r="W24" s="264"/>
      <c r="X24" s="311">
        <f>($U24*X$31)+0.01</f>
        <v>3098.3</v>
      </c>
      <c r="Y24" s="312">
        <f>($U24*Y$31)</f>
        <v>2546.11</v>
      </c>
      <c r="Z24" s="313">
        <f t="shared" si="9"/>
        <v>5644.41</v>
      </c>
      <c r="AA24" s="312">
        <f>($U24*AA$31)</f>
        <v>0</v>
      </c>
      <c r="AB24" s="311">
        <f>($U24*AB$31)</f>
        <v>0</v>
      </c>
      <c r="AC24" s="312">
        <f>($U24*AC$31)</f>
        <v>-300.67</v>
      </c>
      <c r="AD24" s="311">
        <f>($U24*AD$31)</f>
        <v>0</v>
      </c>
      <c r="AE24" s="312">
        <f>($U24*AE$31)+0.03</f>
        <v>-35.090000000000003</v>
      </c>
      <c r="AF24" s="7">
        <f t="shared" si="11"/>
        <v>5308.65</v>
      </c>
      <c r="AG24" s="7">
        <f>(U24*AG$31)</f>
        <v>-1810.81</v>
      </c>
      <c r="AH24" s="7">
        <v>0</v>
      </c>
      <c r="AI24" s="124">
        <f t="shared" si="13"/>
        <v>-1810.81</v>
      </c>
      <c r="AJ24" s="14">
        <f t="shared" si="14"/>
        <v>716216.73</v>
      </c>
      <c r="AK24" s="285"/>
      <c r="AL24" s="236"/>
      <c r="AM24" s="33">
        <f t="shared" si="15"/>
        <v>2211411.16</v>
      </c>
      <c r="AN24" s="33">
        <f>((S24+AJ24)+((AJ24/AJ$31)*AO$49))-0.01</f>
        <v>2806343.81</v>
      </c>
      <c r="AO24" s="83"/>
      <c r="AP24" s="114">
        <v>1424896.51</v>
      </c>
      <c r="AQ24" s="186">
        <v>1696058.26</v>
      </c>
      <c r="AR24" s="192">
        <f>G24+'09.30.19'!AR24</f>
        <v>0</v>
      </c>
      <c r="AS24" s="114">
        <f t="shared" si="23"/>
        <v>594932.65</v>
      </c>
      <c r="AT24" s="137">
        <f>K24+'09.30.19'!AT24</f>
        <v>0</v>
      </c>
      <c r="AU24" s="137">
        <f>L24+'09.30.19'!AU24</f>
        <v>8889.2900000000009</v>
      </c>
      <c r="AV24" s="84">
        <f t="shared" si="24"/>
        <v>8889.2900000000009</v>
      </c>
      <c r="AW24" s="84">
        <f>N24+'09.30.19'!AW24</f>
        <v>0</v>
      </c>
      <c r="AX24" s="84">
        <f>O24+'09.30.19'!AX24</f>
        <v>0</v>
      </c>
      <c r="AY24" s="84">
        <f>P24+'09.30.19'!AY24</f>
        <v>0</v>
      </c>
      <c r="AZ24" s="84">
        <f t="shared" si="25"/>
        <v>0</v>
      </c>
      <c r="BA24" s="224">
        <v>698290.76</v>
      </c>
      <c r="BB24" s="137">
        <f>Z24+'09.30.19'!BB24</f>
        <v>23644.05</v>
      </c>
      <c r="BC24" s="137">
        <f>AA24+'09.30.19'!BC24</f>
        <v>2653.38</v>
      </c>
      <c r="BD24" s="276">
        <f>AB24+'09.30.19'!BD24</f>
        <v>-55.46</v>
      </c>
      <c r="BE24" s="280">
        <f>AC24+'09.30.19'!BE24</f>
        <v>-912.17</v>
      </c>
      <c r="BF24" s="276">
        <f>AD24+'09.30.19'!BF24</f>
        <v>-30.78</v>
      </c>
      <c r="BG24" s="280">
        <f>AE24+'09.30.19'!BG24</f>
        <v>-87.04</v>
      </c>
      <c r="BH24" s="84">
        <f t="shared" si="26"/>
        <v>25211.98</v>
      </c>
      <c r="BI24" s="84">
        <f>AG24+'09.30.19'!BI24</f>
        <v>-7286.01</v>
      </c>
      <c r="BJ24" s="84">
        <f>AH24+'09.30.19'!BJ24</f>
        <v>0</v>
      </c>
      <c r="BK24" s="116">
        <f t="shared" si="27"/>
        <v>-7286.01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325641.40000000002</v>
      </c>
      <c r="G25" s="9">
        <v>0</v>
      </c>
      <c r="H25" s="129">
        <f t="shared" si="0"/>
        <v>325641.40000000002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0</v>
      </c>
      <c r="M25" s="9">
        <f t="shared" si="3"/>
        <v>0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325641.40000000002</v>
      </c>
      <c r="S25" s="14">
        <f>(R25/(R$31-1575)*(S$31-1575))</f>
        <v>414072.74</v>
      </c>
      <c r="T25" s="86">
        <v>186865.04</v>
      </c>
      <c r="U25" s="79">
        <f t="shared" si="8"/>
        <v>8.7425719999999998E-2</v>
      </c>
      <c r="V25" s="203"/>
      <c r="W25" s="264"/>
      <c r="X25" s="204">
        <f t="shared" ref="X25:Y28" si="28">$U25*X$31</f>
        <v>674.78</v>
      </c>
      <c r="Y25" s="268">
        <f t="shared" si="28"/>
        <v>554.52</v>
      </c>
      <c r="Z25" s="124">
        <f t="shared" si="9"/>
        <v>1229.3</v>
      </c>
      <c r="AA25" s="268">
        <f t="shared" ref="AA25:AE28" si="29">$U25*AA$31</f>
        <v>0</v>
      </c>
      <c r="AB25" s="204">
        <f t="shared" si="29"/>
        <v>0</v>
      </c>
      <c r="AC25" s="268">
        <f t="shared" si="29"/>
        <v>-65.48</v>
      </c>
      <c r="AD25" s="204">
        <f t="shared" si="29"/>
        <v>0</v>
      </c>
      <c r="AE25" s="268">
        <f t="shared" si="29"/>
        <v>-7.65</v>
      </c>
      <c r="AF25" s="7">
        <f t="shared" si="11"/>
        <v>1156.17</v>
      </c>
      <c r="AG25" s="7">
        <f>U25*AG$31</f>
        <v>-394.38</v>
      </c>
      <c r="AH25" s="7">
        <v>0</v>
      </c>
      <c r="AI25" s="124">
        <f t="shared" si="13"/>
        <v>-394.38</v>
      </c>
      <c r="AJ25" s="14">
        <f t="shared" si="14"/>
        <v>187626.83</v>
      </c>
      <c r="AK25" s="285"/>
      <c r="AL25" s="236"/>
      <c r="AM25" s="33">
        <f t="shared" si="15"/>
        <v>513268.23</v>
      </c>
      <c r="AN25" s="33">
        <f>(S25+AJ25)+((AJ25/AJ$31)*AO$49)</f>
        <v>651184.78</v>
      </c>
      <c r="AO25" s="83"/>
      <c r="AP25" s="114">
        <v>310331.06</v>
      </c>
      <c r="AQ25" s="186">
        <v>369387.93</v>
      </c>
      <c r="AR25" s="192">
        <f>G25+'09.30.19'!AR25</f>
        <v>0</v>
      </c>
      <c r="AS25" s="114">
        <f t="shared" si="23"/>
        <v>137916.54999999999</v>
      </c>
      <c r="AT25" s="137">
        <f>K25+'09.30.19'!AT25</f>
        <v>0</v>
      </c>
      <c r="AU25" s="137">
        <f>L25+'09.30.19'!AU25</f>
        <v>1936.02</v>
      </c>
      <c r="AV25" s="84">
        <f t="shared" si="24"/>
        <v>1936.02</v>
      </c>
      <c r="AW25" s="84">
        <f>N25+'09.30.19'!AW25</f>
        <v>0</v>
      </c>
      <c r="AX25" s="84">
        <f>O25+'09.30.19'!AX25</f>
        <v>0</v>
      </c>
      <c r="AY25" s="84">
        <f>P25+'09.30.19'!AY25</f>
        <v>0</v>
      </c>
      <c r="AZ25" s="84">
        <f t="shared" si="25"/>
        <v>0</v>
      </c>
      <c r="BA25" s="224">
        <v>183722.72</v>
      </c>
      <c r="BB25" s="137">
        <f>Z25+'09.30.19'!BB25</f>
        <v>5149.46</v>
      </c>
      <c r="BC25" s="137">
        <f>AA25+'09.30.19'!BC25</f>
        <v>577.9</v>
      </c>
      <c r="BD25" s="276">
        <f>AB25+'09.30.19'!BD25</f>
        <v>-12.08</v>
      </c>
      <c r="BE25" s="280">
        <f>AC25+'09.30.19'!BE25</f>
        <v>-198.66</v>
      </c>
      <c r="BF25" s="276">
        <f>AD25+'09.30.19'!BF25</f>
        <v>-6.7</v>
      </c>
      <c r="BG25" s="280">
        <f>AE25+'09.30.19'!BG25</f>
        <v>-18.97</v>
      </c>
      <c r="BH25" s="84">
        <f t="shared" si="26"/>
        <v>5490.95</v>
      </c>
      <c r="BI25" s="84">
        <f>AG25+'09.30.19'!BI25</f>
        <v>-1586.84</v>
      </c>
      <c r="BJ25" s="84">
        <f>AH25+'09.30.19'!BJ25</f>
        <v>0</v>
      </c>
      <c r="BK25" s="116">
        <f t="shared" si="27"/>
        <v>-1586.84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13643.76</v>
      </c>
      <c r="G26" s="9">
        <v>0</v>
      </c>
      <c r="H26" s="129">
        <f t="shared" si="0"/>
        <v>13643.76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0</v>
      </c>
      <c r="M26" s="9">
        <f t="shared" si="3"/>
        <v>0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13643.76</v>
      </c>
      <c r="S26" s="14">
        <f>(R26/(R$31-1575)*(S$31-1575))</f>
        <v>17348.87</v>
      </c>
      <c r="T26" s="86">
        <v>9566.06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28.27</v>
      </c>
      <c r="Y26" s="268">
        <f t="shared" si="28"/>
        <v>23.23</v>
      </c>
      <c r="Z26" s="124">
        <f t="shared" si="9"/>
        <v>51.5</v>
      </c>
      <c r="AA26" s="268">
        <f t="shared" si="29"/>
        <v>0</v>
      </c>
      <c r="AB26" s="204">
        <f t="shared" si="29"/>
        <v>0</v>
      </c>
      <c r="AC26" s="268">
        <f t="shared" si="29"/>
        <v>-2.74</v>
      </c>
      <c r="AD26" s="204">
        <f t="shared" si="29"/>
        <v>0</v>
      </c>
      <c r="AE26" s="268">
        <f t="shared" si="29"/>
        <v>-0.32</v>
      </c>
      <c r="AF26" s="7">
        <f t="shared" si="11"/>
        <v>48.44</v>
      </c>
      <c r="AG26" s="7">
        <f>U26*AG$31</f>
        <v>-16.52</v>
      </c>
      <c r="AH26" s="7">
        <v>0</v>
      </c>
      <c r="AI26" s="124">
        <f t="shared" si="13"/>
        <v>-16.52</v>
      </c>
      <c r="AJ26" s="14">
        <f t="shared" si="14"/>
        <v>9597.98</v>
      </c>
      <c r="AK26" s="233"/>
      <c r="AL26" s="284"/>
      <c r="AM26" s="33">
        <f t="shared" si="15"/>
        <v>23241.74</v>
      </c>
      <c r="AN26" s="33">
        <f>(S26+AJ26)+((AJ26/AJ$31)*AO$49)</f>
        <v>29478.25</v>
      </c>
      <c r="AO26" s="83"/>
      <c r="AP26" s="114">
        <v>13002.29</v>
      </c>
      <c r="AQ26" s="186">
        <v>15476.66</v>
      </c>
      <c r="AR26" s="192">
        <f>G26+'09.30.19'!AR26</f>
        <v>0</v>
      </c>
      <c r="AS26" s="114">
        <f t="shared" si="23"/>
        <v>6236.51</v>
      </c>
      <c r="AT26" s="137">
        <f>K26+'09.30.19'!AT26</f>
        <v>0</v>
      </c>
      <c r="AU26" s="137">
        <f>L26+'09.30.19'!AU26</f>
        <v>81.12</v>
      </c>
      <c r="AV26" s="84">
        <f t="shared" si="24"/>
        <v>81.12</v>
      </c>
      <c r="AW26" s="84">
        <f>N26+'09.30.19'!AW26</f>
        <v>0</v>
      </c>
      <c r="AX26" s="84">
        <f>O26+'09.30.19'!AX26</f>
        <v>0</v>
      </c>
      <c r="AY26" s="84">
        <f>P26+'09.30.19'!AY26</f>
        <v>0</v>
      </c>
      <c r="AZ26" s="84">
        <f t="shared" si="25"/>
        <v>0</v>
      </c>
      <c r="BA26" s="224">
        <v>9815.51</v>
      </c>
      <c r="BB26" s="137">
        <f>Z26+'09.30.19'!BB26</f>
        <v>215.74</v>
      </c>
      <c r="BC26" s="137">
        <f>AA26+'09.30.19'!BC26</f>
        <v>24.22</v>
      </c>
      <c r="BD26" s="276">
        <f>AB26+'09.30.19'!BD26</f>
        <v>-0.51</v>
      </c>
      <c r="BE26" s="280">
        <f>AC26+'09.30.19'!BE26</f>
        <v>-8.32</v>
      </c>
      <c r="BF26" s="276">
        <f>AD26+'09.30.19'!BF26</f>
        <v>-0.28000000000000003</v>
      </c>
      <c r="BG26" s="280">
        <f>AE26+'09.30.19'!BG26</f>
        <v>-0.79</v>
      </c>
      <c r="BH26" s="84">
        <f t="shared" si="26"/>
        <v>230.06</v>
      </c>
      <c r="BI26" s="84">
        <f>AG26+'09.30.19'!BI26</f>
        <v>-66.48</v>
      </c>
      <c r="BJ26" s="84">
        <f>AH26+'09.30.19'!BJ26</f>
        <v>-381.11</v>
      </c>
      <c r="BK26" s="116">
        <f t="shared" si="27"/>
        <v>-447.59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13460.68</v>
      </c>
      <c r="G27" s="9">
        <v>0</v>
      </c>
      <c r="H27" s="129">
        <f t="shared" si="0"/>
        <v>13460.68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0</v>
      </c>
      <c r="M27" s="9">
        <f t="shared" si="3"/>
        <v>0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13460.68</v>
      </c>
      <c r="S27" s="14">
        <f>(R27/(R$31-1575)*(S$31-1575))</f>
        <v>17116.07</v>
      </c>
      <c r="T27" s="86">
        <v>7269.43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27.89</v>
      </c>
      <c r="Y27" s="268">
        <f t="shared" si="28"/>
        <v>22.92</v>
      </c>
      <c r="Z27" s="124">
        <f t="shared" si="9"/>
        <v>50.81</v>
      </c>
      <c r="AA27" s="268">
        <f t="shared" si="29"/>
        <v>0</v>
      </c>
      <c r="AB27" s="204">
        <f t="shared" si="29"/>
        <v>0</v>
      </c>
      <c r="AC27" s="268">
        <f t="shared" si="29"/>
        <v>-2.71</v>
      </c>
      <c r="AD27" s="204">
        <f t="shared" si="29"/>
        <v>0</v>
      </c>
      <c r="AE27" s="268">
        <f t="shared" si="29"/>
        <v>-0.32</v>
      </c>
      <c r="AF27" s="7">
        <f t="shared" si="11"/>
        <v>47.78</v>
      </c>
      <c r="AG27" s="7">
        <f>U27*AG$31</f>
        <v>-16.3</v>
      </c>
      <c r="AH27" s="7">
        <v>0</v>
      </c>
      <c r="AI27" s="124">
        <f t="shared" si="13"/>
        <v>-16.3</v>
      </c>
      <c r="AJ27" s="14">
        <f t="shared" si="14"/>
        <v>7300.91</v>
      </c>
      <c r="AK27" s="233" t="s">
        <v>120</v>
      </c>
      <c r="AL27" s="236" t="s">
        <v>115</v>
      </c>
      <c r="AM27" s="33">
        <f t="shared" si="15"/>
        <v>20761.59</v>
      </c>
      <c r="AN27" s="33">
        <f>(S27+AJ27)+((AJ27/AJ$31)*AO$49)</f>
        <v>26342.54</v>
      </c>
      <c r="AO27" s="83"/>
      <c r="AP27" s="114">
        <v>12827.82</v>
      </c>
      <c r="AQ27" s="186">
        <v>15268.99</v>
      </c>
      <c r="AR27" s="192">
        <f>G27+'09.30.19'!AR27</f>
        <v>0</v>
      </c>
      <c r="AS27" s="114">
        <f t="shared" si="23"/>
        <v>5580.95</v>
      </c>
      <c r="AT27" s="137">
        <f>K27+'09.30.19'!AT27</f>
        <v>0</v>
      </c>
      <c r="AU27" s="137">
        <f>L27+'09.30.19'!AU27</f>
        <v>80.03</v>
      </c>
      <c r="AV27" s="84">
        <f t="shared" si="24"/>
        <v>80.03</v>
      </c>
      <c r="AW27" s="84">
        <f>N27+'09.30.19'!AW27</f>
        <v>0</v>
      </c>
      <c r="AX27" s="84">
        <f>O27+'09.30.19'!AX27</f>
        <v>0</v>
      </c>
      <c r="AY27" s="84">
        <f>P27+'09.30.19'!AY27</f>
        <v>0</v>
      </c>
      <c r="AZ27" s="84">
        <f t="shared" si="25"/>
        <v>0</v>
      </c>
      <c r="BA27" s="224">
        <v>7139.55</v>
      </c>
      <c r="BB27" s="137">
        <f>Z27+'09.30.19'!BB27</f>
        <v>212.86</v>
      </c>
      <c r="BC27" s="137">
        <f>AA27+'09.30.19'!BC27</f>
        <v>23.88</v>
      </c>
      <c r="BD27" s="276">
        <f>AB27+'09.30.19'!BD27</f>
        <v>-0.5</v>
      </c>
      <c r="BE27" s="280">
        <f>AC27+'09.30.19'!BE27</f>
        <v>-8.2200000000000006</v>
      </c>
      <c r="BF27" s="276">
        <f>AD27+'09.30.19'!BF27</f>
        <v>-0.28000000000000003</v>
      </c>
      <c r="BG27" s="280">
        <f>AE27+'09.30.19'!BG27</f>
        <v>-0.79</v>
      </c>
      <c r="BH27" s="84">
        <f t="shared" si="26"/>
        <v>226.95</v>
      </c>
      <c r="BI27" s="84">
        <f>AG27+'09.30.19'!BI27</f>
        <v>-65.59</v>
      </c>
      <c r="BJ27" s="84">
        <f>AH27+'09.30.19'!BJ27</f>
        <v>0</v>
      </c>
      <c r="BK27" s="116">
        <f t="shared" si="27"/>
        <v>-65.59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G28+'09.30.19'!AR28</f>
        <v>0</v>
      </c>
      <c r="AS28" s="114">
        <f t="shared" si="23"/>
        <v>0</v>
      </c>
      <c r="AT28" s="137">
        <f>K28+'09.30.19'!AT28</f>
        <v>0</v>
      </c>
      <c r="AU28" s="137">
        <f>L28+'09.30.19'!AU28</f>
        <v>0</v>
      </c>
      <c r="AV28" s="84">
        <f t="shared" si="24"/>
        <v>0</v>
      </c>
      <c r="AW28" s="84">
        <f>N28+'09.30.19'!AW28</f>
        <v>0</v>
      </c>
      <c r="AX28" s="84">
        <f>O28+'09.30.19'!AX28</f>
        <v>0</v>
      </c>
      <c r="AY28" s="84">
        <f>P28+'09.30.19'!AY28</f>
        <v>0</v>
      </c>
      <c r="AZ28" s="84">
        <f t="shared" si="25"/>
        <v>0</v>
      </c>
      <c r="BA28" s="224">
        <v>0</v>
      </c>
      <c r="BB28" s="137">
        <f>Z28+'09.30.19'!BB28</f>
        <v>0</v>
      </c>
      <c r="BC28" s="137">
        <f>AA28+'09.30.19'!BC28</f>
        <v>0</v>
      </c>
      <c r="BD28" s="276">
        <f>AB28+'09.30.19'!BD28</f>
        <v>0</v>
      </c>
      <c r="BE28" s="280">
        <f>AC28+'09.30.19'!BE28</f>
        <v>0</v>
      </c>
      <c r="BF28" s="276">
        <f>AD28+'09.30.19'!BF28</f>
        <v>0</v>
      </c>
      <c r="BG28" s="280">
        <f>AE28+'09.30.19'!BG28</f>
        <v>0</v>
      </c>
      <c r="BH28" s="84">
        <f t="shared" si="26"/>
        <v>0</v>
      </c>
      <c r="BI28" s="84">
        <f>AG28+'09.30.19'!BI28</f>
        <v>0</v>
      </c>
      <c r="BJ28" s="84">
        <f>AH28+'09.30.19'!BJ28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3726352.98</v>
      </c>
      <c r="G31" s="48">
        <f>SUM(G12:G29)</f>
        <v>0</v>
      </c>
      <c r="H31" s="130">
        <f>SUM(H12:H29)</f>
        <v>3726352.98</v>
      </c>
      <c r="I31" s="78">
        <f>SUM(I12:I30)</f>
        <v>1</v>
      </c>
      <c r="J31" s="115"/>
      <c r="K31" s="115">
        <v>0</v>
      </c>
      <c r="L31" s="115">
        <v>0</v>
      </c>
      <c r="M31" s="48">
        <f>SUM(M12:M29)</f>
        <v>0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3726352.98</v>
      </c>
      <c r="S31" s="49">
        <f>R31+AO45</f>
        <v>4737855.5199999996</v>
      </c>
      <c r="T31" s="50">
        <f>SUM(T12:T29)</f>
        <v>2477933.87</v>
      </c>
      <c r="U31" s="51">
        <f>SUM(U12:U30)</f>
        <v>1</v>
      </c>
      <c r="V31" s="206">
        <v>140.13999999999999</v>
      </c>
      <c r="W31" s="306">
        <v>2477793.73</v>
      </c>
      <c r="X31" s="206">
        <f>2477.49+5240.86</f>
        <v>7718.35</v>
      </c>
      <c r="Y31" s="266">
        <f>3393.75+2949.03</f>
        <v>6342.78</v>
      </c>
      <c r="Z31" s="115">
        <f>SUM(Z12:Z29)</f>
        <v>14061.13</v>
      </c>
      <c r="AA31" s="272">
        <v>0</v>
      </c>
      <c r="AB31" s="210">
        <v>0</v>
      </c>
      <c r="AC31" s="272">
        <v>-749.01</v>
      </c>
      <c r="AD31" s="210">
        <v>0</v>
      </c>
      <c r="AE31" s="272">
        <v>-87.48</v>
      </c>
      <c r="AF31" s="48">
        <f>SUM(AF12:AF29)</f>
        <v>13224.64</v>
      </c>
      <c r="AG31" s="80">
        <f>-2711.07-1799.97</f>
        <v>-4511.04</v>
      </c>
      <c r="AH31" s="48">
        <f>SUM(AH12:AH30)</f>
        <v>0</v>
      </c>
      <c r="AI31" s="115">
        <f>SUM(AI12:AI30)</f>
        <v>-4511.04</v>
      </c>
      <c r="AJ31" s="52">
        <f>SUM(AJ12:AJ30)</f>
        <v>2486647.4700000002</v>
      </c>
      <c r="AK31" s="210">
        <f>V31+X31+AB31+AD31-7858.49</f>
        <v>0</v>
      </c>
      <c r="AL31" s="305">
        <f>W31+Y31+AA31+AC31+AE31++AG31+AH31+7858.49</f>
        <v>2486647.4700000002</v>
      </c>
      <c r="AM31" s="35">
        <f>SUM(AM12:AM29)</f>
        <v>6213000.4500000002</v>
      </c>
      <c r="AN31" s="35">
        <f>4736280.52+3142482.58+1575</f>
        <v>7880338.0999999996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1667337.65</v>
      </c>
      <c r="AT31" s="115">
        <v>0</v>
      </c>
      <c r="AU31" s="115">
        <f t="shared" si="30"/>
        <v>22144.73</v>
      </c>
      <c r="AV31" s="48">
        <f t="shared" si="30"/>
        <v>22144.73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58901.11</v>
      </c>
      <c r="BC31" s="115">
        <f t="shared" si="30"/>
        <v>6610.08</v>
      </c>
      <c r="BD31" s="210">
        <f t="shared" si="30"/>
        <v>-138.16</v>
      </c>
      <c r="BE31" s="272">
        <f t="shared" si="30"/>
        <v>-2272.41</v>
      </c>
      <c r="BF31" s="210">
        <f t="shared" si="30"/>
        <v>-76.680000000000007</v>
      </c>
      <c r="BG31" s="272">
        <f t="shared" si="30"/>
        <v>-216.91</v>
      </c>
      <c r="BH31" s="48">
        <f t="shared" si="30"/>
        <v>62807.03</v>
      </c>
      <c r="BI31" s="48">
        <f t="shared" si="30"/>
        <v>-18150.66</v>
      </c>
      <c r="BJ31" s="48">
        <f t="shared" si="30"/>
        <v>-381.11</v>
      </c>
      <c r="BK31" s="73">
        <f t="shared" si="30"/>
        <v>-18531.77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3724777.98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3724777.98</v>
      </c>
      <c r="S34" s="259">
        <f>S31+S33</f>
        <v>4736280.5199999996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6211425.4500000002</v>
      </c>
      <c r="AN34" s="259">
        <f>AN31+AN33</f>
        <v>7878763.0999999996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'09.30.19'!R31</f>
        <v>3726352.98</v>
      </c>
      <c r="G38" s="121">
        <f>SUM(G12:G29)</f>
        <v>0</v>
      </c>
      <c r="H38" s="121">
        <f>F31+G31+P31</f>
        <v>3726352.98</v>
      </c>
      <c r="I38" s="144">
        <v>1</v>
      </c>
      <c r="J38" s="121"/>
      <c r="K38" s="121">
        <f>SUM(K12:K29)</f>
        <v>0</v>
      </c>
      <c r="L38" s="121">
        <f>SUM(L12:L29)</f>
        <v>0</v>
      </c>
      <c r="M38" s="121">
        <f>K31+L31</f>
        <v>0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3726352.98</v>
      </c>
      <c r="S38" s="121">
        <f>SUM(S12:S29)</f>
        <v>4737855.5199999996</v>
      </c>
      <c r="T38" s="121">
        <f>'09.30.19'!AJ31</f>
        <v>2477933.87</v>
      </c>
      <c r="U38" s="144">
        <v>1</v>
      </c>
      <c r="V38" s="229"/>
      <c r="W38" s="198"/>
      <c r="X38" s="121">
        <f t="shared" ref="X38:AE38" si="31">SUM(X12:X29)</f>
        <v>7718.35</v>
      </c>
      <c r="Y38" s="121">
        <f t="shared" si="31"/>
        <v>6342.78</v>
      </c>
      <c r="Z38" s="121">
        <f t="shared" si="31"/>
        <v>14061.13</v>
      </c>
      <c r="AA38" s="121">
        <f t="shared" si="31"/>
        <v>0</v>
      </c>
      <c r="AB38" s="121">
        <f t="shared" si="31"/>
        <v>0</v>
      </c>
      <c r="AC38" s="121">
        <f t="shared" si="31"/>
        <v>-749.01</v>
      </c>
      <c r="AD38" s="121">
        <f t="shared" si="31"/>
        <v>0</v>
      </c>
      <c r="AE38" s="121">
        <f t="shared" si="31"/>
        <v>-87.48</v>
      </c>
      <c r="AF38" s="121">
        <f>SUM(Z31:AE31)</f>
        <v>13224.64</v>
      </c>
      <c r="AG38" s="121">
        <f>SUM(AG12:AG29)</f>
        <v>-4511.04</v>
      </c>
      <c r="AH38" s="121">
        <f>SUM(AH12:AH29)</f>
        <v>0</v>
      </c>
      <c r="AI38" s="121">
        <f>AG38+AH38</f>
        <v>-4511.04</v>
      </c>
      <c r="AJ38" s="121">
        <f>T31+AF31+AI31</f>
        <v>2486647.4700000002</v>
      </c>
      <c r="AK38" s="149"/>
      <c r="AL38" s="121"/>
      <c r="AM38" s="121">
        <f>R31+AJ31</f>
        <v>6213000.4500000002</v>
      </c>
      <c r="AN38" s="121">
        <f>SUM(AN12:AN29)</f>
        <v>7880338.0999999996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0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13224.64</v>
      </c>
      <c r="BI38" s="146">
        <f>AG31</f>
        <v>-4511.04</v>
      </c>
      <c r="BJ38" s="146">
        <f>AH31</f>
        <v>0</v>
      </c>
      <c r="BK38" s="146">
        <f>AI31</f>
        <v>-4511.04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22144.73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49582.39</v>
      </c>
      <c r="BI40" s="149">
        <f t="shared" si="33"/>
        <v>-13639.62</v>
      </c>
      <c r="BJ40" s="149">
        <f t="shared" si="33"/>
        <v>-381.11</v>
      </c>
      <c r="BK40" s="149">
        <f t="shared" si="33"/>
        <v>-14020.73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'09.30.19'!AR31</f>
        <v>0</v>
      </c>
      <c r="AS41" s="141"/>
      <c r="AT41" s="141"/>
      <c r="AU41" s="141"/>
      <c r="AV41" s="141">
        <f>'09.30.19'!AV31</f>
        <v>22144.73</v>
      </c>
      <c r="AW41" s="141">
        <f>'09.30.19'!AW31</f>
        <v>0</v>
      </c>
      <c r="AX41" s="141">
        <f>'09.30.19'!AX31</f>
        <v>0</v>
      </c>
      <c r="AY41" s="141">
        <f>'09.30.19'!AY31</f>
        <v>0</v>
      </c>
      <c r="AZ41" s="141">
        <f>'09.30.19'!AZ31</f>
        <v>0</v>
      </c>
      <c r="BA41" s="181"/>
      <c r="BB41" s="181"/>
      <c r="BC41" s="181"/>
      <c r="BD41" s="181"/>
      <c r="BE41" s="181"/>
      <c r="BF41" s="181"/>
      <c r="BG41" s="181"/>
      <c r="BH41" s="141">
        <f>'09.30.19'!BH31</f>
        <v>49582.39</v>
      </c>
      <c r="BI41" s="141">
        <f>'09.30.19'!BI31</f>
        <v>-13639.62</v>
      </c>
      <c r="BJ41" s="141">
        <f>'09.30.19'!BJ31</f>
        <v>-381.11</v>
      </c>
      <c r="BK41" s="141">
        <f>'09.30.19'!BK31</f>
        <v>-14020.73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 t="shared" si="35"/>
        <v>0</v>
      </c>
      <c r="AH42" s="298">
        <f t="shared" si="35"/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3724777.98</v>
      </c>
      <c r="AM45" s="289"/>
      <c r="AN45" s="289">
        <v>4736280.5199999996</v>
      </c>
      <c r="AO45" s="307">
        <f>AN45-AL45</f>
        <v>1011502.54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3724777.98</v>
      </c>
      <c r="AN46" s="289">
        <v>0</v>
      </c>
      <c r="AO46" s="307">
        <f>AN46-AL46</f>
        <v>0</v>
      </c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2355828.44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130819.03</v>
      </c>
      <c r="AM49" s="290">
        <f>AL48+AL49</f>
        <v>2486647.4700000002</v>
      </c>
      <c r="AN49" s="290">
        <v>3142482.58</v>
      </c>
      <c r="AO49" s="307">
        <f>AN49-AM49</f>
        <v>655835.11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6211425.4500000002</v>
      </c>
      <c r="AN51" s="296">
        <f>AN45+AN46+AN49</f>
        <v>7878763.0999999996</v>
      </c>
      <c r="AO51" s="308">
        <f>AO45+AO46+AO49</f>
        <v>1667337.65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BN55"/>
  <sheetViews>
    <sheetView topLeftCell="AE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2.3320312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11.21875" style="24" customWidth="1"/>
    <col min="62" max="62" width="12.109375" style="24" customWidth="1"/>
    <col min="63" max="63" width="14.44140625" style="30" customWidth="1"/>
    <col min="64" max="64" width="12.77734375" style="118" hidden="1" customWidth="1"/>
    <col min="65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6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  <c r="BL1" s="161"/>
    </row>
    <row r="2" spans="1:66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  <c r="BL2" s="161"/>
    </row>
    <row r="3" spans="1:66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  <c r="BL3" s="161"/>
    </row>
    <row r="4" spans="1:66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  <c r="BL4" s="161"/>
    </row>
    <row r="5" spans="1:66" s="162" customFormat="1" ht="16.149999999999999" customHeight="1">
      <c r="A5" s="161"/>
      <c r="B5" s="173" t="s">
        <v>167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  <c r="BL5" s="161"/>
    </row>
    <row r="6" spans="1:66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6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6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6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  <c r="BL9" s="330" t="s">
        <v>193</v>
      </c>
      <c r="BM9" s="6" t="s">
        <v>194</v>
      </c>
    </row>
    <row r="10" spans="1:66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6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6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65526.81</v>
      </c>
      <c r="G12" s="9">
        <v>0</v>
      </c>
      <c r="H12" s="129">
        <f t="shared" ref="H12:H28" si="0">F12+G12+P12</f>
        <v>65526.81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135.44999999999999</v>
      </c>
      <c r="M12" s="9">
        <f t="shared" ref="M12:M28" si="3">K12+L12</f>
        <v>135.44999999999999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65662.259999999995</v>
      </c>
      <c r="S12" s="14">
        <f t="shared" ref="S12:S23" si="7">(R12/(R$31-1575)*(S$31-1575))</f>
        <v>84539.3</v>
      </c>
      <c r="T12" s="86">
        <v>24920.04</v>
      </c>
      <c r="U12" s="79">
        <f t="shared" ref="U12:U28" si="8">I12</f>
        <v>1.7592139999999999E-2</v>
      </c>
      <c r="V12" s="203"/>
      <c r="W12" s="264"/>
      <c r="X12" s="204">
        <f>$U12*X$31</f>
        <v>104.4</v>
      </c>
      <c r="Y12" s="268">
        <f>$U12*Y$31</f>
        <v>56.66</v>
      </c>
      <c r="Z12" s="124">
        <f t="shared" ref="Z12:Z28" si="9">X12+Y12</f>
        <v>161.06</v>
      </c>
      <c r="AA12" s="268">
        <f t="shared" ref="AA12:AE23" si="10">$U12*AA$31</f>
        <v>75.25</v>
      </c>
      <c r="AB12" s="204">
        <f t="shared" si="10"/>
        <v>-13.39</v>
      </c>
      <c r="AC12" s="268">
        <f t="shared" si="10"/>
        <v>0</v>
      </c>
      <c r="AD12" s="204">
        <f t="shared" si="10"/>
        <v>0</v>
      </c>
      <c r="AE12" s="268">
        <f t="shared" si="10"/>
        <v>-0.3</v>
      </c>
      <c r="AF12" s="7">
        <f t="shared" ref="AF12:AF28" si="11">SUM(Z12:AE12)</f>
        <v>222.62</v>
      </c>
      <c r="AG12" s="7">
        <f t="shared" ref="AG12:AG23" si="12">U12*AG$31</f>
        <v>-83.25</v>
      </c>
      <c r="AH12" s="7">
        <v>-3299.92</v>
      </c>
      <c r="AI12" s="124">
        <f t="shared" ref="AI12:AI28" si="13">AG12+AH12</f>
        <v>-3383.17</v>
      </c>
      <c r="AJ12" s="14">
        <f t="shared" ref="AJ12:AJ28" si="14">T12+AF12+AI12</f>
        <v>21759.49</v>
      </c>
      <c r="AK12" s="233"/>
      <c r="AL12" s="236"/>
      <c r="AM12" s="33">
        <f t="shared" ref="AM12:AM28" si="15">R12+AJ12</f>
        <v>87421.75</v>
      </c>
      <c r="AN12" s="33">
        <f t="shared" ref="AN12:AN23" si="16">(S12+AJ12)+((AJ12/AJ$31)*AO$49)</f>
        <v>112353.94</v>
      </c>
      <c r="AO12" s="83"/>
      <c r="AP12" s="114">
        <v>62445.99</v>
      </c>
      <c r="AQ12" s="186">
        <v>74329.64</v>
      </c>
      <c r="AR12" s="192">
        <f>G12+'10.31.19'!AR12</f>
        <v>0</v>
      </c>
      <c r="AS12" s="114">
        <f t="shared" ref="AS12:AS17" si="17">AN12-AM12</f>
        <v>24932.19</v>
      </c>
      <c r="AT12" s="137">
        <f>K12+'10.31.19'!AT12</f>
        <v>0</v>
      </c>
      <c r="AU12" s="137">
        <f>L12+'10.31.19'!AU12</f>
        <v>525.03</v>
      </c>
      <c r="AV12" s="84">
        <f t="shared" ref="AV12:AV17" si="18">AT12+AU12</f>
        <v>525.03</v>
      </c>
      <c r="AW12" s="84">
        <f>N12+'10.31.19'!AW12</f>
        <v>0</v>
      </c>
      <c r="AX12" s="84">
        <f>O12+'10.31.19'!AX12</f>
        <v>0</v>
      </c>
      <c r="AY12" s="84">
        <f>P12+'10.31.19'!AY12</f>
        <v>0</v>
      </c>
      <c r="AZ12" s="84">
        <f t="shared" ref="AZ12:AZ17" si="19">AX12+AY12</f>
        <v>0</v>
      </c>
      <c r="BA12" s="224">
        <v>27434.37</v>
      </c>
      <c r="BB12" s="137">
        <f>Z12+'10.31.19'!BB12</f>
        <v>1197.25</v>
      </c>
      <c r="BC12" s="137">
        <f>AA12+'10.31.19'!BC12</f>
        <v>191.54</v>
      </c>
      <c r="BD12" s="276">
        <f>AB12+'10.31.19'!BD12</f>
        <v>-15.82</v>
      </c>
      <c r="BE12" s="280">
        <f>AC12+'10.31.19'!BE12</f>
        <v>-39.979999999999997</v>
      </c>
      <c r="BF12" s="276">
        <f>AD12+'10.31.19'!BF12</f>
        <v>-1.35</v>
      </c>
      <c r="BG12" s="280">
        <f>AE12+'10.31.19'!BG12</f>
        <v>-4.12</v>
      </c>
      <c r="BH12" s="84">
        <f t="shared" ref="BH12:BH17" si="20">SUM(BB12:BG12)</f>
        <v>1327.52</v>
      </c>
      <c r="BI12" s="84">
        <f>AG12+'10.31.19'!BI12</f>
        <v>-402.56</v>
      </c>
      <c r="BJ12" s="84">
        <f>AH12+'10.31.19'!BJ12</f>
        <v>-6599.84</v>
      </c>
      <c r="BK12" s="116">
        <f t="shared" ref="BK12:BK17" si="21">BI12+BJ12</f>
        <v>-7002.4</v>
      </c>
      <c r="BL12" s="331">
        <f>BA12+BH12+BK12</f>
        <v>21759.49</v>
      </c>
      <c r="BM12" s="83">
        <f>AJ12-BL12</f>
        <v>0</v>
      </c>
      <c r="BN12" s="333"/>
    </row>
    <row r="13" spans="1:66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5178.05</v>
      </c>
      <c r="G13" s="9">
        <v>0</v>
      </c>
      <c r="H13" s="129">
        <f t="shared" si="0"/>
        <v>5178.05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10.7</v>
      </c>
      <c r="M13" s="9">
        <f t="shared" si="3"/>
        <v>10.7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5188.75</v>
      </c>
      <c r="S13" s="14">
        <f t="shared" si="7"/>
        <v>6680.45</v>
      </c>
      <c r="T13" s="86">
        <v>3788.74</v>
      </c>
      <c r="U13" s="79">
        <f t="shared" si="8"/>
        <v>1.3901600000000001E-3</v>
      </c>
      <c r="V13" s="203"/>
      <c r="W13" s="264"/>
      <c r="X13" s="204">
        <f>$U13*X$31</f>
        <v>8.25</v>
      </c>
      <c r="Y13" s="268">
        <f>$U13*Y$31</f>
        <v>4.4800000000000004</v>
      </c>
      <c r="Z13" s="124">
        <f t="shared" si="9"/>
        <v>12.73</v>
      </c>
      <c r="AA13" s="268">
        <f t="shared" si="10"/>
        <v>5.95</v>
      </c>
      <c r="AB13" s="204">
        <f t="shared" si="10"/>
        <v>-1.06</v>
      </c>
      <c r="AC13" s="268">
        <f t="shared" si="10"/>
        <v>0</v>
      </c>
      <c r="AD13" s="204">
        <f t="shared" si="10"/>
        <v>0</v>
      </c>
      <c r="AE13" s="268">
        <f t="shared" si="10"/>
        <v>-0.02</v>
      </c>
      <c r="AF13" s="7">
        <f t="shared" si="11"/>
        <v>17.600000000000001</v>
      </c>
      <c r="AG13" s="7">
        <f t="shared" si="12"/>
        <v>-6.58</v>
      </c>
      <c r="AH13" s="7">
        <v>0</v>
      </c>
      <c r="AI13" s="124">
        <f t="shared" si="13"/>
        <v>-6.58</v>
      </c>
      <c r="AJ13" s="14">
        <f t="shared" si="14"/>
        <v>3799.76</v>
      </c>
      <c r="AK13" s="233"/>
      <c r="AL13" s="236"/>
      <c r="AM13" s="33">
        <f t="shared" si="15"/>
        <v>8988.51</v>
      </c>
      <c r="AN13" s="33">
        <f t="shared" si="16"/>
        <v>11537.59</v>
      </c>
      <c r="AO13" s="83"/>
      <c r="AP13" s="114">
        <v>4934.59</v>
      </c>
      <c r="AQ13" s="186">
        <v>5873.66</v>
      </c>
      <c r="AR13" s="192">
        <f>G13+'10.31.19'!AR13</f>
        <v>0</v>
      </c>
      <c r="AS13" s="114">
        <f t="shared" si="17"/>
        <v>2549.08</v>
      </c>
      <c r="AT13" s="137">
        <f>K13+'10.31.19'!AT13</f>
        <v>0</v>
      </c>
      <c r="AU13" s="137">
        <f>L13+'10.31.19'!AU13</f>
        <v>41.49</v>
      </c>
      <c r="AV13" s="84">
        <f t="shared" si="18"/>
        <v>41.49</v>
      </c>
      <c r="AW13" s="84">
        <f>N13+'10.31.19'!AW13</f>
        <v>0</v>
      </c>
      <c r="AX13" s="84">
        <f>O13+'10.31.19'!AX13</f>
        <v>0</v>
      </c>
      <c r="AY13" s="84">
        <f>P13+'10.31.19'!AY13</f>
        <v>0</v>
      </c>
      <c r="AZ13" s="84">
        <f t="shared" si="19"/>
        <v>0</v>
      </c>
      <c r="BA13" s="224">
        <v>3726.67</v>
      </c>
      <c r="BB13" s="137">
        <f>Z13+'10.31.19'!BB13</f>
        <v>94.6</v>
      </c>
      <c r="BC13" s="137">
        <f>AA13+'10.31.19'!BC13</f>
        <v>15.14</v>
      </c>
      <c r="BD13" s="276">
        <f>AB13+'10.31.19'!BD13</f>
        <v>-1.25</v>
      </c>
      <c r="BE13" s="280">
        <f>AC13+'10.31.19'!BE13</f>
        <v>-3.16</v>
      </c>
      <c r="BF13" s="276">
        <f>AD13+'10.31.19'!BF13</f>
        <v>-0.11</v>
      </c>
      <c r="BG13" s="280">
        <f>AE13+'10.31.19'!BG13</f>
        <v>-0.32</v>
      </c>
      <c r="BH13" s="84">
        <f t="shared" si="20"/>
        <v>104.9</v>
      </c>
      <c r="BI13" s="84">
        <f>AG13+'10.31.19'!BI13</f>
        <v>-31.81</v>
      </c>
      <c r="BJ13" s="84">
        <f>AH13+'10.31.19'!BJ13</f>
        <v>0</v>
      </c>
      <c r="BK13" s="116">
        <f t="shared" si="21"/>
        <v>-31.81</v>
      </c>
      <c r="BL13" s="331">
        <f t="shared" ref="BL13:BL28" si="22">BA13+BH13+BK13</f>
        <v>3799.76</v>
      </c>
      <c r="BM13" s="83">
        <f t="shared" ref="BM13:BM28" si="23">AJ13-BL13</f>
        <v>0</v>
      </c>
      <c r="BN13" s="333"/>
    </row>
    <row r="14" spans="1:66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381050.05</v>
      </c>
      <c r="G14" s="9">
        <v>0</v>
      </c>
      <c r="H14" s="129">
        <f t="shared" si="0"/>
        <v>381050.05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787.67</v>
      </c>
      <c r="M14" s="9">
        <f t="shared" si="3"/>
        <v>787.67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381837.72</v>
      </c>
      <c r="S14" s="14">
        <f t="shared" si="7"/>
        <v>491611.04</v>
      </c>
      <c r="T14" s="86">
        <v>326208.25</v>
      </c>
      <c r="U14" s="79">
        <f t="shared" si="8"/>
        <v>0.10230141</v>
      </c>
      <c r="V14" s="304"/>
      <c r="W14" s="304"/>
      <c r="X14" s="204">
        <f>($U14*X$31)</f>
        <v>607.08000000000004</v>
      </c>
      <c r="Y14" s="268">
        <f>($U14*Y$31)</f>
        <v>329.49</v>
      </c>
      <c r="Z14" s="124">
        <f t="shared" si="9"/>
        <v>936.57</v>
      </c>
      <c r="AA14" s="268">
        <f t="shared" si="10"/>
        <v>437.6</v>
      </c>
      <c r="AB14" s="204">
        <f t="shared" si="10"/>
        <v>-77.849999999999994</v>
      </c>
      <c r="AC14" s="268">
        <f t="shared" si="10"/>
        <v>0</v>
      </c>
      <c r="AD14" s="204">
        <f t="shared" si="10"/>
        <v>0</v>
      </c>
      <c r="AE14" s="268">
        <f t="shared" si="10"/>
        <v>-1.72</v>
      </c>
      <c r="AF14" s="7">
        <f t="shared" si="11"/>
        <v>1294.5999999999999</v>
      </c>
      <c r="AG14" s="7">
        <f t="shared" si="12"/>
        <v>-484.13</v>
      </c>
      <c r="AH14" s="7">
        <v>0</v>
      </c>
      <c r="AI14" s="124">
        <f t="shared" si="13"/>
        <v>-484.13</v>
      </c>
      <c r="AJ14" s="14">
        <f t="shared" si="14"/>
        <v>327018.71999999997</v>
      </c>
      <c r="AK14" s="233"/>
      <c r="AL14" s="236"/>
      <c r="AM14" s="33">
        <f t="shared" si="15"/>
        <v>708856.44</v>
      </c>
      <c r="AN14" s="33">
        <f t="shared" si="16"/>
        <v>909631.33</v>
      </c>
      <c r="AO14" s="83"/>
      <c r="AP14" s="114">
        <v>363134.62</v>
      </c>
      <c r="AQ14" s="186">
        <v>432240.15</v>
      </c>
      <c r="AR14" s="192">
        <f>G14+'10.31.19'!AR14</f>
        <v>0</v>
      </c>
      <c r="AS14" s="114">
        <f t="shared" si="17"/>
        <v>200774.89</v>
      </c>
      <c r="AT14" s="137">
        <f>K14+'10.31.19'!AT14</f>
        <v>0</v>
      </c>
      <c r="AU14" s="137">
        <f>L14+'10.31.19'!AU14</f>
        <v>3053.1</v>
      </c>
      <c r="AV14" s="84">
        <f t="shared" si="18"/>
        <v>3053.1</v>
      </c>
      <c r="AW14" s="84">
        <f>N14+'10.31.19'!AW14</f>
        <v>0</v>
      </c>
      <c r="AX14" s="84">
        <f>O14+'10.31.19'!AX14</f>
        <v>0</v>
      </c>
      <c r="AY14" s="84">
        <f>P14+'10.31.19'!AY14</f>
        <v>0</v>
      </c>
      <c r="AZ14" s="84">
        <f t="shared" si="19"/>
        <v>0</v>
      </c>
      <c r="BA14" s="224">
        <v>321639.82</v>
      </c>
      <c r="BB14" s="137">
        <f>Z14+'10.31.19'!BB14</f>
        <v>6962.25</v>
      </c>
      <c r="BC14" s="137">
        <f>AA14+'10.31.19'!BC14</f>
        <v>1113.82</v>
      </c>
      <c r="BD14" s="276">
        <f>AB14+'10.31.19'!BD14</f>
        <v>-91.98</v>
      </c>
      <c r="BE14" s="280">
        <f>AC14+'10.31.19'!BE14</f>
        <v>-232.47</v>
      </c>
      <c r="BF14" s="276">
        <f>AD14+'10.31.19'!BF14</f>
        <v>-7.84</v>
      </c>
      <c r="BG14" s="280">
        <f>AE14+'10.31.19'!BG14</f>
        <v>-23.91</v>
      </c>
      <c r="BH14" s="84">
        <f t="shared" si="20"/>
        <v>7719.87</v>
      </c>
      <c r="BI14" s="84">
        <f>AG14+'10.31.19'!BI14</f>
        <v>-2340.9699999999998</v>
      </c>
      <c r="BJ14" s="84">
        <f>AH14+'10.31.19'!BJ14</f>
        <v>0</v>
      </c>
      <c r="BK14" s="116">
        <f t="shared" si="21"/>
        <v>-2340.9699999999998</v>
      </c>
      <c r="BL14" s="331">
        <f t="shared" si="22"/>
        <v>327018.71999999997</v>
      </c>
      <c r="BM14" s="83">
        <f t="shared" si="23"/>
        <v>0</v>
      </c>
      <c r="BN14" s="333"/>
    </row>
    <row r="15" spans="1:66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165030.60999999999</v>
      </c>
      <c r="G15" s="9">
        <v>0</v>
      </c>
      <c r="H15" s="129">
        <f t="shared" si="0"/>
        <v>165030.60999999999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341.14</v>
      </c>
      <c r="M15" s="9">
        <f t="shared" si="3"/>
        <v>341.14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165371.75</v>
      </c>
      <c r="S15" s="14">
        <f t="shared" si="7"/>
        <v>212913.95</v>
      </c>
      <c r="T15" s="86">
        <v>174702.19</v>
      </c>
      <c r="U15" s="79">
        <f t="shared" si="8"/>
        <v>4.4306159999999997E-2</v>
      </c>
      <c r="V15" s="203"/>
      <c r="W15" s="264"/>
      <c r="X15" s="204">
        <f t="shared" ref="X15:Y23" si="24">$U15*X$31</f>
        <v>262.92</v>
      </c>
      <c r="Y15" s="268">
        <f t="shared" si="24"/>
        <v>142.69999999999999</v>
      </c>
      <c r="Z15" s="124">
        <f t="shared" si="9"/>
        <v>405.62</v>
      </c>
      <c r="AA15" s="268">
        <f t="shared" si="10"/>
        <v>189.52</v>
      </c>
      <c r="AB15" s="204">
        <f t="shared" si="10"/>
        <v>-33.72</v>
      </c>
      <c r="AC15" s="268">
        <f t="shared" si="10"/>
        <v>0</v>
      </c>
      <c r="AD15" s="204">
        <f t="shared" si="10"/>
        <v>0</v>
      </c>
      <c r="AE15" s="268">
        <f t="shared" si="10"/>
        <v>-0.74</v>
      </c>
      <c r="AF15" s="7">
        <f t="shared" si="11"/>
        <v>560.67999999999995</v>
      </c>
      <c r="AG15" s="7">
        <f t="shared" si="12"/>
        <v>-209.67</v>
      </c>
      <c r="AH15" s="7">
        <v>0</v>
      </c>
      <c r="AI15" s="124">
        <f t="shared" si="13"/>
        <v>-209.67</v>
      </c>
      <c r="AJ15" s="14">
        <f t="shared" si="14"/>
        <v>175053.2</v>
      </c>
      <c r="AK15" s="233"/>
      <c r="AL15" s="236"/>
      <c r="AM15" s="33">
        <f t="shared" si="15"/>
        <v>340424.95</v>
      </c>
      <c r="AN15" s="33">
        <f t="shared" si="16"/>
        <v>436680.31</v>
      </c>
      <c r="AO15" s="83"/>
      <c r="AP15" s="114">
        <v>157271.56</v>
      </c>
      <c r="AQ15" s="186">
        <v>187200.78</v>
      </c>
      <c r="AR15" s="192">
        <f>G15+'10.31.19'!AR15</f>
        <v>0</v>
      </c>
      <c r="AS15" s="114">
        <f t="shared" si="17"/>
        <v>96255.360000000001</v>
      </c>
      <c r="AT15" s="137">
        <f>K15+'10.31.19'!AT15</f>
        <v>0</v>
      </c>
      <c r="AU15" s="137">
        <f>L15+'10.31.19'!AU15</f>
        <v>1322.28</v>
      </c>
      <c r="AV15" s="84">
        <f t="shared" si="18"/>
        <v>1322.28</v>
      </c>
      <c r="AW15" s="84">
        <f>N15+'10.31.19'!AW15</f>
        <v>0</v>
      </c>
      <c r="AX15" s="84">
        <f>O15+'10.31.19'!AX15</f>
        <v>0</v>
      </c>
      <c r="AY15" s="84">
        <f>P15+'10.31.19'!AY15</f>
        <v>0</v>
      </c>
      <c r="AZ15" s="84">
        <f t="shared" si="19"/>
        <v>0</v>
      </c>
      <c r="BA15" s="224">
        <v>172723.67</v>
      </c>
      <c r="BB15" s="137">
        <f>Z15+'10.31.19'!BB15</f>
        <v>3015.29</v>
      </c>
      <c r="BC15" s="137">
        <f>AA15+'10.31.19'!BC15</f>
        <v>482.39</v>
      </c>
      <c r="BD15" s="276">
        <f>AB15+'10.31.19'!BD15</f>
        <v>-39.840000000000003</v>
      </c>
      <c r="BE15" s="280">
        <f>AC15+'10.31.19'!BE15</f>
        <v>-100.69</v>
      </c>
      <c r="BF15" s="276">
        <f>AD15+'10.31.19'!BF15</f>
        <v>-3.4</v>
      </c>
      <c r="BG15" s="280">
        <f>AE15+'10.31.19'!BG15</f>
        <v>-10.36</v>
      </c>
      <c r="BH15" s="84">
        <f t="shared" si="20"/>
        <v>3343.39</v>
      </c>
      <c r="BI15" s="84">
        <f>AG15+'10.31.19'!BI15</f>
        <v>-1013.86</v>
      </c>
      <c r="BJ15" s="84">
        <f>AH15+'10.31.19'!BJ15</f>
        <v>0</v>
      </c>
      <c r="BK15" s="116">
        <f t="shared" si="21"/>
        <v>-1013.86</v>
      </c>
      <c r="BL15" s="331">
        <f t="shared" si="22"/>
        <v>175053.2</v>
      </c>
      <c r="BM15" s="83">
        <f t="shared" si="23"/>
        <v>0</v>
      </c>
      <c r="BN15" s="333"/>
    </row>
    <row r="16" spans="1:66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10165.32</v>
      </c>
      <c r="G16" s="9">
        <v>0</v>
      </c>
      <c r="H16" s="129">
        <f t="shared" si="0"/>
        <v>10165.32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21.01</v>
      </c>
      <c r="M16" s="9">
        <f t="shared" si="3"/>
        <v>21.01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10186.33</v>
      </c>
      <c r="S16" s="14">
        <f t="shared" si="7"/>
        <v>13114.77</v>
      </c>
      <c r="T16" s="86">
        <v>7453.41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4"/>
        <v>16.2</v>
      </c>
      <c r="Y16" s="268">
        <f t="shared" si="24"/>
        <v>8.7899999999999991</v>
      </c>
      <c r="Z16" s="124">
        <f t="shared" si="9"/>
        <v>24.99</v>
      </c>
      <c r="AA16" s="268">
        <f t="shared" si="10"/>
        <v>11.67</v>
      </c>
      <c r="AB16" s="204">
        <f t="shared" si="10"/>
        <v>-2.08</v>
      </c>
      <c r="AC16" s="268">
        <f t="shared" si="10"/>
        <v>0</v>
      </c>
      <c r="AD16" s="204">
        <f t="shared" si="10"/>
        <v>0</v>
      </c>
      <c r="AE16" s="268">
        <f t="shared" si="10"/>
        <v>-0.05</v>
      </c>
      <c r="AF16" s="7">
        <f t="shared" si="11"/>
        <v>34.53</v>
      </c>
      <c r="AG16" s="7">
        <f t="shared" si="12"/>
        <v>-12.92</v>
      </c>
      <c r="AH16" s="7">
        <v>0</v>
      </c>
      <c r="AI16" s="124">
        <f t="shared" si="13"/>
        <v>-12.92</v>
      </c>
      <c r="AJ16" s="14">
        <f t="shared" si="14"/>
        <v>7475.02</v>
      </c>
      <c r="AK16" s="233" t="s">
        <v>118</v>
      </c>
      <c r="AL16" s="236" t="s">
        <v>114</v>
      </c>
      <c r="AM16" s="33">
        <f t="shared" si="15"/>
        <v>17661.349999999999</v>
      </c>
      <c r="AN16" s="33">
        <f t="shared" si="16"/>
        <v>22669.91</v>
      </c>
      <c r="AO16" s="83"/>
      <c r="AP16" s="114">
        <v>9687.4</v>
      </c>
      <c r="AQ16" s="186">
        <v>11530.94</v>
      </c>
      <c r="AR16" s="192">
        <f>G16+'10.31.19'!AR16</f>
        <v>0</v>
      </c>
      <c r="AS16" s="114">
        <f t="shared" si="17"/>
        <v>5008.5600000000004</v>
      </c>
      <c r="AT16" s="137">
        <f>K16+'10.31.19'!AT16</f>
        <v>0</v>
      </c>
      <c r="AU16" s="137">
        <f>L16+'10.31.19'!AU16</f>
        <v>81.44</v>
      </c>
      <c r="AV16" s="84">
        <f t="shared" si="18"/>
        <v>81.44</v>
      </c>
      <c r="AW16" s="84">
        <f>N16+'10.31.19'!AW16</f>
        <v>0</v>
      </c>
      <c r="AX16" s="84">
        <f>O16+'10.31.19'!AX16</f>
        <v>0</v>
      </c>
      <c r="AY16" s="84">
        <f>P16+'10.31.19'!AY16</f>
        <v>0</v>
      </c>
      <c r="AZ16" s="84">
        <f t="shared" si="19"/>
        <v>0</v>
      </c>
      <c r="BA16" s="224">
        <v>7331.55</v>
      </c>
      <c r="BB16" s="137">
        <f>Z16+'10.31.19'!BB16</f>
        <v>185.73</v>
      </c>
      <c r="BC16" s="137">
        <f>AA16+'10.31.19'!BC16</f>
        <v>29.71</v>
      </c>
      <c r="BD16" s="276">
        <f>AB16+'10.31.19'!BD16</f>
        <v>-2.46</v>
      </c>
      <c r="BE16" s="280">
        <f>AC16+'10.31.19'!BE16</f>
        <v>-6.2</v>
      </c>
      <c r="BF16" s="276">
        <f>AD16+'10.31.19'!BF16</f>
        <v>-0.21</v>
      </c>
      <c r="BG16" s="280">
        <f>AE16+'10.31.19'!BG16</f>
        <v>-0.64</v>
      </c>
      <c r="BH16" s="84">
        <f t="shared" si="20"/>
        <v>205.93</v>
      </c>
      <c r="BI16" s="84">
        <f>AG16+'10.31.19'!BI16</f>
        <v>-62.46</v>
      </c>
      <c r="BJ16" s="84">
        <f>AH16+'10.31.19'!BJ16</f>
        <v>0</v>
      </c>
      <c r="BK16" s="116">
        <f t="shared" si="21"/>
        <v>-62.46</v>
      </c>
      <c r="BL16" s="331">
        <f t="shared" si="22"/>
        <v>7475.02</v>
      </c>
      <c r="BM16" s="83">
        <f t="shared" si="23"/>
        <v>0</v>
      </c>
      <c r="BN16" s="333"/>
    </row>
    <row r="17" spans="1:66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885.86</v>
      </c>
      <c r="G17" s="9">
        <v>0</v>
      </c>
      <c r="H17" s="129">
        <f t="shared" si="0"/>
        <v>885.86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1.83</v>
      </c>
      <c r="M17" s="9">
        <f t="shared" si="3"/>
        <v>1.83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887.69</v>
      </c>
      <c r="S17" s="14">
        <f t="shared" si="7"/>
        <v>1142.8900000000001</v>
      </c>
      <c r="T17" s="86">
        <v>660.86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4"/>
        <v>1.41</v>
      </c>
      <c r="Y17" s="268">
        <f t="shared" si="24"/>
        <v>0.77</v>
      </c>
      <c r="Z17" s="124">
        <f t="shared" si="9"/>
        <v>2.1800000000000002</v>
      </c>
      <c r="AA17" s="268">
        <f t="shared" si="10"/>
        <v>1.02</v>
      </c>
      <c r="AB17" s="204">
        <f t="shared" si="10"/>
        <v>-0.18</v>
      </c>
      <c r="AC17" s="268">
        <f t="shared" si="10"/>
        <v>0</v>
      </c>
      <c r="AD17" s="204">
        <f t="shared" si="10"/>
        <v>0</v>
      </c>
      <c r="AE17" s="268">
        <f t="shared" si="10"/>
        <v>0</v>
      </c>
      <c r="AF17" s="7">
        <f t="shared" si="11"/>
        <v>3.02</v>
      </c>
      <c r="AG17" s="7">
        <f t="shared" si="12"/>
        <v>-1.1299999999999999</v>
      </c>
      <c r="AH17" s="7">
        <v>0</v>
      </c>
      <c r="AI17" s="124">
        <f t="shared" si="13"/>
        <v>-1.1299999999999999</v>
      </c>
      <c r="AJ17" s="14">
        <f t="shared" si="14"/>
        <v>662.75</v>
      </c>
      <c r="AK17" s="233" t="s">
        <v>129</v>
      </c>
      <c r="AL17" s="282" t="s">
        <v>128</v>
      </c>
      <c r="AM17" s="33">
        <f t="shared" si="15"/>
        <v>1550.44</v>
      </c>
      <c r="AN17" s="33">
        <f t="shared" si="16"/>
        <v>1990.07</v>
      </c>
      <c r="AO17" s="83"/>
      <c r="AP17" s="114">
        <v>844.21</v>
      </c>
      <c r="AQ17" s="186">
        <v>1004.87</v>
      </c>
      <c r="AR17" s="192">
        <f>G17+'10.31.19'!AR17</f>
        <v>0</v>
      </c>
      <c r="AS17" s="114">
        <f t="shared" si="17"/>
        <v>439.63</v>
      </c>
      <c r="AT17" s="137">
        <f>K17+'10.31.19'!AT17</f>
        <v>0</v>
      </c>
      <c r="AU17" s="137">
        <f>L17+'10.31.19'!AU17</f>
        <v>7.1</v>
      </c>
      <c r="AV17" s="84">
        <f t="shared" si="18"/>
        <v>7.1</v>
      </c>
      <c r="AW17" s="84">
        <f>N17+'10.31.19'!AW17</f>
        <v>0</v>
      </c>
      <c r="AX17" s="84">
        <f>O17+'10.31.19'!AX17</f>
        <v>0</v>
      </c>
      <c r="AY17" s="84">
        <f>P17+'10.31.19'!AY17</f>
        <v>0</v>
      </c>
      <c r="AZ17" s="84">
        <f t="shared" si="19"/>
        <v>0</v>
      </c>
      <c r="BA17" s="224">
        <v>650.23</v>
      </c>
      <c r="BB17" s="137">
        <f>Z17+'10.31.19'!BB17</f>
        <v>16.190000000000001</v>
      </c>
      <c r="BC17" s="137">
        <f>AA17+'10.31.19'!BC17</f>
        <v>2.59</v>
      </c>
      <c r="BD17" s="276">
        <f>AB17+'10.31.19'!BD17</f>
        <v>-0.21</v>
      </c>
      <c r="BE17" s="280">
        <f>AC17+'10.31.19'!BE17</f>
        <v>-0.54</v>
      </c>
      <c r="BF17" s="276">
        <f>AD17+'10.31.19'!BF17</f>
        <v>-0.02</v>
      </c>
      <c r="BG17" s="280">
        <f>AE17+'10.31.19'!BG17</f>
        <v>-0.05</v>
      </c>
      <c r="BH17" s="84">
        <f t="shared" si="20"/>
        <v>17.96</v>
      </c>
      <c r="BI17" s="84">
        <f>AG17+'10.31.19'!BI17</f>
        <v>-5.44</v>
      </c>
      <c r="BJ17" s="84">
        <f>AH17+'10.31.19'!BJ17</f>
        <v>0</v>
      </c>
      <c r="BK17" s="116">
        <f t="shared" si="21"/>
        <v>-5.44</v>
      </c>
      <c r="BL17" s="331">
        <f t="shared" si="22"/>
        <v>662.75</v>
      </c>
      <c r="BM17" s="83">
        <f t="shared" si="23"/>
        <v>0</v>
      </c>
      <c r="BN17" s="333"/>
    </row>
    <row r="18" spans="1:66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27923.439999999999</v>
      </c>
      <c r="G18" s="9">
        <v>0</v>
      </c>
      <c r="H18" s="129">
        <f t="shared" si="0"/>
        <v>27923.439999999999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57.72</v>
      </c>
      <c r="M18" s="9">
        <f t="shared" si="3"/>
        <v>57.72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27981.16</v>
      </c>
      <c r="S18" s="14">
        <f t="shared" si="7"/>
        <v>36025.379999999997</v>
      </c>
      <c r="T18" s="86">
        <v>7579.58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4"/>
        <v>44.49</v>
      </c>
      <c r="Y18" s="268">
        <f t="shared" si="24"/>
        <v>24.15</v>
      </c>
      <c r="Z18" s="124">
        <f t="shared" si="9"/>
        <v>68.64</v>
      </c>
      <c r="AA18" s="268">
        <f t="shared" si="10"/>
        <v>32.07</v>
      </c>
      <c r="AB18" s="204">
        <f t="shared" si="10"/>
        <v>-5.71</v>
      </c>
      <c r="AC18" s="268">
        <f t="shared" si="10"/>
        <v>0</v>
      </c>
      <c r="AD18" s="204">
        <f t="shared" si="10"/>
        <v>0</v>
      </c>
      <c r="AE18" s="268">
        <f t="shared" si="10"/>
        <v>-0.13</v>
      </c>
      <c r="AF18" s="7">
        <f t="shared" si="11"/>
        <v>94.87</v>
      </c>
      <c r="AG18" s="7">
        <f t="shared" si="12"/>
        <v>-35.479999999999997</v>
      </c>
      <c r="AH18" s="7">
        <v>0</v>
      </c>
      <c r="AI18" s="124">
        <f t="shared" si="13"/>
        <v>-35.479999999999997</v>
      </c>
      <c r="AJ18" s="14">
        <f t="shared" si="14"/>
        <v>7638.97</v>
      </c>
      <c r="AK18" s="281"/>
      <c r="AL18" s="281"/>
      <c r="AM18" s="33">
        <f t="shared" si="15"/>
        <v>35620.129999999997</v>
      </c>
      <c r="AN18" s="33">
        <f t="shared" si="16"/>
        <v>45790.09</v>
      </c>
      <c r="AO18" s="83"/>
      <c r="AP18" s="114">
        <v>26610.59</v>
      </c>
      <c r="AQ18" s="186">
        <v>31674.66</v>
      </c>
      <c r="AR18" s="192">
        <f>G18+'10.31.19'!AR18</f>
        <v>0</v>
      </c>
      <c r="AS18" s="114">
        <f t="shared" ref="AS18:AS28" si="25">AN18-AM18</f>
        <v>10169.959999999999</v>
      </c>
      <c r="AT18" s="137">
        <f>K18+'10.31.19'!AT18</f>
        <v>0</v>
      </c>
      <c r="AU18" s="137">
        <f>L18+'10.31.19'!AU18</f>
        <v>223.73</v>
      </c>
      <c r="AV18" s="84">
        <f t="shared" ref="AV18:AV28" si="26">AT18+AU18</f>
        <v>223.73</v>
      </c>
      <c r="AW18" s="84">
        <f>N18+'10.31.19'!AW18</f>
        <v>0</v>
      </c>
      <c r="AX18" s="84">
        <f>O18+'10.31.19'!AX18</f>
        <v>0</v>
      </c>
      <c r="AY18" s="84">
        <f>P18+'10.31.19'!AY18</f>
        <v>0</v>
      </c>
      <c r="AZ18" s="84">
        <f t="shared" ref="AZ18:AZ28" si="27">AX18+AY18</f>
        <v>0</v>
      </c>
      <c r="BA18" s="224">
        <v>7244.82</v>
      </c>
      <c r="BB18" s="137">
        <f>Z18+'10.31.19'!BB18</f>
        <v>510.2</v>
      </c>
      <c r="BC18" s="137">
        <f>AA18+'10.31.19'!BC18</f>
        <v>81.62</v>
      </c>
      <c r="BD18" s="276">
        <f>AB18+'10.31.19'!BD18</f>
        <v>-6.75</v>
      </c>
      <c r="BE18" s="280">
        <f>AC18+'10.31.19'!BE18</f>
        <v>-17.04</v>
      </c>
      <c r="BF18" s="276">
        <f>AD18+'10.31.19'!BF18</f>
        <v>-0.56999999999999995</v>
      </c>
      <c r="BG18" s="280">
        <f>AE18+'10.31.19'!BG18</f>
        <v>-1.76</v>
      </c>
      <c r="BH18" s="84">
        <f t="shared" ref="BH18:BH28" si="28">SUM(BB18:BG18)</f>
        <v>565.70000000000005</v>
      </c>
      <c r="BI18" s="84">
        <f>AG18+'10.31.19'!BI18</f>
        <v>-171.55</v>
      </c>
      <c r="BJ18" s="84">
        <f>AH18+'10.31.19'!BJ18</f>
        <v>0</v>
      </c>
      <c r="BK18" s="116">
        <f t="shared" ref="BK18:BK28" si="29">BI18+BJ18</f>
        <v>-171.55</v>
      </c>
      <c r="BL18" s="331">
        <f t="shared" si="22"/>
        <v>7638.97</v>
      </c>
      <c r="BM18" s="83">
        <f t="shared" si="23"/>
        <v>0</v>
      </c>
      <c r="BN18" s="333"/>
    </row>
    <row r="19" spans="1:66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94318.38</v>
      </c>
      <c r="G19" s="9">
        <v>0</v>
      </c>
      <c r="H19" s="129">
        <f t="shared" si="0"/>
        <v>94318.38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194.97</v>
      </c>
      <c r="M19" s="9">
        <f t="shared" si="3"/>
        <v>194.97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94513.35</v>
      </c>
      <c r="S19" s="14">
        <f t="shared" si="7"/>
        <v>121684.69</v>
      </c>
      <c r="T19" s="86">
        <v>69074.02</v>
      </c>
      <c r="U19" s="79">
        <f t="shared" si="8"/>
        <v>2.5321880000000001E-2</v>
      </c>
      <c r="V19" s="203"/>
      <c r="W19" s="264"/>
      <c r="X19" s="204">
        <f t="shared" si="24"/>
        <v>150.27000000000001</v>
      </c>
      <c r="Y19" s="268">
        <f t="shared" si="24"/>
        <v>81.56</v>
      </c>
      <c r="Z19" s="124">
        <f t="shared" si="9"/>
        <v>231.83</v>
      </c>
      <c r="AA19" s="268">
        <f t="shared" si="10"/>
        <v>108.32</v>
      </c>
      <c r="AB19" s="204">
        <f t="shared" si="10"/>
        <v>-19.27</v>
      </c>
      <c r="AC19" s="268">
        <f t="shared" si="10"/>
        <v>0</v>
      </c>
      <c r="AD19" s="204">
        <f t="shared" si="10"/>
        <v>0</v>
      </c>
      <c r="AE19" s="268">
        <f t="shared" si="10"/>
        <v>-0.43</v>
      </c>
      <c r="AF19" s="7">
        <f t="shared" si="11"/>
        <v>320.45</v>
      </c>
      <c r="AG19" s="7">
        <f t="shared" si="12"/>
        <v>-119.83</v>
      </c>
      <c r="AH19" s="7">
        <v>0</v>
      </c>
      <c r="AI19" s="124">
        <f t="shared" si="13"/>
        <v>-119.83</v>
      </c>
      <c r="AJ19" s="14">
        <f t="shared" si="14"/>
        <v>69274.64</v>
      </c>
      <c r="AK19" s="233"/>
      <c r="AL19" s="237"/>
      <c r="AM19" s="33">
        <f t="shared" si="15"/>
        <v>163787.99</v>
      </c>
      <c r="AN19" s="33">
        <f t="shared" si="16"/>
        <v>210236.82</v>
      </c>
      <c r="AO19" s="83"/>
      <c r="AP19" s="114">
        <v>89883.9</v>
      </c>
      <c r="AQ19" s="186">
        <v>106989.06</v>
      </c>
      <c r="AR19" s="192">
        <f>G19+'10.31.19'!AR19</f>
        <v>0</v>
      </c>
      <c r="AS19" s="114">
        <f t="shared" si="25"/>
        <v>46448.83</v>
      </c>
      <c r="AT19" s="137">
        <f>K19+'10.31.19'!AT19</f>
        <v>0</v>
      </c>
      <c r="AU19" s="137">
        <f>L19+'10.31.19'!AU19</f>
        <v>755.72</v>
      </c>
      <c r="AV19" s="84">
        <f t="shared" si="26"/>
        <v>755.72</v>
      </c>
      <c r="AW19" s="84">
        <f>N19+'10.31.19'!AW19</f>
        <v>0</v>
      </c>
      <c r="AX19" s="84">
        <f>O19+'10.31.19'!AX19</f>
        <v>0</v>
      </c>
      <c r="AY19" s="84">
        <f>P19+'10.31.19'!AY19</f>
        <v>0</v>
      </c>
      <c r="AZ19" s="84">
        <f t="shared" si="27"/>
        <v>0</v>
      </c>
      <c r="BA19" s="224">
        <v>67943.259999999995</v>
      </c>
      <c r="BB19" s="137">
        <f>Z19+'10.31.19'!BB19</f>
        <v>1723.31</v>
      </c>
      <c r="BC19" s="137">
        <f>AA19+'10.31.19'!BC19</f>
        <v>275.7</v>
      </c>
      <c r="BD19" s="276">
        <f>AB19+'10.31.19'!BD19</f>
        <v>-22.77</v>
      </c>
      <c r="BE19" s="280">
        <f>AC19+'10.31.19'!BE19</f>
        <v>-57.55</v>
      </c>
      <c r="BF19" s="276">
        <f>AD19+'10.31.19'!BF19</f>
        <v>-1.94</v>
      </c>
      <c r="BG19" s="280">
        <f>AE19+'10.31.19'!BG19</f>
        <v>-5.93</v>
      </c>
      <c r="BH19" s="84">
        <f t="shared" si="28"/>
        <v>1910.82</v>
      </c>
      <c r="BI19" s="84">
        <f>AG19+'10.31.19'!BI19</f>
        <v>-579.44000000000005</v>
      </c>
      <c r="BJ19" s="84">
        <f>AH19+'10.31.19'!BJ19</f>
        <v>0</v>
      </c>
      <c r="BK19" s="116">
        <f t="shared" si="29"/>
        <v>-579.44000000000005</v>
      </c>
      <c r="BL19" s="331">
        <f t="shared" si="22"/>
        <v>69274.64</v>
      </c>
      <c r="BM19" s="83">
        <f t="shared" si="23"/>
        <v>0</v>
      </c>
      <c r="BN19" s="333"/>
    </row>
    <row r="20" spans="1:66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34906.21</v>
      </c>
      <c r="G20" s="9">
        <v>0</v>
      </c>
      <c r="H20" s="129">
        <f t="shared" si="0"/>
        <v>34906.21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72.16</v>
      </c>
      <c r="M20" s="9">
        <f t="shared" si="3"/>
        <v>72.16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34978.370000000003</v>
      </c>
      <c r="S20" s="14">
        <f t="shared" si="7"/>
        <v>45034.19</v>
      </c>
      <c r="T20" s="86">
        <v>18835.62</v>
      </c>
      <c r="U20" s="79">
        <f t="shared" si="8"/>
        <v>9.3713500000000005E-3</v>
      </c>
      <c r="V20" s="315"/>
      <c r="W20" s="315"/>
      <c r="X20" s="204">
        <f t="shared" si="24"/>
        <v>55.61</v>
      </c>
      <c r="Y20" s="268">
        <f t="shared" si="24"/>
        <v>30.18</v>
      </c>
      <c r="Z20" s="124">
        <f t="shared" si="9"/>
        <v>85.79</v>
      </c>
      <c r="AA20" s="268">
        <f t="shared" si="10"/>
        <v>40.090000000000003</v>
      </c>
      <c r="AB20" s="204">
        <f t="shared" si="10"/>
        <v>-7.13</v>
      </c>
      <c r="AC20" s="268">
        <f t="shared" si="10"/>
        <v>0</v>
      </c>
      <c r="AD20" s="204">
        <f t="shared" si="10"/>
        <v>0</v>
      </c>
      <c r="AE20" s="268">
        <f t="shared" si="10"/>
        <v>-0.16</v>
      </c>
      <c r="AF20" s="7">
        <f t="shared" si="11"/>
        <v>118.59</v>
      </c>
      <c r="AG20" s="7">
        <f t="shared" si="12"/>
        <v>-44.35</v>
      </c>
      <c r="AH20" s="7">
        <v>0</v>
      </c>
      <c r="AI20" s="124">
        <f t="shared" si="13"/>
        <v>-44.35</v>
      </c>
      <c r="AJ20" s="14">
        <f t="shared" si="14"/>
        <v>18909.86</v>
      </c>
      <c r="AK20" s="283"/>
      <c r="AL20" s="284"/>
      <c r="AM20" s="33">
        <f t="shared" si="15"/>
        <v>53888.23</v>
      </c>
      <c r="AN20" s="33">
        <f t="shared" si="16"/>
        <v>69206.22</v>
      </c>
      <c r="AO20" s="83"/>
      <c r="AP20" s="114">
        <v>33265.06</v>
      </c>
      <c r="AQ20" s="186">
        <v>39595.49</v>
      </c>
      <c r="AR20" s="192">
        <f>G20+'10.31.19'!AR20</f>
        <v>0</v>
      </c>
      <c r="AS20" s="114">
        <f t="shared" si="25"/>
        <v>15317.99</v>
      </c>
      <c r="AT20" s="137">
        <f>K20+'10.31.19'!AT20</f>
        <v>0</v>
      </c>
      <c r="AU20" s="137">
        <f>L20+'10.31.19'!AU20</f>
        <v>279.69</v>
      </c>
      <c r="AV20" s="84">
        <f t="shared" si="26"/>
        <v>279.69</v>
      </c>
      <c r="AW20" s="84">
        <f>N20+'10.31.19'!AW20</f>
        <v>0</v>
      </c>
      <c r="AX20" s="84">
        <f>O20+'10.31.19'!AX20</f>
        <v>0</v>
      </c>
      <c r="AY20" s="84">
        <f>P20+'10.31.19'!AY20</f>
        <v>0</v>
      </c>
      <c r="AZ20" s="84">
        <f t="shared" si="27"/>
        <v>0</v>
      </c>
      <c r="BA20" s="224">
        <v>18417.12</v>
      </c>
      <c r="BB20" s="137">
        <f>Z20+'10.31.19'!BB20</f>
        <v>637.77</v>
      </c>
      <c r="BC20" s="137">
        <f>AA20+'10.31.19'!BC20</f>
        <v>102.04</v>
      </c>
      <c r="BD20" s="276">
        <f>AB20+'10.31.19'!BD20</f>
        <v>-8.42</v>
      </c>
      <c r="BE20" s="280">
        <f>AC20+'10.31.19'!BE20</f>
        <v>-21.3</v>
      </c>
      <c r="BF20" s="276">
        <f>AD20+'10.31.19'!BF20</f>
        <v>-0.72</v>
      </c>
      <c r="BG20" s="280">
        <f>AE20+'10.31.19'!BG20</f>
        <v>-2.19</v>
      </c>
      <c r="BH20" s="84">
        <f t="shared" si="28"/>
        <v>707.18</v>
      </c>
      <c r="BI20" s="84">
        <f>AG20+'10.31.19'!BI20</f>
        <v>-214.44</v>
      </c>
      <c r="BJ20" s="84">
        <f>AH20+'10.31.19'!BJ20</f>
        <v>0</v>
      </c>
      <c r="BK20" s="116">
        <f t="shared" si="29"/>
        <v>-214.44</v>
      </c>
      <c r="BL20" s="331">
        <f t="shared" si="22"/>
        <v>18909.86</v>
      </c>
      <c r="BM20" s="83">
        <f t="shared" si="23"/>
        <v>0</v>
      </c>
      <c r="BN20" s="333"/>
    </row>
    <row r="21" spans="1:66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538180.86</v>
      </c>
      <c r="G21" s="9">
        <v>0</v>
      </c>
      <c r="H21" s="129">
        <f t="shared" si="0"/>
        <v>538180.86</v>
      </c>
      <c r="I21" s="76">
        <f t="shared" si="1"/>
        <v>0.1444867</v>
      </c>
      <c r="J21" s="128"/>
      <c r="K21" s="128">
        <f t="shared" si="2"/>
        <v>0</v>
      </c>
      <c r="L21" s="128">
        <f t="shared" si="2"/>
        <v>1112.48</v>
      </c>
      <c r="M21" s="9">
        <f t="shared" si="3"/>
        <v>1112.48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539293.34</v>
      </c>
      <c r="S21" s="14">
        <f t="shared" si="7"/>
        <v>694333.07</v>
      </c>
      <c r="T21" s="86">
        <v>502744.35</v>
      </c>
      <c r="U21" s="79">
        <f t="shared" si="8"/>
        <v>0.1444867</v>
      </c>
      <c r="V21" s="203"/>
      <c r="W21" s="264"/>
      <c r="X21" s="204">
        <f t="shared" si="24"/>
        <v>857.42</v>
      </c>
      <c r="Y21" s="268">
        <f t="shared" si="24"/>
        <v>465.36</v>
      </c>
      <c r="Z21" s="124">
        <f t="shared" si="9"/>
        <v>1322.78</v>
      </c>
      <c r="AA21" s="268">
        <f t="shared" si="10"/>
        <v>618.04999999999995</v>
      </c>
      <c r="AB21" s="204">
        <f t="shared" si="10"/>
        <v>-109.96</v>
      </c>
      <c r="AC21" s="268">
        <f t="shared" si="10"/>
        <v>0</v>
      </c>
      <c r="AD21" s="204">
        <f t="shared" si="10"/>
        <v>0</v>
      </c>
      <c r="AE21" s="268">
        <f t="shared" si="10"/>
        <v>-2.4300000000000002</v>
      </c>
      <c r="AF21" s="7">
        <f t="shared" si="11"/>
        <v>1828.44</v>
      </c>
      <c r="AG21" s="7">
        <f t="shared" si="12"/>
        <v>-683.76</v>
      </c>
      <c r="AH21" s="7">
        <v>-8583.7999999999993</v>
      </c>
      <c r="AI21" s="124">
        <f t="shared" si="13"/>
        <v>-9267.56</v>
      </c>
      <c r="AJ21" s="14">
        <f t="shared" si="14"/>
        <v>495305.23</v>
      </c>
      <c r="AK21" s="285"/>
      <c r="AL21" s="236"/>
      <c r="AM21" s="33">
        <f t="shared" si="15"/>
        <v>1034598.57</v>
      </c>
      <c r="AN21" s="33">
        <f t="shared" si="16"/>
        <v>1327470.03</v>
      </c>
      <c r="AO21" s="83"/>
      <c r="AP21" s="114">
        <v>512877.8</v>
      </c>
      <c r="AQ21" s="186">
        <v>610479.87</v>
      </c>
      <c r="AR21" s="192">
        <f>G21+'10.31.19'!AR21</f>
        <v>0</v>
      </c>
      <c r="AS21" s="114">
        <f t="shared" si="25"/>
        <v>292871.46000000002</v>
      </c>
      <c r="AT21" s="137">
        <f>K21+'10.31.19'!AT21</f>
        <v>0</v>
      </c>
      <c r="AU21" s="137">
        <f>L21+'10.31.19'!AU21</f>
        <v>4312.1000000000004</v>
      </c>
      <c r="AV21" s="84">
        <f t="shared" si="26"/>
        <v>4312.1000000000004</v>
      </c>
      <c r="AW21" s="84">
        <f>N21+'10.31.19'!AW21</f>
        <v>0</v>
      </c>
      <c r="AX21" s="84">
        <f>O21+'10.31.19'!AX21</f>
        <v>0</v>
      </c>
      <c r="AY21" s="84">
        <f>P21+'10.31.19'!AY21</f>
        <v>0</v>
      </c>
      <c r="AZ21" s="84">
        <f t="shared" si="27"/>
        <v>0</v>
      </c>
      <c r="BA21" s="224">
        <v>492992.17</v>
      </c>
      <c r="BB21" s="137">
        <f>Z21+'10.31.19'!BB21</f>
        <v>9833.2099999999991</v>
      </c>
      <c r="BC21" s="137">
        <f>AA21+'10.31.19'!BC21</f>
        <v>1573.12</v>
      </c>
      <c r="BD21" s="276">
        <f>AB21+'10.31.19'!BD21</f>
        <v>-129.91999999999999</v>
      </c>
      <c r="BE21" s="280">
        <f>AC21+'10.31.19'!BE21</f>
        <v>-328.33</v>
      </c>
      <c r="BF21" s="276">
        <f>AD21+'10.31.19'!BF21</f>
        <v>-11.08</v>
      </c>
      <c r="BG21" s="280">
        <f>AE21+'10.31.19'!BG21</f>
        <v>-33.770000000000003</v>
      </c>
      <c r="BH21" s="84">
        <f t="shared" si="28"/>
        <v>10903.23</v>
      </c>
      <c r="BI21" s="84">
        <f>AG21+'10.31.19'!BI21</f>
        <v>-3306.29</v>
      </c>
      <c r="BJ21" s="84">
        <f>AH21+'10.31.19'!BJ21</f>
        <v>-5283.88</v>
      </c>
      <c r="BK21" s="116">
        <f t="shared" si="29"/>
        <v>-8590.17</v>
      </c>
      <c r="BL21" s="331">
        <f t="shared" si="22"/>
        <v>495305.23</v>
      </c>
      <c r="BM21" s="83">
        <f t="shared" si="23"/>
        <v>0</v>
      </c>
      <c r="BN21" s="333"/>
    </row>
    <row r="22" spans="1:66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550823.18999999994</v>
      </c>
      <c r="G22" s="9">
        <v>0</v>
      </c>
      <c r="H22" s="129">
        <f t="shared" si="0"/>
        <v>550823.18999999994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1138.6099999999999</v>
      </c>
      <c r="M22" s="9">
        <f t="shared" si="3"/>
        <v>1138.6099999999999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551961.80000000005</v>
      </c>
      <c r="S22" s="14">
        <f t="shared" si="7"/>
        <v>710643.55</v>
      </c>
      <c r="T22" s="86">
        <v>427892.63</v>
      </c>
      <c r="U22" s="79">
        <f t="shared" si="8"/>
        <v>0.14788081</v>
      </c>
      <c r="V22" s="316"/>
      <c r="W22" s="317"/>
      <c r="X22" s="204">
        <f t="shared" si="24"/>
        <v>877.56</v>
      </c>
      <c r="Y22" s="268">
        <f t="shared" si="24"/>
        <v>476.29</v>
      </c>
      <c r="Z22" s="124">
        <f t="shared" si="9"/>
        <v>1353.85</v>
      </c>
      <c r="AA22" s="268">
        <f t="shared" si="10"/>
        <v>632.55999999999995</v>
      </c>
      <c r="AB22" s="204">
        <f t="shared" si="10"/>
        <v>-112.54</v>
      </c>
      <c r="AC22" s="268">
        <f t="shared" si="10"/>
        <v>0</v>
      </c>
      <c r="AD22" s="204">
        <f t="shared" si="10"/>
        <v>0</v>
      </c>
      <c r="AE22" s="268">
        <f t="shared" si="10"/>
        <v>-2.48</v>
      </c>
      <c r="AF22" s="7">
        <f t="shared" si="11"/>
        <v>1871.39</v>
      </c>
      <c r="AG22" s="7">
        <f t="shared" si="12"/>
        <v>-699.82</v>
      </c>
      <c r="AH22" s="7">
        <v>0</v>
      </c>
      <c r="AI22" s="124">
        <f t="shared" si="13"/>
        <v>-699.82</v>
      </c>
      <c r="AJ22" s="14">
        <f t="shared" si="14"/>
        <v>429064.2</v>
      </c>
      <c r="AK22" s="283"/>
      <c r="AL22" s="284"/>
      <c r="AM22" s="33">
        <f t="shared" si="15"/>
        <v>981026</v>
      </c>
      <c r="AN22" s="33">
        <f t="shared" si="16"/>
        <v>1259106.17</v>
      </c>
      <c r="AO22" s="83"/>
      <c r="AP22" s="114">
        <v>524925.73</v>
      </c>
      <c r="AQ22" s="186">
        <v>624820.56000000006</v>
      </c>
      <c r="AR22" s="192">
        <f>G22+'10.31.19'!AR22</f>
        <v>0</v>
      </c>
      <c r="AS22" s="114">
        <f t="shared" si="25"/>
        <v>278080.17</v>
      </c>
      <c r="AT22" s="137">
        <f>K22+'10.31.19'!AT22</f>
        <v>0</v>
      </c>
      <c r="AU22" s="137">
        <f>L22+'10.31.19'!AU22</f>
        <v>4413.3900000000003</v>
      </c>
      <c r="AV22" s="84">
        <f t="shared" si="26"/>
        <v>4413.3900000000003</v>
      </c>
      <c r="AW22" s="84">
        <f>N22+'10.31.19'!AW22</f>
        <v>0</v>
      </c>
      <c r="AX22" s="84">
        <f>O22+'10.31.19'!AX22</f>
        <v>0</v>
      </c>
      <c r="AY22" s="84">
        <f>P22+'10.31.19'!AY22</f>
        <v>0</v>
      </c>
      <c r="AZ22" s="84">
        <f t="shared" si="27"/>
        <v>0</v>
      </c>
      <c r="BA22" s="224">
        <v>421288.81</v>
      </c>
      <c r="BB22" s="137">
        <f>Z22+'10.31.19'!BB22</f>
        <v>10064.19</v>
      </c>
      <c r="BC22" s="137">
        <f>AA22+'10.31.19'!BC22</f>
        <v>1610.07</v>
      </c>
      <c r="BD22" s="276">
        <f>AB22+'10.31.19'!BD22</f>
        <v>-132.97</v>
      </c>
      <c r="BE22" s="280">
        <f>AC22+'10.31.19'!BE22</f>
        <v>-336.04</v>
      </c>
      <c r="BF22" s="276">
        <f>AD22+'10.31.19'!BF22</f>
        <v>-11.34</v>
      </c>
      <c r="BG22" s="280">
        <f>AE22+'10.31.19'!BG22</f>
        <v>-34.56</v>
      </c>
      <c r="BH22" s="84">
        <f t="shared" si="28"/>
        <v>11159.35</v>
      </c>
      <c r="BI22" s="84">
        <f>AG22+'10.31.19'!BI22</f>
        <v>-3383.96</v>
      </c>
      <c r="BJ22" s="84">
        <f>AH22+'10.31.19'!BJ22</f>
        <v>0</v>
      </c>
      <c r="BK22" s="116">
        <f t="shared" si="29"/>
        <v>-3383.96</v>
      </c>
      <c r="BL22" s="331">
        <f t="shared" si="22"/>
        <v>429064.2</v>
      </c>
      <c r="BM22" s="83">
        <f t="shared" si="23"/>
        <v>0</v>
      </c>
      <c r="BN22" s="333"/>
    </row>
    <row r="23" spans="1:66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2848.93</v>
      </c>
      <c r="G23" s="9">
        <v>0</v>
      </c>
      <c r="H23" s="129">
        <f t="shared" si="0"/>
        <v>2848.93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5.89</v>
      </c>
      <c r="M23" s="9">
        <f t="shared" si="3"/>
        <v>5.89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2854.82</v>
      </c>
      <c r="S23" s="14">
        <f t="shared" si="7"/>
        <v>3675.54</v>
      </c>
      <c r="T23" s="86">
        <v>2045.33</v>
      </c>
      <c r="U23" s="79">
        <f t="shared" si="8"/>
        <v>7.6486000000000002E-4</v>
      </c>
      <c r="V23" s="203"/>
      <c r="W23" s="264"/>
      <c r="X23" s="204">
        <f t="shared" si="24"/>
        <v>4.54</v>
      </c>
      <c r="Y23" s="268">
        <f t="shared" si="24"/>
        <v>2.46</v>
      </c>
      <c r="Z23" s="124">
        <f t="shared" si="9"/>
        <v>7</v>
      </c>
      <c r="AA23" s="268">
        <f t="shared" si="10"/>
        <v>3.27</v>
      </c>
      <c r="AB23" s="204">
        <f t="shared" si="10"/>
        <v>-0.57999999999999996</v>
      </c>
      <c r="AC23" s="268">
        <f t="shared" si="10"/>
        <v>0</v>
      </c>
      <c r="AD23" s="204">
        <f t="shared" si="10"/>
        <v>0</v>
      </c>
      <c r="AE23" s="268">
        <f t="shared" si="10"/>
        <v>-0.01</v>
      </c>
      <c r="AF23" s="7">
        <f t="shared" si="11"/>
        <v>9.68</v>
      </c>
      <c r="AG23" s="7">
        <f t="shared" si="12"/>
        <v>-3.62</v>
      </c>
      <c r="AH23" s="7">
        <v>0</v>
      </c>
      <c r="AI23" s="124">
        <f t="shared" si="13"/>
        <v>-3.62</v>
      </c>
      <c r="AJ23" s="14">
        <f t="shared" si="14"/>
        <v>2051.39</v>
      </c>
      <c r="AK23" s="285"/>
      <c r="AL23" s="236"/>
      <c r="AM23" s="33">
        <f t="shared" si="15"/>
        <v>4906.21</v>
      </c>
      <c r="AN23" s="33">
        <f t="shared" si="16"/>
        <v>6297.78</v>
      </c>
      <c r="AO23" s="83"/>
      <c r="AP23" s="114">
        <v>2714.97</v>
      </c>
      <c r="AQ23" s="186">
        <v>3231.64</v>
      </c>
      <c r="AR23" s="192">
        <f>G23+'10.31.19'!AR23</f>
        <v>0</v>
      </c>
      <c r="AS23" s="114">
        <f t="shared" si="25"/>
        <v>1391.57</v>
      </c>
      <c r="AT23" s="137">
        <f>K23+'10.31.19'!AT23</f>
        <v>0</v>
      </c>
      <c r="AU23" s="137">
        <f>L23+'10.31.19'!AU23</f>
        <v>22.83</v>
      </c>
      <c r="AV23" s="84">
        <f t="shared" si="26"/>
        <v>22.83</v>
      </c>
      <c r="AW23" s="84">
        <f>N23+'10.31.19'!AW23</f>
        <v>0</v>
      </c>
      <c r="AX23" s="84">
        <f>O23+'10.31.19'!AX23</f>
        <v>0</v>
      </c>
      <c r="AY23" s="84">
        <f>P23+'10.31.19'!AY23</f>
        <v>0</v>
      </c>
      <c r="AZ23" s="84">
        <f t="shared" si="27"/>
        <v>0</v>
      </c>
      <c r="BA23" s="224">
        <v>2011.18</v>
      </c>
      <c r="BB23" s="137">
        <f>Z23+'10.31.19'!BB23</f>
        <v>52.05</v>
      </c>
      <c r="BC23" s="137">
        <f>AA23+'10.31.19'!BC23</f>
        <v>8.33</v>
      </c>
      <c r="BD23" s="276">
        <f>AB23+'10.31.19'!BD23</f>
        <v>-0.69</v>
      </c>
      <c r="BE23" s="280">
        <f>AC23+'10.31.19'!BE23</f>
        <v>-1.74</v>
      </c>
      <c r="BF23" s="276">
        <f>AD23+'10.31.19'!BF23</f>
        <v>-0.06</v>
      </c>
      <c r="BG23" s="280">
        <f>AE23+'10.31.19'!BG23</f>
        <v>-0.18</v>
      </c>
      <c r="BH23" s="84">
        <f t="shared" si="28"/>
        <v>57.71</v>
      </c>
      <c r="BI23" s="84">
        <f>AG23+'10.31.19'!BI23</f>
        <v>-17.5</v>
      </c>
      <c r="BJ23" s="84">
        <f>AH23+'10.31.19'!BJ23</f>
        <v>0</v>
      </c>
      <c r="BK23" s="116">
        <f t="shared" si="29"/>
        <v>-17.5</v>
      </c>
      <c r="BL23" s="331">
        <f t="shared" si="22"/>
        <v>2051.39</v>
      </c>
      <c r="BM23" s="83">
        <f t="shared" si="23"/>
        <v>0</v>
      </c>
      <c r="BN23" s="333"/>
    </row>
    <row r="24" spans="1:66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1495194.43</v>
      </c>
      <c r="G24" s="9">
        <v>0</v>
      </c>
      <c r="H24" s="129">
        <f t="shared" si="0"/>
        <v>1495194.43</v>
      </c>
      <c r="I24" s="76">
        <f>H24/(H$31-1575)+0.00000001</f>
        <v>0.40141841</v>
      </c>
      <c r="J24" s="128"/>
      <c r="K24" s="128">
        <f>$I24*K$31</f>
        <v>0</v>
      </c>
      <c r="L24" s="318">
        <f>($I24*L$31)+0.01</f>
        <v>3090.75</v>
      </c>
      <c r="M24" s="9">
        <f t="shared" si="3"/>
        <v>3090.75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1498285.18</v>
      </c>
      <c r="S24" s="14">
        <f>(R24/(R$31-1575)*(S$31-1575))-0.01</f>
        <v>1929022.43</v>
      </c>
      <c r="T24" s="86">
        <v>716216.73</v>
      </c>
      <c r="U24" s="79">
        <f t="shared" si="8"/>
        <v>0.40141841</v>
      </c>
      <c r="V24" s="203"/>
      <c r="W24" s="264"/>
      <c r="X24" s="311">
        <f>($U24*X$31)-0.01</f>
        <v>2382.11</v>
      </c>
      <c r="Y24" s="312">
        <f>($U24*Y$31)-0.02</f>
        <v>1292.8599999999999</v>
      </c>
      <c r="Z24" s="313">
        <f t="shared" si="9"/>
        <v>3674.97</v>
      </c>
      <c r="AA24" s="312">
        <f>($U24*AA$31)-0.02</f>
        <v>1717.06</v>
      </c>
      <c r="AB24" s="311">
        <f>($U24*AB$31)</f>
        <v>-305.49</v>
      </c>
      <c r="AC24" s="312">
        <f>($U24*AC$31)</f>
        <v>0</v>
      </c>
      <c r="AD24" s="311">
        <f>($U24*AD$31)</f>
        <v>0</v>
      </c>
      <c r="AE24" s="312">
        <f>($U24*AE$31)</f>
        <v>-6.74</v>
      </c>
      <c r="AF24" s="7">
        <f t="shared" si="11"/>
        <v>5079.8</v>
      </c>
      <c r="AG24" s="7">
        <f>(U24*AG$31)</f>
        <v>-1899.65</v>
      </c>
      <c r="AH24" s="7">
        <v>0</v>
      </c>
      <c r="AI24" s="124">
        <f t="shared" si="13"/>
        <v>-1899.65</v>
      </c>
      <c r="AJ24" s="14">
        <f t="shared" si="14"/>
        <v>719396.88</v>
      </c>
      <c r="AK24" s="285"/>
      <c r="AL24" s="236"/>
      <c r="AM24" s="33">
        <f t="shared" si="15"/>
        <v>2217682.06</v>
      </c>
      <c r="AN24" s="33">
        <f>((S24+AJ24)+((AJ24/AJ$31)*AO$49))+0.02</f>
        <v>2848610.46</v>
      </c>
      <c r="AO24" s="83"/>
      <c r="AP24" s="114">
        <v>1424896.51</v>
      </c>
      <c r="AQ24" s="186">
        <v>1696058.26</v>
      </c>
      <c r="AR24" s="192">
        <f>G24+'10.31.19'!AR24</f>
        <v>0</v>
      </c>
      <c r="AS24" s="114">
        <f t="shared" si="25"/>
        <v>630928.4</v>
      </c>
      <c r="AT24" s="137">
        <f>K24+'10.31.19'!AT24</f>
        <v>0</v>
      </c>
      <c r="AU24" s="137">
        <f>L24+'10.31.19'!AU24</f>
        <v>11980.04</v>
      </c>
      <c r="AV24" s="84">
        <f t="shared" si="26"/>
        <v>11980.04</v>
      </c>
      <c r="AW24" s="84">
        <f>N24+'10.31.19'!AW24</f>
        <v>0</v>
      </c>
      <c r="AX24" s="84">
        <f>O24+'10.31.19'!AX24</f>
        <v>0</v>
      </c>
      <c r="AY24" s="84">
        <f>P24+'10.31.19'!AY24</f>
        <v>0</v>
      </c>
      <c r="AZ24" s="84">
        <f t="shared" si="27"/>
        <v>0</v>
      </c>
      <c r="BA24" s="224">
        <v>698290.76</v>
      </c>
      <c r="BB24" s="137">
        <f>Z24+'10.31.19'!BB24</f>
        <v>27319.02</v>
      </c>
      <c r="BC24" s="137">
        <f>AA24+'10.31.19'!BC24</f>
        <v>4370.4399999999996</v>
      </c>
      <c r="BD24" s="276">
        <f>AB24+'10.31.19'!BD24</f>
        <v>-360.95</v>
      </c>
      <c r="BE24" s="280">
        <f>AC24+'10.31.19'!BE24</f>
        <v>-912.17</v>
      </c>
      <c r="BF24" s="276">
        <f>AD24+'10.31.19'!BF24</f>
        <v>-30.78</v>
      </c>
      <c r="BG24" s="280">
        <f>AE24+'10.31.19'!BG24</f>
        <v>-93.78</v>
      </c>
      <c r="BH24" s="84">
        <f t="shared" si="28"/>
        <v>30291.78</v>
      </c>
      <c r="BI24" s="84">
        <f>AG24+'10.31.19'!BI24</f>
        <v>-9185.66</v>
      </c>
      <c r="BJ24" s="84">
        <f>AH24+'10.31.19'!BJ24</f>
        <v>0</v>
      </c>
      <c r="BK24" s="116">
        <f t="shared" si="29"/>
        <v>-9185.66</v>
      </c>
      <c r="BL24" s="331">
        <f t="shared" si="22"/>
        <v>719396.88</v>
      </c>
      <c r="BM24" s="83">
        <f t="shared" si="23"/>
        <v>0</v>
      </c>
      <c r="BN24" s="333"/>
    </row>
    <row r="25" spans="1:66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325641.40000000002</v>
      </c>
      <c r="G25" s="9">
        <v>0</v>
      </c>
      <c r="H25" s="129">
        <f t="shared" si="0"/>
        <v>325641.40000000002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673.14</v>
      </c>
      <c r="M25" s="9">
        <f t="shared" si="3"/>
        <v>673.14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326314.53999999998</v>
      </c>
      <c r="S25" s="14">
        <f>(R25/(R$31-1575)*(S$31-1575))</f>
        <v>420125.67</v>
      </c>
      <c r="T25" s="86">
        <v>187626.83</v>
      </c>
      <c r="U25" s="79">
        <f t="shared" si="8"/>
        <v>8.7425719999999998E-2</v>
      </c>
      <c r="V25" s="203"/>
      <c r="W25" s="264"/>
      <c r="X25" s="204">
        <f t="shared" ref="X25:Y28" si="30">$U25*X$31</f>
        <v>518.80999999999995</v>
      </c>
      <c r="Y25" s="268">
        <f t="shared" si="30"/>
        <v>281.58</v>
      </c>
      <c r="Z25" s="124">
        <f t="shared" si="9"/>
        <v>800.39</v>
      </c>
      <c r="AA25" s="268">
        <f t="shared" ref="AA25:AE28" si="31">$U25*AA$31</f>
        <v>373.97</v>
      </c>
      <c r="AB25" s="204">
        <f t="shared" si="31"/>
        <v>-66.53</v>
      </c>
      <c r="AC25" s="268">
        <f t="shared" si="31"/>
        <v>0</v>
      </c>
      <c r="AD25" s="204">
        <f t="shared" si="31"/>
        <v>0</v>
      </c>
      <c r="AE25" s="268">
        <f t="shared" si="31"/>
        <v>-1.47</v>
      </c>
      <c r="AF25" s="7">
        <f t="shared" si="11"/>
        <v>1106.3599999999999</v>
      </c>
      <c r="AG25" s="7">
        <f>U25*AG$31</f>
        <v>-413.73</v>
      </c>
      <c r="AH25" s="7">
        <v>0</v>
      </c>
      <c r="AI25" s="124">
        <f t="shared" si="13"/>
        <v>-413.73</v>
      </c>
      <c r="AJ25" s="14">
        <f t="shared" si="14"/>
        <v>188319.46</v>
      </c>
      <c r="AK25" s="285"/>
      <c r="AL25" s="236"/>
      <c r="AM25" s="33">
        <f t="shared" si="15"/>
        <v>514634</v>
      </c>
      <c r="AN25" s="33">
        <f>(S25+AJ25)+((AJ25/AJ$31)*AO$49)</f>
        <v>660849.98</v>
      </c>
      <c r="AO25" s="83"/>
      <c r="AP25" s="114">
        <v>310331.06</v>
      </c>
      <c r="AQ25" s="186">
        <v>369387.93</v>
      </c>
      <c r="AR25" s="192">
        <f>G25+'10.31.19'!AR25</f>
        <v>0</v>
      </c>
      <c r="AS25" s="114">
        <f t="shared" si="25"/>
        <v>146215.98000000001</v>
      </c>
      <c r="AT25" s="137">
        <f>K25+'10.31.19'!AT25</f>
        <v>0</v>
      </c>
      <c r="AU25" s="137">
        <f>L25+'10.31.19'!AU25</f>
        <v>2609.16</v>
      </c>
      <c r="AV25" s="84">
        <f t="shared" si="26"/>
        <v>2609.16</v>
      </c>
      <c r="AW25" s="84">
        <f>N25+'10.31.19'!AW25</f>
        <v>0</v>
      </c>
      <c r="AX25" s="84">
        <f>O25+'10.31.19'!AX25</f>
        <v>0</v>
      </c>
      <c r="AY25" s="84">
        <f>P25+'10.31.19'!AY25</f>
        <v>0</v>
      </c>
      <c r="AZ25" s="84">
        <f t="shared" si="27"/>
        <v>0</v>
      </c>
      <c r="BA25" s="224">
        <v>183722.72</v>
      </c>
      <c r="BB25" s="137">
        <f>Z25+'10.31.19'!BB25</f>
        <v>5949.85</v>
      </c>
      <c r="BC25" s="137">
        <f>AA25+'10.31.19'!BC25</f>
        <v>951.87</v>
      </c>
      <c r="BD25" s="276">
        <f>AB25+'10.31.19'!BD25</f>
        <v>-78.61</v>
      </c>
      <c r="BE25" s="280">
        <f>AC25+'10.31.19'!BE25</f>
        <v>-198.66</v>
      </c>
      <c r="BF25" s="276">
        <f>AD25+'10.31.19'!BF25</f>
        <v>-6.7</v>
      </c>
      <c r="BG25" s="280">
        <f>AE25+'10.31.19'!BG25</f>
        <v>-20.440000000000001</v>
      </c>
      <c r="BH25" s="84">
        <f t="shared" si="28"/>
        <v>6597.31</v>
      </c>
      <c r="BI25" s="84">
        <f>AG25+'10.31.19'!BI25</f>
        <v>-2000.57</v>
      </c>
      <c r="BJ25" s="84">
        <f>AH25+'10.31.19'!BJ25</f>
        <v>0</v>
      </c>
      <c r="BK25" s="116">
        <f t="shared" si="29"/>
        <v>-2000.57</v>
      </c>
      <c r="BL25" s="331">
        <f t="shared" si="22"/>
        <v>188319.46</v>
      </c>
      <c r="BM25" s="83">
        <f t="shared" si="23"/>
        <v>0</v>
      </c>
      <c r="BN25" s="333"/>
    </row>
    <row r="26" spans="1:66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13643.76</v>
      </c>
      <c r="G26" s="9">
        <v>0</v>
      </c>
      <c r="H26" s="129">
        <f t="shared" si="0"/>
        <v>13643.76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28.2</v>
      </c>
      <c r="M26" s="9">
        <f t="shared" si="3"/>
        <v>28.2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13671.96</v>
      </c>
      <c r="S26" s="14">
        <f>(R26/(R$31-1575)*(S$31-1575))</f>
        <v>17602.47</v>
      </c>
      <c r="T26" s="86">
        <v>9597.98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30"/>
        <v>21.74</v>
      </c>
      <c r="Y26" s="268">
        <f t="shared" si="30"/>
        <v>11.8</v>
      </c>
      <c r="Z26" s="124">
        <f t="shared" si="9"/>
        <v>33.54</v>
      </c>
      <c r="AA26" s="268">
        <f t="shared" si="31"/>
        <v>15.67</v>
      </c>
      <c r="AB26" s="204">
        <f t="shared" si="31"/>
        <v>-2.79</v>
      </c>
      <c r="AC26" s="268">
        <f t="shared" si="31"/>
        <v>0</v>
      </c>
      <c r="AD26" s="204">
        <f t="shared" si="31"/>
        <v>0</v>
      </c>
      <c r="AE26" s="268">
        <f t="shared" si="31"/>
        <v>-0.06</v>
      </c>
      <c r="AF26" s="7">
        <f t="shared" si="11"/>
        <v>46.36</v>
      </c>
      <c r="AG26" s="7">
        <f>U26*AG$31</f>
        <v>-17.329999999999998</v>
      </c>
      <c r="AH26" s="7">
        <v>0</v>
      </c>
      <c r="AI26" s="124">
        <f t="shared" si="13"/>
        <v>-17.329999999999998</v>
      </c>
      <c r="AJ26" s="14">
        <f t="shared" si="14"/>
        <v>9627.01</v>
      </c>
      <c r="AK26" s="233"/>
      <c r="AL26" s="284"/>
      <c r="AM26" s="33">
        <f t="shared" si="15"/>
        <v>23298.97</v>
      </c>
      <c r="AN26" s="33">
        <f>(S26+AJ26)+((AJ26/AJ$31)*AO$49)</f>
        <v>29908.45</v>
      </c>
      <c r="AO26" s="83"/>
      <c r="AP26" s="114">
        <v>13002.29</v>
      </c>
      <c r="AQ26" s="186">
        <v>15476.66</v>
      </c>
      <c r="AR26" s="192">
        <f>G26+'10.31.19'!AR26</f>
        <v>0</v>
      </c>
      <c r="AS26" s="114">
        <f t="shared" si="25"/>
        <v>6609.48</v>
      </c>
      <c r="AT26" s="137">
        <f>K26+'10.31.19'!AT26</f>
        <v>0</v>
      </c>
      <c r="AU26" s="137">
        <f>L26+'10.31.19'!AU26</f>
        <v>109.32</v>
      </c>
      <c r="AV26" s="84">
        <f t="shared" si="26"/>
        <v>109.32</v>
      </c>
      <c r="AW26" s="84">
        <f>N26+'10.31.19'!AW26</f>
        <v>0</v>
      </c>
      <c r="AX26" s="84">
        <f>O26+'10.31.19'!AX26</f>
        <v>0</v>
      </c>
      <c r="AY26" s="84">
        <f>P26+'10.31.19'!AY26</f>
        <v>0</v>
      </c>
      <c r="AZ26" s="84">
        <f t="shared" si="27"/>
        <v>0</v>
      </c>
      <c r="BA26" s="224">
        <v>9815.51</v>
      </c>
      <c r="BB26" s="137">
        <f>Z26+'10.31.19'!BB26</f>
        <v>249.28</v>
      </c>
      <c r="BC26" s="137">
        <f>AA26+'10.31.19'!BC26</f>
        <v>39.89</v>
      </c>
      <c r="BD26" s="276">
        <f>AB26+'10.31.19'!BD26</f>
        <v>-3.3</v>
      </c>
      <c r="BE26" s="280">
        <f>AC26+'10.31.19'!BE26</f>
        <v>-8.32</v>
      </c>
      <c r="BF26" s="276">
        <f>AD26+'10.31.19'!BF26</f>
        <v>-0.28000000000000003</v>
      </c>
      <c r="BG26" s="280">
        <f>AE26+'10.31.19'!BG26</f>
        <v>-0.85</v>
      </c>
      <c r="BH26" s="84">
        <f t="shared" si="28"/>
        <v>276.42</v>
      </c>
      <c r="BI26" s="84">
        <f>AG26+'10.31.19'!BI26</f>
        <v>-83.81</v>
      </c>
      <c r="BJ26" s="84">
        <f>AH26+'10.31.19'!BJ26</f>
        <v>-381.11</v>
      </c>
      <c r="BK26" s="116">
        <f t="shared" si="29"/>
        <v>-464.92</v>
      </c>
      <c r="BL26" s="331">
        <f t="shared" si="22"/>
        <v>9627.01</v>
      </c>
      <c r="BM26" s="83">
        <f t="shared" si="23"/>
        <v>0</v>
      </c>
      <c r="BN26" s="333"/>
    </row>
    <row r="27" spans="1:66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13460.68</v>
      </c>
      <c r="G27" s="9">
        <v>0</v>
      </c>
      <c r="H27" s="129">
        <f t="shared" si="0"/>
        <v>13460.68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27.82</v>
      </c>
      <c r="M27" s="9">
        <f t="shared" si="3"/>
        <v>27.82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13488.5</v>
      </c>
      <c r="S27" s="14">
        <f>(R27/(R$31-1575)*(S$31-1575))</f>
        <v>17366.27</v>
      </c>
      <c r="T27" s="86">
        <v>7300.91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30"/>
        <v>21.45</v>
      </c>
      <c r="Y27" s="268">
        <f t="shared" si="30"/>
        <v>11.64</v>
      </c>
      <c r="Z27" s="124">
        <f t="shared" si="9"/>
        <v>33.090000000000003</v>
      </c>
      <c r="AA27" s="268">
        <f t="shared" si="31"/>
        <v>15.46</v>
      </c>
      <c r="AB27" s="204">
        <f t="shared" si="31"/>
        <v>-2.75</v>
      </c>
      <c r="AC27" s="268">
        <f t="shared" si="31"/>
        <v>0</v>
      </c>
      <c r="AD27" s="204">
        <f t="shared" si="31"/>
        <v>0</v>
      </c>
      <c r="AE27" s="268">
        <f t="shared" si="31"/>
        <v>-0.06</v>
      </c>
      <c r="AF27" s="7">
        <f t="shared" si="11"/>
        <v>45.74</v>
      </c>
      <c r="AG27" s="7">
        <f>U27*AG$31</f>
        <v>-17.100000000000001</v>
      </c>
      <c r="AH27" s="7">
        <v>0</v>
      </c>
      <c r="AI27" s="124">
        <f t="shared" si="13"/>
        <v>-17.100000000000001</v>
      </c>
      <c r="AJ27" s="14">
        <f t="shared" si="14"/>
        <v>7329.55</v>
      </c>
      <c r="AK27" s="233" t="s">
        <v>120</v>
      </c>
      <c r="AL27" s="236" t="s">
        <v>115</v>
      </c>
      <c r="AM27" s="33">
        <f t="shared" si="15"/>
        <v>20818.05</v>
      </c>
      <c r="AN27" s="33">
        <f>(S27+AJ27)+((AJ27/AJ$31)*AO$49)</f>
        <v>26735.46</v>
      </c>
      <c r="AO27" s="83"/>
      <c r="AP27" s="114">
        <v>12827.82</v>
      </c>
      <c r="AQ27" s="186">
        <v>15268.99</v>
      </c>
      <c r="AR27" s="192">
        <f>G27+'10.31.19'!AR27</f>
        <v>0</v>
      </c>
      <c r="AS27" s="114">
        <f t="shared" si="25"/>
        <v>5917.41</v>
      </c>
      <c r="AT27" s="137">
        <f>K27+'10.31.19'!AT27</f>
        <v>0</v>
      </c>
      <c r="AU27" s="137">
        <f>L27+'10.31.19'!AU27</f>
        <v>107.85</v>
      </c>
      <c r="AV27" s="84">
        <f t="shared" si="26"/>
        <v>107.85</v>
      </c>
      <c r="AW27" s="84">
        <f>N27+'10.31.19'!AW27</f>
        <v>0</v>
      </c>
      <c r="AX27" s="84">
        <f>O27+'10.31.19'!AX27</f>
        <v>0</v>
      </c>
      <c r="AY27" s="84">
        <f>P27+'10.31.19'!AY27</f>
        <v>0</v>
      </c>
      <c r="AZ27" s="84">
        <f t="shared" si="27"/>
        <v>0</v>
      </c>
      <c r="BA27" s="224">
        <v>7139.55</v>
      </c>
      <c r="BB27" s="137">
        <f>Z27+'10.31.19'!BB27</f>
        <v>245.95</v>
      </c>
      <c r="BC27" s="137">
        <f>AA27+'10.31.19'!BC27</f>
        <v>39.340000000000003</v>
      </c>
      <c r="BD27" s="276">
        <f>AB27+'10.31.19'!BD27</f>
        <v>-3.25</v>
      </c>
      <c r="BE27" s="280">
        <f>AC27+'10.31.19'!BE27</f>
        <v>-8.2200000000000006</v>
      </c>
      <c r="BF27" s="276">
        <f>AD27+'10.31.19'!BF27</f>
        <v>-0.28000000000000003</v>
      </c>
      <c r="BG27" s="280">
        <f>AE27+'10.31.19'!BG27</f>
        <v>-0.85</v>
      </c>
      <c r="BH27" s="84">
        <f t="shared" si="28"/>
        <v>272.69</v>
      </c>
      <c r="BI27" s="84">
        <f>AG27+'10.31.19'!BI27</f>
        <v>-82.69</v>
      </c>
      <c r="BJ27" s="84">
        <f>AH27+'10.31.19'!BJ27</f>
        <v>0</v>
      </c>
      <c r="BK27" s="116">
        <f t="shared" si="29"/>
        <v>-82.69</v>
      </c>
      <c r="BL27" s="331">
        <f t="shared" si="22"/>
        <v>7329.55</v>
      </c>
      <c r="BM27" s="83">
        <f t="shared" si="23"/>
        <v>0</v>
      </c>
      <c r="BN27" s="333"/>
    </row>
    <row r="28" spans="1:66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30"/>
        <v>0</v>
      </c>
      <c r="Y28" s="268">
        <f t="shared" si="30"/>
        <v>0</v>
      </c>
      <c r="Z28" s="124">
        <f t="shared" si="9"/>
        <v>0</v>
      </c>
      <c r="AA28" s="268">
        <f t="shared" si="31"/>
        <v>0</v>
      </c>
      <c r="AB28" s="204">
        <f t="shared" si="31"/>
        <v>0</v>
      </c>
      <c r="AC28" s="268">
        <f t="shared" si="31"/>
        <v>0</v>
      </c>
      <c r="AD28" s="204">
        <f t="shared" si="31"/>
        <v>0</v>
      </c>
      <c r="AE28" s="268">
        <f t="shared" si="31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G28+'10.31.19'!AR28</f>
        <v>0</v>
      </c>
      <c r="AS28" s="114">
        <f t="shared" si="25"/>
        <v>0</v>
      </c>
      <c r="AT28" s="137">
        <f>K28+'10.31.19'!AT28</f>
        <v>0</v>
      </c>
      <c r="AU28" s="137">
        <f>L28+'10.31.19'!AU28</f>
        <v>0</v>
      </c>
      <c r="AV28" s="84">
        <f t="shared" si="26"/>
        <v>0</v>
      </c>
      <c r="AW28" s="84">
        <f>N28+'10.31.19'!AW28</f>
        <v>0</v>
      </c>
      <c r="AX28" s="84">
        <f>O28+'10.31.19'!AX28</f>
        <v>0</v>
      </c>
      <c r="AY28" s="84">
        <f>P28+'10.31.19'!AY28</f>
        <v>0</v>
      </c>
      <c r="AZ28" s="84">
        <f t="shared" si="27"/>
        <v>0</v>
      </c>
      <c r="BA28" s="224">
        <v>0</v>
      </c>
      <c r="BB28" s="137">
        <f>Z28+'10.31.19'!BB28</f>
        <v>0</v>
      </c>
      <c r="BC28" s="137">
        <f>AA28+'10.31.19'!BC28</f>
        <v>0</v>
      </c>
      <c r="BD28" s="276">
        <f>AB28+'10.31.19'!BD28</f>
        <v>0</v>
      </c>
      <c r="BE28" s="280">
        <f>AC28+'10.31.19'!BE28</f>
        <v>0</v>
      </c>
      <c r="BF28" s="276">
        <f>AD28+'10.31.19'!BF28</f>
        <v>0</v>
      </c>
      <c r="BG28" s="280">
        <f>AE28+'10.31.19'!BG28</f>
        <v>0</v>
      </c>
      <c r="BH28" s="84">
        <f t="shared" si="28"/>
        <v>0</v>
      </c>
      <c r="BI28" s="84">
        <f>AG28+'10.31.19'!BI28</f>
        <v>0</v>
      </c>
      <c r="BJ28" s="84">
        <f>AH28+'10.31.19'!BJ28</f>
        <v>0</v>
      </c>
      <c r="BK28" s="116">
        <f t="shared" si="29"/>
        <v>0</v>
      </c>
      <c r="BL28" s="331">
        <f t="shared" si="22"/>
        <v>0</v>
      </c>
      <c r="BM28" s="83">
        <f t="shared" si="23"/>
        <v>0</v>
      </c>
      <c r="BN28" s="333"/>
    </row>
    <row r="29" spans="1:66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  <c r="BL29" s="304"/>
      <c r="BM29" s="333"/>
      <c r="BN29" s="333"/>
    </row>
    <row r="30" spans="1:66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  <c r="BL30" s="135"/>
    </row>
    <row r="31" spans="1:66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3726352.98</v>
      </c>
      <c r="G31" s="48">
        <f>SUM(G12:G29)</f>
        <v>0</v>
      </c>
      <c r="H31" s="130">
        <f>SUM(H12:H29)</f>
        <v>3726352.98</v>
      </c>
      <c r="I31" s="78">
        <f>SUM(I12:I30)</f>
        <v>1</v>
      </c>
      <c r="J31" s="115"/>
      <c r="K31" s="115">
        <v>0</v>
      </c>
      <c r="L31" s="115">
        <v>7699.54</v>
      </c>
      <c r="M31" s="48">
        <f>SUM(M12:M29)</f>
        <v>7699.54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3734052.52</v>
      </c>
      <c r="S31" s="49">
        <f>R31+AO45</f>
        <v>4807090.66</v>
      </c>
      <c r="T31" s="50">
        <f>SUM(T12:T29)</f>
        <v>2486647.4700000002</v>
      </c>
      <c r="U31" s="51">
        <f>SUM(U12:U30)</f>
        <v>1</v>
      </c>
      <c r="V31" s="206">
        <v>0</v>
      </c>
      <c r="W31" s="306">
        <v>2486647.4700000002</v>
      </c>
      <c r="X31" s="206">
        <f>2131.53+3802.73</f>
        <v>5934.26</v>
      </c>
      <c r="Y31" s="266">
        <f>637.5+1691.63+891.64</f>
        <v>3220.77</v>
      </c>
      <c r="Z31" s="115">
        <f>SUM(Z12:Z29)</f>
        <v>9155.0300000000007</v>
      </c>
      <c r="AA31" s="272">
        <v>4277.53</v>
      </c>
      <c r="AB31" s="210">
        <v>-761.03</v>
      </c>
      <c r="AC31" s="272">
        <v>0</v>
      </c>
      <c r="AD31" s="210">
        <v>0</v>
      </c>
      <c r="AE31" s="272">
        <v>-16.8</v>
      </c>
      <c r="AF31" s="48">
        <f>SUM(AF12:AF29)</f>
        <v>12654.73</v>
      </c>
      <c r="AG31" s="80">
        <f>-4732.35</f>
        <v>-4732.3500000000004</v>
      </c>
      <c r="AH31" s="48">
        <f>SUM(AH12:AH30)</f>
        <v>-11883.72</v>
      </c>
      <c r="AI31" s="115">
        <f>SUM(AI12:AI30)</f>
        <v>-16616.07</v>
      </c>
      <c r="AJ31" s="52">
        <f>SUM(AJ12:AJ30)</f>
        <v>2482686.13</v>
      </c>
      <c r="AK31" s="210">
        <f>V31+X31+AB31+AD31-5033.09</f>
        <v>140.13999999999999</v>
      </c>
      <c r="AL31" s="305">
        <f>W31+Y31+AA31+AC31+AE31++AG31+AH31+5033.09</f>
        <v>2482545.9900000002</v>
      </c>
      <c r="AM31" s="35">
        <f>SUM(AM12:AM29)</f>
        <v>6216738.6500000004</v>
      </c>
      <c r="AN31" s="35">
        <f>3173418.81+4805655.8+1575</f>
        <v>7980649.6100000003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M31" si="32">SUM(AS12:AS29)</f>
        <v>1763910.96</v>
      </c>
      <c r="AT31" s="115">
        <v>0</v>
      </c>
      <c r="AU31" s="115">
        <f t="shared" si="32"/>
        <v>29844.27</v>
      </c>
      <c r="AV31" s="48">
        <f t="shared" si="32"/>
        <v>29844.27</v>
      </c>
      <c r="AW31" s="48">
        <f t="shared" si="32"/>
        <v>0</v>
      </c>
      <c r="AX31" s="48">
        <f t="shared" si="32"/>
        <v>0</v>
      </c>
      <c r="AY31" s="48">
        <f t="shared" si="32"/>
        <v>0</v>
      </c>
      <c r="AZ31" s="48">
        <f t="shared" si="32"/>
        <v>0</v>
      </c>
      <c r="BA31" s="200">
        <f t="shared" si="32"/>
        <v>2442372.21</v>
      </c>
      <c r="BB31" s="115">
        <f t="shared" si="32"/>
        <v>68056.14</v>
      </c>
      <c r="BC31" s="115">
        <f t="shared" si="32"/>
        <v>10887.61</v>
      </c>
      <c r="BD31" s="210">
        <f t="shared" si="32"/>
        <v>-899.19</v>
      </c>
      <c r="BE31" s="272">
        <f t="shared" si="32"/>
        <v>-2272.41</v>
      </c>
      <c r="BF31" s="210">
        <f t="shared" si="32"/>
        <v>-76.680000000000007</v>
      </c>
      <c r="BG31" s="272">
        <f t="shared" si="32"/>
        <v>-233.71</v>
      </c>
      <c r="BH31" s="48">
        <f t="shared" si="32"/>
        <v>75461.759999999995</v>
      </c>
      <c r="BI31" s="48">
        <f t="shared" si="32"/>
        <v>-22883.01</v>
      </c>
      <c r="BJ31" s="48">
        <f t="shared" si="32"/>
        <v>-12264.83</v>
      </c>
      <c r="BK31" s="73">
        <f t="shared" si="32"/>
        <v>-35147.839999999997</v>
      </c>
      <c r="BL31" s="332">
        <f t="shared" si="32"/>
        <v>2482686.13</v>
      </c>
      <c r="BM31" s="332">
        <f t="shared" si="32"/>
        <v>0</v>
      </c>
    </row>
    <row r="32" spans="1:66" ht="16.149999999999999" customHeight="1">
      <c r="L32" s="117" t="s">
        <v>127</v>
      </c>
      <c r="M32" s="81"/>
      <c r="AQ32" s="117"/>
    </row>
    <row r="33" spans="1:64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  <c r="BL33" s="239"/>
    </row>
    <row r="34" spans="1:64" s="258" customFormat="1" ht="24" customHeight="1">
      <c r="A34" s="257"/>
      <c r="C34" s="260" t="s">
        <v>117</v>
      </c>
      <c r="E34" s="250"/>
      <c r="F34" s="259">
        <f>F31+F33</f>
        <v>3724777.98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3732477.52</v>
      </c>
      <c r="S34" s="259">
        <f>S31+S33</f>
        <v>4805515.66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6215163.6500000004</v>
      </c>
      <c r="AN34" s="259">
        <f>AN31+AN33</f>
        <v>7979074.6100000003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  <c r="BL34" s="257"/>
    </row>
    <row r="35" spans="1:64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  <c r="BL35" s="239"/>
    </row>
    <row r="36" spans="1:64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4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4" s="119" customFormat="1" ht="12.75" hidden="1">
      <c r="C38" s="143"/>
      <c r="D38" s="143"/>
      <c r="E38" s="156" t="s">
        <v>5</v>
      </c>
      <c r="F38" s="121">
        <f>'10.31.19'!R31</f>
        <v>3726352.98</v>
      </c>
      <c r="G38" s="121">
        <f>SUM(G12:G29)</f>
        <v>0</v>
      </c>
      <c r="H38" s="121">
        <f>F31+G31+P31</f>
        <v>3726352.98</v>
      </c>
      <c r="I38" s="144">
        <v>1</v>
      </c>
      <c r="J38" s="121"/>
      <c r="K38" s="121">
        <f>SUM(K12:K29)</f>
        <v>0</v>
      </c>
      <c r="L38" s="121">
        <f>SUM(L12:L29)</f>
        <v>7699.54</v>
      </c>
      <c r="M38" s="121">
        <f>K31+L31</f>
        <v>7699.54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3734052.52</v>
      </c>
      <c r="S38" s="121">
        <f>SUM(S12:S29)</f>
        <v>4807090.66</v>
      </c>
      <c r="T38" s="121">
        <f>'10.31.19'!AJ31</f>
        <v>2486647.4700000002</v>
      </c>
      <c r="U38" s="144">
        <v>1</v>
      </c>
      <c r="V38" s="229"/>
      <c r="W38" s="198"/>
      <c r="X38" s="121">
        <f t="shared" ref="X38:AE38" si="33">SUM(X12:X29)</f>
        <v>5934.26</v>
      </c>
      <c r="Y38" s="121">
        <f t="shared" si="33"/>
        <v>3220.77</v>
      </c>
      <c r="Z38" s="121">
        <f t="shared" si="33"/>
        <v>9155.0300000000007</v>
      </c>
      <c r="AA38" s="121">
        <f t="shared" si="33"/>
        <v>4277.53</v>
      </c>
      <c r="AB38" s="121">
        <f t="shared" si="33"/>
        <v>-761.03</v>
      </c>
      <c r="AC38" s="121">
        <f t="shared" si="33"/>
        <v>0</v>
      </c>
      <c r="AD38" s="121">
        <f t="shared" si="33"/>
        <v>0</v>
      </c>
      <c r="AE38" s="121">
        <f t="shared" si="33"/>
        <v>-16.8</v>
      </c>
      <c r="AF38" s="121">
        <f>SUM(Z31:AE31)</f>
        <v>12654.73</v>
      </c>
      <c r="AG38" s="121">
        <f>SUM(AG12:AG29)</f>
        <v>-4732.3500000000004</v>
      </c>
      <c r="AH38" s="121">
        <f>SUM(AH12:AH29)</f>
        <v>-11883.72</v>
      </c>
      <c r="AI38" s="121">
        <f>AG38+AH38</f>
        <v>-16616.07</v>
      </c>
      <c r="AJ38" s="121">
        <f>T31+AF31+AI31</f>
        <v>2482686.13</v>
      </c>
      <c r="AK38" s="149"/>
      <c r="AL38" s="121"/>
      <c r="AM38" s="121">
        <f>R31+AJ31</f>
        <v>6216738.6500000004</v>
      </c>
      <c r="AN38" s="121">
        <f>SUM(AN12:AN29)</f>
        <v>7980649.6100000003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7699.54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12654.73</v>
      </c>
      <c r="BI38" s="146">
        <f>AG31</f>
        <v>-4732.3500000000004</v>
      </c>
      <c r="BJ38" s="146">
        <f>AH31</f>
        <v>-11883.72</v>
      </c>
      <c r="BK38" s="146">
        <f>AI31</f>
        <v>-16616.07</v>
      </c>
    </row>
    <row r="39" spans="1:64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4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4">AV31-AV38</f>
        <v>22144.73</v>
      </c>
      <c r="AW40" s="149">
        <f t="shared" si="34"/>
        <v>0</v>
      </c>
      <c r="AX40" s="149">
        <f t="shared" si="34"/>
        <v>0</v>
      </c>
      <c r="AY40" s="149">
        <f t="shared" si="34"/>
        <v>0</v>
      </c>
      <c r="AZ40" s="149">
        <f t="shared" si="34"/>
        <v>0</v>
      </c>
      <c r="BH40" s="149">
        <f t="shared" ref="BH40:BK40" si="35">BH31-BH38</f>
        <v>62807.03</v>
      </c>
      <c r="BI40" s="149">
        <f t="shared" si="35"/>
        <v>-18150.66</v>
      </c>
      <c r="BJ40" s="149">
        <f t="shared" si="35"/>
        <v>-381.11</v>
      </c>
      <c r="BK40" s="149">
        <f t="shared" si="35"/>
        <v>-18531.77</v>
      </c>
    </row>
    <row r="41" spans="1:64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'10.31.19'!AR31</f>
        <v>0</v>
      </c>
      <c r="AS41" s="141"/>
      <c r="AT41" s="141"/>
      <c r="AU41" s="141"/>
      <c r="AV41" s="141">
        <f>'10.31.19'!AV31</f>
        <v>22144.73</v>
      </c>
      <c r="AW41" s="141">
        <f>'10.31.19'!AW31</f>
        <v>0</v>
      </c>
      <c r="AX41" s="141">
        <f>'10.31.19'!AX31</f>
        <v>0</v>
      </c>
      <c r="AY41" s="141">
        <f>'10.31.19'!AY31</f>
        <v>0</v>
      </c>
      <c r="AZ41" s="141">
        <f>'10.31.19'!AZ31</f>
        <v>0</v>
      </c>
      <c r="BA41" s="181"/>
      <c r="BB41" s="181"/>
      <c r="BC41" s="181"/>
      <c r="BD41" s="181"/>
      <c r="BE41" s="181"/>
      <c r="BF41" s="181"/>
      <c r="BG41" s="181"/>
      <c r="BH41" s="141">
        <f>'10.31.19'!BH31</f>
        <v>62807.03</v>
      </c>
      <c r="BI41" s="141">
        <f>'10.31.19'!BI31</f>
        <v>-18150.66</v>
      </c>
      <c r="BJ41" s="141">
        <f>'10.31.19'!BJ31</f>
        <v>-381.11</v>
      </c>
      <c r="BK41" s="141">
        <f>'10.31.19'!BK31</f>
        <v>-18531.77</v>
      </c>
    </row>
    <row r="42" spans="1:64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6">K31-K38</f>
        <v>0</v>
      </c>
      <c r="L42" s="298">
        <f t="shared" si="36"/>
        <v>0</v>
      </c>
      <c r="M42" s="298">
        <f t="shared" si="36"/>
        <v>0</v>
      </c>
      <c r="N42" s="298">
        <f t="shared" si="36"/>
        <v>0</v>
      </c>
      <c r="O42" s="298">
        <f t="shared" si="36"/>
        <v>0</v>
      </c>
      <c r="P42" s="298">
        <f t="shared" si="36"/>
        <v>0</v>
      </c>
      <c r="Q42" s="298">
        <f t="shared" si="36"/>
        <v>0</v>
      </c>
      <c r="R42" s="298">
        <f t="shared" si="36"/>
        <v>0</v>
      </c>
      <c r="S42" s="298">
        <f t="shared" si="36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7">X31-X38</f>
        <v>0</v>
      </c>
      <c r="Y42" s="298">
        <f t="shared" si="37"/>
        <v>0</v>
      </c>
      <c r="Z42" s="298">
        <f t="shared" si="37"/>
        <v>0</v>
      </c>
      <c r="AA42" s="298">
        <f t="shared" si="37"/>
        <v>0</v>
      </c>
      <c r="AB42" s="298">
        <f t="shared" si="37"/>
        <v>0</v>
      </c>
      <c r="AC42" s="298">
        <f t="shared" si="37"/>
        <v>0</v>
      </c>
      <c r="AD42" s="298">
        <f t="shared" si="37"/>
        <v>0</v>
      </c>
      <c r="AE42" s="298">
        <f t="shared" si="37"/>
        <v>0</v>
      </c>
      <c r="AF42" s="298">
        <f t="shared" si="37"/>
        <v>0</v>
      </c>
      <c r="AG42" s="298">
        <f t="shared" si="37"/>
        <v>0</v>
      </c>
      <c r="AH42" s="298">
        <f t="shared" si="37"/>
        <v>0</v>
      </c>
      <c r="AI42" s="298">
        <f t="shared" si="37"/>
        <v>0</v>
      </c>
      <c r="AJ42" s="298">
        <f t="shared" si="37"/>
        <v>0</v>
      </c>
      <c r="AK42" s="303"/>
      <c r="AL42" s="302"/>
      <c r="AM42" s="298">
        <f t="shared" si="37"/>
        <v>0</v>
      </c>
      <c r="AN42" s="298">
        <f t="shared" si="37"/>
        <v>0</v>
      </c>
      <c r="AO42" s="300" t="s">
        <v>6</v>
      </c>
      <c r="AR42" s="298">
        <f>AR40-AR41</f>
        <v>0</v>
      </c>
      <c r="AV42" s="298">
        <f t="shared" ref="AV42:AZ42" si="38">AV40-AV41</f>
        <v>0</v>
      </c>
      <c r="AW42" s="298">
        <f t="shared" si="38"/>
        <v>0</v>
      </c>
      <c r="AX42" s="298">
        <f t="shared" si="38"/>
        <v>0</v>
      </c>
      <c r="AY42" s="298">
        <f t="shared" si="38"/>
        <v>0</v>
      </c>
      <c r="AZ42" s="298">
        <f t="shared" si="38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9">BH40-BH41</f>
        <v>0</v>
      </c>
      <c r="BI42" s="298">
        <f t="shared" si="39"/>
        <v>0</v>
      </c>
      <c r="BJ42" s="298">
        <f t="shared" si="39"/>
        <v>0</v>
      </c>
      <c r="BK42" s="298">
        <f t="shared" si="39"/>
        <v>0</v>
      </c>
    </row>
    <row r="43" spans="1:64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4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4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3732477.52</v>
      </c>
      <c r="AM45" s="289"/>
      <c r="AN45" s="289">
        <v>4805515.66</v>
      </c>
      <c r="AO45" s="307">
        <f>AN45-AL45</f>
        <v>1073038.1399999999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4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140.13999999999999</v>
      </c>
      <c r="AM46" s="289">
        <f>AL45+AL46</f>
        <v>3732617.66</v>
      </c>
      <c r="AN46" s="289">
        <v>140.13999999999999</v>
      </c>
      <c r="AO46" s="307">
        <f>AN46-AL46</f>
        <v>0</v>
      </c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4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4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2348222.25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134323.74</v>
      </c>
      <c r="AM49" s="290">
        <f>AL48+AL49</f>
        <v>2482545.9900000002</v>
      </c>
      <c r="AN49" s="290">
        <v>3173418.81</v>
      </c>
      <c r="AO49" s="307">
        <f>AN49-AM49</f>
        <v>690872.82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6215163.6500000004</v>
      </c>
      <c r="AN51" s="296">
        <f>AN45+AN46+AN49</f>
        <v>7979074.6100000003</v>
      </c>
      <c r="AO51" s="308">
        <f>AO45+AO46+AO49</f>
        <v>1763910.96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168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65662.259999999995</v>
      </c>
      <c r="G12" s="9">
        <v>0</v>
      </c>
      <c r="H12" s="129">
        <f t="shared" ref="H12:H28" si="0">F12+G12+P12</f>
        <v>65662.259999999995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1212.8499999999999</v>
      </c>
      <c r="M12" s="9">
        <f t="shared" ref="M12:M28" si="3">K12+L12</f>
        <v>1212.8499999999999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66875.11</v>
      </c>
      <c r="S12" s="14">
        <f t="shared" ref="S12:S23" si="7">(R12/(R$31-1575)*(S$31-1575))</f>
        <v>86362.07</v>
      </c>
      <c r="T12" s="86">
        <v>21759.49</v>
      </c>
      <c r="U12" s="79">
        <f t="shared" ref="U12:U28" si="8">I12</f>
        <v>1.7592139999999999E-2</v>
      </c>
      <c r="V12" s="203"/>
      <c r="W12" s="264"/>
      <c r="X12" s="204">
        <f>$U12*X$31</f>
        <v>294.26</v>
      </c>
      <c r="Y12" s="268">
        <f>$U12*Y$31</f>
        <v>227.52</v>
      </c>
      <c r="Z12" s="124">
        <f t="shared" ref="Z12:Z28" si="9">X12+Y12</f>
        <v>521.78</v>
      </c>
      <c r="AA12" s="268">
        <f t="shared" ref="AA12:AE23" si="10">$U12*AA$31</f>
        <v>1197.4000000000001</v>
      </c>
      <c r="AB12" s="204">
        <f t="shared" si="10"/>
        <v>0</v>
      </c>
      <c r="AC12" s="268">
        <f t="shared" si="10"/>
        <v>-4.1900000000000004</v>
      </c>
      <c r="AD12" s="204">
        <f t="shared" si="10"/>
        <v>-1.33</v>
      </c>
      <c r="AE12" s="268">
        <f t="shared" si="10"/>
        <v>-0.73</v>
      </c>
      <c r="AF12" s="7">
        <f t="shared" ref="AF12:AF28" si="11">SUM(Z12:AE12)</f>
        <v>1712.93</v>
      </c>
      <c r="AG12" s="7">
        <f t="shared" ref="AG12:AG23" si="12">U12*AG$31</f>
        <v>-82.49</v>
      </c>
      <c r="AH12" s="7">
        <v>0</v>
      </c>
      <c r="AI12" s="124">
        <f t="shared" ref="AI12:AI28" si="13">AG12+AH12</f>
        <v>-82.49</v>
      </c>
      <c r="AJ12" s="14">
        <f t="shared" ref="AJ12:AJ28" si="14">T12+AF12+AI12</f>
        <v>23389.93</v>
      </c>
      <c r="AK12" s="233"/>
      <c r="AL12" s="236"/>
      <c r="AM12" s="33">
        <f t="shared" ref="AM12:AM28" si="15">R12+AJ12</f>
        <v>90265.04</v>
      </c>
      <c r="AN12" s="33">
        <f t="shared" ref="AN12:AN23" si="16">(S12+AJ12)+((AJ12/AJ$31)*AO$49)</f>
        <v>115960.44</v>
      </c>
      <c r="AO12" s="83"/>
      <c r="AP12" s="114">
        <v>62445.99</v>
      </c>
      <c r="AQ12" s="186">
        <v>74329.64</v>
      </c>
      <c r="AR12" s="192">
        <f>G12+'11.30.19'!AR12</f>
        <v>0</v>
      </c>
      <c r="AS12" s="114">
        <f t="shared" ref="AS12:AS17" si="17">AN12-AM12</f>
        <v>25695.4</v>
      </c>
      <c r="AT12" s="137">
        <f>K12+'11.30.19'!AT12</f>
        <v>0</v>
      </c>
      <c r="AU12" s="137">
        <f>L12+'11.30.19'!AU12</f>
        <v>1737.88</v>
      </c>
      <c r="AV12" s="84">
        <f t="shared" ref="AV12:AV17" si="18">AT12+AU12</f>
        <v>1737.88</v>
      </c>
      <c r="AW12" s="84">
        <f>N12+'11.30.19'!AW12</f>
        <v>0</v>
      </c>
      <c r="AX12" s="84">
        <f>O12+'11.30.19'!AX12</f>
        <v>0</v>
      </c>
      <c r="AY12" s="84">
        <f>P12+'11.30.19'!AY12</f>
        <v>0</v>
      </c>
      <c r="AZ12" s="84">
        <f t="shared" ref="AZ12:AZ17" si="19">AX12+AY12</f>
        <v>0</v>
      </c>
      <c r="BA12" s="224">
        <v>27434.37</v>
      </c>
      <c r="BB12" s="137">
        <f>Z12+'11.30.19'!BB12</f>
        <v>1719.03</v>
      </c>
      <c r="BC12" s="137">
        <f>AA12+'11.30.19'!BC12</f>
        <v>1388.94</v>
      </c>
      <c r="BD12" s="276">
        <f>AB12+'11.30.19'!BD12</f>
        <v>-15.82</v>
      </c>
      <c r="BE12" s="280">
        <f>AC12+'11.30.19'!BE12</f>
        <v>-44.17</v>
      </c>
      <c r="BF12" s="276">
        <f>AD12+'11.30.19'!BF12</f>
        <v>-2.68</v>
      </c>
      <c r="BG12" s="280">
        <f>AE12+'11.30.19'!BG12</f>
        <v>-4.8499999999999996</v>
      </c>
      <c r="BH12" s="84">
        <f t="shared" ref="BH12:BH17" si="20">SUM(BB12:BG12)</f>
        <v>3040.45</v>
      </c>
      <c r="BI12" s="84">
        <f>AG12+'11.30.19'!BI12</f>
        <v>-485.05</v>
      </c>
      <c r="BJ12" s="84">
        <f>AH12+'11.30.19'!BJ12</f>
        <v>-6599.84</v>
      </c>
      <c r="BK12" s="116">
        <f t="shared" ref="BK12:BK17" si="21">BI12+BJ12</f>
        <v>-7084.89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5188.75</v>
      </c>
      <c r="G13" s="9">
        <v>0</v>
      </c>
      <c r="H13" s="129">
        <f t="shared" si="0"/>
        <v>5188.75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95.84</v>
      </c>
      <c r="M13" s="9">
        <f t="shared" si="3"/>
        <v>95.84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5284.59</v>
      </c>
      <c r="S13" s="14">
        <f t="shared" si="7"/>
        <v>6824.48</v>
      </c>
      <c r="T13" s="86">
        <v>3799.76</v>
      </c>
      <c r="U13" s="79">
        <f t="shared" si="8"/>
        <v>1.3901600000000001E-3</v>
      </c>
      <c r="V13" s="203"/>
      <c r="W13" s="264"/>
      <c r="X13" s="204">
        <f>$U13*X$31</f>
        <v>23.25</v>
      </c>
      <c r="Y13" s="268">
        <f>$U13*Y$31</f>
        <v>17.98</v>
      </c>
      <c r="Z13" s="124">
        <f t="shared" si="9"/>
        <v>41.23</v>
      </c>
      <c r="AA13" s="268">
        <f t="shared" si="10"/>
        <v>94.62</v>
      </c>
      <c r="AB13" s="204">
        <f t="shared" si="10"/>
        <v>0</v>
      </c>
      <c r="AC13" s="268">
        <f t="shared" si="10"/>
        <v>-0.33</v>
      </c>
      <c r="AD13" s="204">
        <f t="shared" si="10"/>
        <v>-0.1</v>
      </c>
      <c r="AE13" s="268">
        <f t="shared" si="10"/>
        <v>-0.06</v>
      </c>
      <c r="AF13" s="7">
        <f t="shared" si="11"/>
        <v>135.36000000000001</v>
      </c>
      <c r="AG13" s="7">
        <f t="shared" si="12"/>
        <v>-6.52</v>
      </c>
      <c r="AH13" s="7">
        <v>0</v>
      </c>
      <c r="AI13" s="124">
        <f t="shared" si="13"/>
        <v>-6.52</v>
      </c>
      <c r="AJ13" s="14">
        <f t="shared" si="14"/>
        <v>3928.6</v>
      </c>
      <c r="AK13" s="233"/>
      <c r="AL13" s="236"/>
      <c r="AM13" s="33">
        <f t="shared" si="15"/>
        <v>9213.19</v>
      </c>
      <c r="AN13" s="33">
        <f t="shared" si="16"/>
        <v>11795.86</v>
      </c>
      <c r="AO13" s="83"/>
      <c r="AP13" s="114">
        <v>4934.59</v>
      </c>
      <c r="AQ13" s="186">
        <v>5873.66</v>
      </c>
      <c r="AR13" s="192">
        <f>G13+'11.30.19'!AR13</f>
        <v>0</v>
      </c>
      <c r="AS13" s="114">
        <f t="shared" si="17"/>
        <v>2582.67</v>
      </c>
      <c r="AT13" s="137">
        <f>K13+'11.30.19'!AT13</f>
        <v>0</v>
      </c>
      <c r="AU13" s="137">
        <f>L13+'11.30.19'!AU13</f>
        <v>137.33000000000001</v>
      </c>
      <c r="AV13" s="84">
        <f t="shared" si="18"/>
        <v>137.33000000000001</v>
      </c>
      <c r="AW13" s="84">
        <f>N13+'11.30.19'!AW13</f>
        <v>0</v>
      </c>
      <c r="AX13" s="84">
        <f>O13+'11.30.19'!AX13</f>
        <v>0</v>
      </c>
      <c r="AY13" s="84">
        <f>P13+'11.30.19'!AY13</f>
        <v>0</v>
      </c>
      <c r="AZ13" s="84">
        <f t="shared" si="19"/>
        <v>0</v>
      </c>
      <c r="BA13" s="224">
        <v>3726.67</v>
      </c>
      <c r="BB13" s="137">
        <f>Z13+'11.30.19'!BB13</f>
        <v>135.83000000000001</v>
      </c>
      <c r="BC13" s="137">
        <f>AA13+'11.30.19'!BC13</f>
        <v>109.76</v>
      </c>
      <c r="BD13" s="276">
        <f>AB13+'11.30.19'!BD13</f>
        <v>-1.25</v>
      </c>
      <c r="BE13" s="280">
        <f>AC13+'11.30.19'!BE13</f>
        <v>-3.49</v>
      </c>
      <c r="BF13" s="276">
        <f>AD13+'11.30.19'!BF13</f>
        <v>-0.21</v>
      </c>
      <c r="BG13" s="280">
        <f>AE13+'11.30.19'!BG13</f>
        <v>-0.38</v>
      </c>
      <c r="BH13" s="84">
        <f t="shared" si="20"/>
        <v>240.26</v>
      </c>
      <c r="BI13" s="84">
        <f>AG13+'11.30.19'!BI13</f>
        <v>-38.33</v>
      </c>
      <c r="BJ13" s="84">
        <f>AH13+'11.30.19'!BJ13</f>
        <v>0</v>
      </c>
      <c r="BK13" s="116">
        <f t="shared" si="21"/>
        <v>-38.33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381837.72</v>
      </c>
      <c r="G14" s="9">
        <v>0</v>
      </c>
      <c r="H14" s="129">
        <f t="shared" si="0"/>
        <v>381837.72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7052.95</v>
      </c>
      <c r="M14" s="9">
        <f t="shared" si="3"/>
        <v>7052.95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388890.67</v>
      </c>
      <c r="S14" s="14">
        <f t="shared" si="7"/>
        <v>502210.79</v>
      </c>
      <c r="T14" s="86">
        <v>327018.71999999997</v>
      </c>
      <c r="U14" s="79">
        <f t="shared" si="8"/>
        <v>0.10230141</v>
      </c>
      <c r="V14" s="304"/>
      <c r="W14" s="304"/>
      <c r="X14" s="204">
        <f>($U14*X$31)</f>
        <v>1711.18</v>
      </c>
      <c r="Y14" s="268">
        <f>($U14*Y$31)</f>
        <v>1323.06</v>
      </c>
      <c r="Z14" s="124">
        <f t="shared" si="9"/>
        <v>3034.24</v>
      </c>
      <c r="AA14" s="268">
        <f t="shared" si="10"/>
        <v>6963.11</v>
      </c>
      <c r="AB14" s="204">
        <f t="shared" si="10"/>
        <v>0</v>
      </c>
      <c r="AC14" s="268">
        <f t="shared" si="10"/>
        <v>-24.36</v>
      </c>
      <c r="AD14" s="204">
        <f t="shared" si="10"/>
        <v>-7.73</v>
      </c>
      <c r="AE14" s="268">
        <f t="shared" si="10"/>
        <v>-4.2300000000000004</v>
      </c>
      <c r="AF14" s="7">
        <f t="shared" si="11"/>
        <v>9961.0300000000007</v>
      </c>
      <c r="AG14" s="7">
        <f t="shared" si="12"/>
        <v>-479.7</v>
      </c>
      <c r="AH14" s="7">
        <v>0</v>
      </c>
      <c r="AI14" s="124">
        <f t="shared" si="13"/>
        <v>-479.7</v>
      </c>
      <c r="AJ14" s="14">
        <f t="shared" si="14"/>
        <v>336500.05</v>
      </c>
      <c r="AK14" s="233"/>
      <c r="AL14" s="236"/>
      <c r="AM14" s="33">
        <f t="shared" si="15"/>
        <v>725390.72</v>
      </c>
      <c r="AN14" s="33">
        <f t="shared" si="16"/>
        <v>928028.77</v>
      </c>
      <c r="AO14" s="83"/>
      <c r="AP14" s="114">
        <v>363134.62</v>
      </c>
      <c r="AQ14" s="186">
        <v>432240.15</v>
      </c>
      <c r="AR14" s="192">
        <f>G14+'11.30.19'!AR14</f>
        <v>0</v>
      </c>
      <c r="AS14" s="114">
        <f t="shared" si="17"/>
        <v>202638.05</v>
      </c>
      <c r="AT14" s="137">
        <f>K14+'11.30.19'!AT14</f>
        <v>0</v>
      </c>
      <c r="AU14" s="137">
        <f>L14+'11.30.19'!AU14</f>
        <v>10106.049999999999</v>
      </c>
      <c r="AV14" s="84">
        <f t="shared" si="18"/>
        <v>10106.049999999999</v>
      </c>
      <c r="AW14" s="84">
        <f>N14+'11.30.19'!AW14</f>
        <v>0</v>
      </c>
      <c r="AX14" s="84">
        <f>O14+'11.30.19'!AX14</f>
        <v>0</v>
      </c>
      <c r="AY14" s="84">
        <f>P14+'11.30.19'!AY14</f>
        <v>0</v>
      </c>
      <c r="AZ14" s="84">
        <f t="shared" si="19"/>
        <v>0</v>
      </c>
      <c r="BA14" s="224">
        <v>321639.82</v>
      </c>
      <c r="BB14" s="137">
        <f>Z14+'11.30.19'!BB14</f>
        <v>9996.49</v>
      </c>
      <c r="BC14" s="137">
        <f>AA14+'11.30.19'!BC14</f>
        <v>8076.93</v>
      </c>
      <c r="BD14" s="276">
        <f>AB14+'11.30.19'!BD14</f>
        <v>-91.98</v>
      </c>
      <c r="BE14" s="280">
        <f>AC14+'11.30.19'!BE14</f>
        <v>-256.83</v>
      </c>
      <c r="BF14" s="276">
        <f>AD14+'11.30.19'!BF14</f>
        <v>-15.57</v>
      </c>
      <c r="BG14" s="280">
        <f>AE14+'11.30.19'!BG14</f>
        <v>-28.14</v>
      </c>
      <c r="BH14" s="84">
        <f t="shared" si="20"/>
        <v>17680.900000000001</v>
      </c>
      <c r="BI14" s="84">
        <f>AG14+'11.30.19'!BI14</f>
        <v>-2820.67</v>
      </c>
      <c r="BJ14" s="84">
        <f>AH14+'11.30.19'!BJ14</f>
        <v>0</v>
      </c>
      <c r="BK14" s="116">
        <f t="shared" si="21"/>
        <v>-2820.67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165371.75</v>
      </c>
      <c r="G15" s="9">
        <v>0</v>
      </c>
      <c r="H15" s="129">
        <f t="shared" si="0"/>
        <v>165371.75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3054.59</v>
      </c>
      <c r="M15" s="9">
        <f t="shared" si="3"/>
        <v>3054.59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168426.34</v>
      </c>
      <c r="S15" s="14">
        <f t="shared" si="7"/>
        <v>217504.64000000001</v>
      </c>
      <c r="T15" s="86">
        <v>175053.2</v>
      </c>
      <c r="U15" s="79">
        <f t="shared" si="8"/>
        <v>4.4306159999999997E-2</v>
      </c>
      <c r="V15" s="203"/>
      <c r="W15" s="264"/>
      <c r="X15" s="204">
        <f t="shared" ref="X15:Y23" si="22">$U15*X$31</f>
        <v>741.1</v>
      </c>
      <c r="Y15" s="268">
        <f t="shared" si="22"/>
        <v>573.01</v>
      </c>
      <c r="Z15" s="124">
        <f t="shared" si="9"/>
        <v>1314.11</v>
      </c>
      <c r="AA15" s="268">
        <f t="shared" si="10"/>
        <v>3015.68</v>
      </c>
      <c r="AB15" s="204">
        <f t="shared" si="10"/>
        <v>0</v>
      </c>
      <c r="AC15" s="268">
        <f t="shared" si="10"/>
        <v>-10.55</v>
      </c>
      <c r="AD15" s="204">
        <f t="shared" si="10"/>
        <v>-3.35</v>
      </c>
      <c r="AE15" s="268">
        <f t="shared" si="10"/>
        <v>-1.83</v>
      </c>
      <c r="AF15" s="7">
        <f t="shared" si="11"/>
        <v>4314.0600000000004</v>
      </c>
      <c r="AG15" s="7">
        <f t="shared" si="12"/>
        <v>-207.75</v>
      </c>
      <c r="AH15" s="7">
        <v>0</v>
      </c>
      <c r="AI15" s="124">
        <f t="shared" si="13"/>
        <v>-207.75</v>
      </c>
      <c r="AJ15" s="14">
        <f t="shared" si="14"/>
        <v>179159.51</v>
      </c>
      <c r="AK15" s="233"/>
      <c r="AL15" s="236"/>
      <c r="AM15" s="33">
        <f t="shared" si="15"/>
        <v>347585.85</v>
      </c>
      <c r="AN15" s="33">
        <f t="shared" si="16"/>
        <v>444218.84</v>
      </c>
      <c r="AO15" s="83"/>
      <c r="AP15" s="114">
        <v>157271.56</v>
      </c>
      <c r="AQ15" s="186">
        <v>187200.78</v>
      </c>
      <c r="AR15" s="192">
        <f>G15+'11.30.19'!AR15</f>
        <v>0</v>
      </c>
      <c r="AS15" s="114">
        <f t="shared" si="17"/>
        <v>96632.99</v>
      </c>
      <c r="AT15" s="137">
        <f>K15+'11.30.19'!AT15</f>
        <v>0</v>
      </c>
      <c r="AU15" s="137">
        <f>L15+'11.30.19'!AU15</f>
        <v>4376.87</v>
      </c>
      <c r="AV15" s="84">
        <f t="shared" si="18"/>
        <v>4376.87</v>
      </c>
      <c r="AW15" s="84">
        <f>N15+'11.30.19'!AW15</f>
        <v>0</v>
      </c>
      <c r="AX15" s="84">
        <f>O15+'11.30.19'!AX15</f>
        <v>0</v>
      </c>
      <c r="AY15" s="84">
        <f>P15+'11.30.19'!AY15</f>
        <v>0</v>
      </c>
      <c r="AZ15" s="84">
        <f t="shared" si="19"/>
        <v>0</v>
      </c>
      <c r="BA15" s="224">
        <v>172723.67</v>
      </c>
      <c r="BB15" s="137">
        <f>Z15+'11.30.19'!BB15</f>
        <v>4329.3999999999996</v>
      </c>
      <c r="BC15" s="137">
        <f>AA15+'11.30.19'!BC15</f>
        <v>3498.07</v>
      </c>
      <c r="BD15" s="276">
        <f>AB15+'11.30.19'!BD15</f>
        <v>-39.840000000000003</v>
      </c>
      <c r="BE15" s="280">
        <f>AC15+'11.30.19'!BE15</f>
        <v>-111.24</v>
      </c>
      <c r="BF15" s="276">
        <f>AD15+'11.30.19'!BF15</f>
        <v>-6.75</v>
      </c>
      <c r="BG15" s="280">
        <f>AE15+'11.30.19'!BG15</f>
        <v>-12.19</v>
      </c>
      <c r="BH15" s="84">
        <f t="shared" si="20"/>
        <v>7657.45</v>
      </c>
      <c r="BI15" s="84">
        <f>AG15+'11.30.19'!BI15</f>
        <v>-1221.6099999999999</v>
      </c>
      <c r="BJ15" s="84">
        <f>AH15+'11.30.19'!BJ15</f>
        <v>0</v>
      </c>
      <c r="BK15" s="116">
        <f t="shared" si="21"/>
        <v>-1221.6099999999999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10186.33</v>
      </c>
      <c r="G16" s="9">
        <v>0</v>
      </c>
      <c r="H16" s="129">
        <f t="shared" si="0"/>
        <v>10186.33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188.15</v>
      </c>
      <c r="M16" s="9">
        <f t="shared" si="3"/>
        <v>188.15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10374.48</v>
      </c>
      <c r="S16" s="14">
        <f t="shared" si="7"/>
        <v>13397.53</v>
      </c>
      <c r="T16" s="86">
        <v>7475.02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45.65</v>
      </c>
      <c r="Y16" s="268">
        <f t="shared" si="22"/>
        <v>35.299999999999997</v>
      </c>
      <c r="Z16" s="124">
        <f t="shared" si="9"/>
        <v>80.95</v>
      </c>
      <c r="AA16" s="268">
        <f t="shared" si="10"/>
        <v>185.76</v>
      </c>
      <c r="AB16" s="204">
        <f t="shared" si="10"/>
        <v>0</v>
      </c>
      <c r="AC16" s="268">
        <f t="shared" si="10"/>
        <v>-0.65</v>
      </c>
      <c r="AD16" s="204">
        <f t="shared" si="10"/>
        <v>-0.21</v>
      </c>
      <c r="AE16" s="268">
        <f t="shared" si="10"/>
        <v>-0.11</v>
      </c>
      <c r="AF16" s="7">
        <f t="shared" si="11"/>
        <v>265.74</v>
      </c>
      <c r="AG16" s="7">
        <f t="shared" si="12"/>
        <v>-12.8</v>
      </c>
      <c r="AH16" s="7">
        <v>0</v>
      </c>
      <c r="AI16" s="124">
        <f t="shared" si="13"/>
        <v>-12.8</v>
      </c>
      <c r="AJ16" s="14">
        <f t="shared" si="14"/>
        <v>7727.96</v>
      </c>
      <c r="AK16" s="233" t="s">
        <v>118</v>
      </c>
      <c r="AL16" s="236" t="s">
        <v>114</v>
      </c>
      <c r="AM16" s="33">
        <f t="shared" si="15"/>
        <v>18102.439999999999</v>
      </c>
      <c r="AN16" s="33">
        <f t="shared" si="16"/>
        <v>23176.74</v>
      </c>
      <c r="AO16" s="83"/>
      <c r="AP16" s="114">
        <v>9687.4</v>
      </c>
      <c r="AQ16" s="186">
        <v>11530.94</v>
      </c>
      <c r="AR16" s="192">
        <f>G16+'11.30.19'!AR16</f>
        <v>0</v>
      </c>
      <c r="AS16" s="114">
        <f t="shared" si="17"/>
        <v>5074.3</v>
      </c>
      <c r="AT16" s="137">
        <f>K16+'11.30.19'!AT16</f>
        <v>0</v>
      </c>
      <c r="AU16" s="137">
        <f>L16+'11.30.19'!AU16</f>
        <v>269.58999999999997</v>
      </c>
      <c r="AV16" s="84">
        <f t="shared" si="18"/>
        <v>269.58999999999997</v>
      </c>
      <c r="AW16" s="84">
        <f>N16+'11.30.19'!AW16</f>
        <v>0</v>
      </c>
      <c r="AX16" s="84">
        <f>O16+'11.30.19'!AX16</f>
        <v>0</v>
      </c>
      <c r="AY16" s="84">
        <f>P16+'11.30.19'!AY16</f>
        <v>0</v>
      </c>
      <c r="AZ16" s="84">
        <f t="shared" si="19"/>
        <v>0</v>
      </c>
      <c r="BA16" s="224">
        <v>7331.55</v>
      </c>
      <c r="BB16" s="137">
        <f>Z16+'11.30.19'!BB16</f>
        <v>266.68</v>
      </c>
      <c r="BC16" s="137">
        <f>AA16+'11.30.19'!BC16</f>
        <v>215.47</v>
      </c>
      <c r="BD16" s="276">
        <f>AB16+'11.30.19'!BD16</f>
        <v>-2.46</v>
      </c>
      <c r="BE16" s="280">
        <f>AC16+'11.30.19'!BE16</f>
        <v>-6.85</v>
      </c>
      <c r="BF16" s="276">
        <f>AD16+'11.30.19'!BF16</f>
        <v>-0.42</v>
      </c>
      <c r="BG16" s="280">
        <f>AE16+'11.30.19'!BG16</f>
        <v>-0.75</v>
      </c>
      <c r="BH16" s="84">
        <f t="shared" si="20"/>
        <v>471.67</v>
      </c>
      <c r="BI16" s="84">
        <f>AG16+'11.30.19'!BI16</f>
        <v>-75.260000000000005</v>
      </c>
      <c r="BJ16" s="84">
        <f>AH16+'11.30.19'!BJ16</f>
        <v>0</v>
      </c>
      <c r="BK16" s="116">
        <f t="shared" si="21"/>
        <v>-75.260000000000005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887.69</v>
      </c>
      <c r="G17" s="9">
        <v>0</v>
      </c>
      <c r="H17" s="129">
        <f t="shared" si="0"/>
        <v>887.69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16.399999999999999</v>
      </c>
      <c r="M17" s="9">
        <f t="shared" si="3"/>
        <v>16.399999999999999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904.09</v>
      </c>
      <c r="S17" s="14">
        <f t="shared" si="7"/>
        <v>1167.54</v>
      </c>
      <c r="T17" s="86">
        <v>662.75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3.98</v>
      </c>
      <c r="Y17" s="268">
        <f t="shared" si="22"/>
        <v>3.08</v>
      </c>
      <c r="Z17" s="124">
        <f t="shared" si="9"/>
        <v>7.06</v>
      </c>
      <c r="AA17" s="268">
        <f t="shared" si="10"/>
        <v>16.190000000000001</v>
      </c>
      <c r="AB17" s="204">
        <f t="shared" si="10"/>
        <v>0</v>
      </c>
      <c r="AC17" s="268">
        <f t="shared" si="10"/>
        <v>-0.06</v>
      </c>
      <c r="AD17" s="204">
        <f t="shared" si="10"/>
        <v>-0.02</v>
      </c>
      <c r="AE17" s="268">
        <f t="shared" si="10"/>
        <v>-0.01</v>
      </c>
      <c r="AF17" s="7">
        <f t="shared" si="11"/>
        <v>23.16</v>
      </c>
      <c r="AG17" s="7">
        <f t="shared" si="12"/>
        <v>-1.1200000000000001</v>
      </c>
      <c r="AH17" s="7">
        <v>0</v>
      </c>
      <c r="AI17" s="124">
        <f t="shared" si="13"/>
        <v>-1.1200000000000001</v>
      </c>
      <c r="AJ17" s="14">
        <f t="shared" si="14"/>
        <v>684.79</v>
      </c>
      <c r="AK17" s="233" t="s">
        <v>129</v>
      </c>
      <c r="AL17" s="282" t="s">
        <v>128</v>
      </c>
      <c r="AM17" s="33">
        <f t="shared" si="15"/>
        <v>1588.88</v>
      </c>
      <c r="AN17" s="33">
        <f t="shared" si="16"/>
        <v>2034.1</v>
      </c>
      <c r="AO17" s="83"/>
      <c r="AP17" s="114">
        <v>844.21</v>
      </c>
      <c r="AQ17" s="186">
        <v>1004.87</v>
      </c>
      <c r="AR17" s="192">
        <f>G17+'11.30.19'!AR17</f>
        <v>0</v>
      </c>
      <c r="AS17" s="114">
        <f t="shared" si="17"/>
        <v>445.22</v>
      </c>
      <c r="AT17" s="137">
        <f>K17+'11.30.19'!AT17</f>
        <v>0</v>
      </c>
      <c r="AU17" s="137">
        <f>L17+'11.30.19'!AU17</f>
        <v>23.5</v>
      </c>
      <c r="AV17" s="84">
        <f t="shared" si="18"/>
        <v>23.5</v>
      </c>
      <c r="AW17" s="84">
        <f>N17+'11.30.19'!AW17</f>
        <v>0</v>
      </c>
      <c r="AX17" s="84">
        <f>O17+'11.30.19'!AX17</f>
        <v>0</v>
      </c>
      <c r="AY17" s="84">
        <f>P17+'11.30.19'!AY17</f>
        <v>0</v>
      </c>
      <c r="AZ17" s="84">
        <f t="shared" si="19"/>
        <v>0</v>
      </c>
      <c r="BA17" s="224">
        <v>650.23</v>
      </c>
      <c r="BB17" s="137">
        <f>Z17+'11.30.19'!BB17</f>
        <v>23.25</v>
      </c>
      <c r="BC17" s="137">
        <f>AA17+'11.30.19'!BC17</f>
        <v>18.78</v>
      </c>
      <c r="BD17" s="276">
        <f>AB17+'11.30.19'!BD17</f>
        <v>-0.21</v>
      </c>
      <c r="BE17" s="280">
        <f>AC17+'11.30.19'!BE17</f>
        <v>-0.6</v>
      </c>
      <c r="BF17" s="276">
        <f>AD17+'11.30.19'!BF17</f>
        <v>-0.04</v>
      </c>
      <c r="BG17" s="280">
        <f>AE17+'11.30.19'!BG17</f>
        <v>-0.06</v>
      </c>
      <c r="BH17" s="84">
        <f t="shared" si="20"/>
        <v>41.12</v>
      </c>
      <c r="BI17" s="84">
        <f>AG17+'11.30.19'!BI17</f>
        <v>-6.56</v>
      </c>
      <c r="BJ17" s="84">
        <f>AH17+'11.30.19'!BJ17</f>
        <v>0</v>
      </c>
      <c r="BK17" s="116">
        <f t="shared" si="21"/>
        <v>-6.56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27981.16</v>
      </c>
      <c r="G18" s="9">
        <v>0</v>
      </c>
      <c r="H18" s="129">
        <f t="shared" si="0"/>
        <v>27981.16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516.84</v>
      </c>
      <c r="M18" s="9">
        <f t="shared" si="3"/>
        <v>516.84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28498</v>
      </c>
      <c r="S18" s="14">
        <f t="shared" si="7"/>
        <v>36802.129999999997</v>
      </c>
      <c r="T18" s="86">
        <v>7638.97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125.4</v>
      </c>
      <c r="Y18" s="268">
        <f t="shared" si="22"/>
        <v>96.95</v>
      </c>
      <c r="Z18" s="124">
        <f t="shared" si="9"/>
        <v>222.35</v>
      </c>
      <c r="AA18" s="268">
        <f t="shared" si="10"/>
        <v>510.26</v>
      </c>
      <c r="AB18" s="204">
        <f t="shared" si="10"/>
        <v>0</v>
      </c>
      <c r="AC18" s="268">
        <f t="shared" si="10"/>
        <v>-1.79</v>
      </c>
      <c r="AD18" s="204">
        <f t="shared" si="10"/>
        <v>-0.56999999999999995</v>
      </c>
      <c r="AE18" s="268">
        <f t="shared" si="10"/>
        <v>-0.31</v>
      </c>
      <c r="AF18" s="7">
        <f t="shared" si="11"/>
        <v>729.94</v>
      </c>
      <c r="AG18" s="7">
        <f t="shared" si="12"/>
        <v>-35.15</v>
      </c>
      <c r="AH18" s="7">
        <v>0</v>
      </c>
      <c r="AI18" s="124">
        <f t="shared" si="13"/>
        <v>-35.15</v>
      </c>
      <c r="AJ18" s="14">
        <f t="shared" si="14"/>
        <v>8333.76</v>
      </c>
      <c r="AK18" s="281"/>
      <c r="AL18" s="281"/>
      <c r="AM18" s="33">
        <f t="shared" si="15"/>
        <v>36831.760000000002</v>
      </c>
      <c r="AN18" s="33">
        <f t="shared" si="16"/>
        <v>47347.94</v>
      </c>
      <c r="AO18" s="83"/>
      <c r="AP18" s="114">
        <v>26610.59</v>
      </c>
      <c r="AQ18" s="186">
        <v>31674.66</v>
      </c>
      <c r="AR18" s="192">
        <f>G18+'11.30.19'!AR18</f>
        <v>0</v>
      </c>
      <c r="AS18" s="114">
        <f t="shared" ref="AS18:AS28" si="23">AN18-AM18</f>
        <v>10516.18</v>
      </c>
      <c r="AT18" s="137">
        <f>K18+'11.30.19'!AT18</f>
        <v>0</v>
      </c>
      <c r="AU18" s="137">
        <f>L18+'11.30.19'!AU18</f>
        <v>740.57</v>
      </c>
      <c r="AV18" s="84">
        <f t="shared" ref="AV18:AV28" si="24">AT18+AU18</f>
        <v>740.57</v>
      </c>
      <c r="AW18" s="84">
        <f>N18+'11.30.19'!AW18</f>
        <v>0</v>
      </c>
      <c r="AX18" s="84">
        <f>O18+'11.30.19'!AX18</f>
        <v>0</v>
      </c>
      <c r="AY18" s="84">
        <f>P18+'11.30.19'!AY18</f>
        <v>0</v>
      </c>
      <c r="AZ18" s="84">
        <f t="shared" ref="AZ18:AZ28" si="25">AX18+AY18</f>
        <v>0</v>
      </c>
      <c r="BA18" s="224">
        <v>7244.82</v>
      </c>
      <c r="BB18" s="137">
        <f>Z18+'11.30.19'!BB18</f>
        <v>732.55</v>
      </c>
      <c r="BC18" s="137">
        <f>AA18+'11.30.19'!BC18</f>
        <v>591.88</v>
      </c>
      <c r="BD18" s="276">
        <f>AB18+'11.30.19'!BD18</f>
        <v>-6.75</v>
      </c>
      <c r="BE18" s="280">
        <f>AC18+'11.30.19'!BE18</f>
        <v>-18.829999999999998</v>
      </c>
      <c r="BF18" s="276">
        <f>AD18+'11.30.19'!BF18</f>
        <v>-1.1399999999999999</v>
      </c>
      <c r="BG18" s="280">
        <f>AE18+'11.30.19'!BG18</f>
        <v>-2.0699999999999998</v>
      </c>
      <c r="BH18" s="84">
        <f t="shared" ref="BH18:BH28" si="26">SUM(BB18:BG18)</f>
        <v>1295.6400000000001</v>
      </c>
      <c r="BI18" s="84">
        <f>AG18+'11.30.19'!BI18</f>
        <v>-206.7</v>
      </c>
      <c r="BJ18" s="84">
        <f>AH18+'11.30.19'!BJ18</f>
        <v>0</v>
      </c>
      <c r="BK18" s="116">
        <f t="shared" ref="BK18:BK28" si="27">BI18+BJ18</f>
        <v>-206.7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94513.35</v>
      </c>
      <c r="G19" s="9">
        <v>0</v>
      </c>
      <c r="H19" s="129">
        <f t="shared" si="0"/>
        <v>94513.35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1745.76</v>
      </c>
      <c r="M19" s="9">
        <f t="shared" si="3"/>
        <v>1745.76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96259.11</v>
      </c>
      <c r="S19" s="14">
        <f t="shared" si="7"/>
        <v>124308.37</v>
      </c>
      <c r="T19" s="86">
        <v>69274.64</v>
      </c>
      <c r="U19" s="79">
        <f t="shared" si="8"/>
        <v>2.5321880000000001E-2</v>
      </c>
      <c r="V19" s="203"/>
      <c r="W19" s="264"/>
      <c r="X19" s="204">
        <f t="shared" si="22"/>
        <v>423.56</v>
      </c>
      <c r="Y19" s="268">
        <f t="shared" si="22"/>
        <v>327.49</v>
      </c>
      <c r="Z19" s="124">
        <f t="shared" si="9"/>
        <v>751.05</v>
      </c>
      <c r="AA19" s="268">
        <f t="shared" si="10"/>
        <v>1723.52</v>
      </c>
      <c r="AB19" s="204">
        <f t="shared" si="10"/>
        <v>0</v>
      </c>
      <c r="AC19" s="268">
        <f t="shared" si="10"/>
        <v>-6.03</v>
      </c>
      <c r="AD19" s="204">
        <f t="shared" si="10"/>
        <v>-1.91</v>
      </c>
      <c r="AE19" s="268">
        <f t="shared" si="10"/>
        <v>-1.05</v>
      </c>
      <c r="AF19" s="7">
        <f t="shared" si="11"/>
        <v>2465.58</v>
      </c>
      <c r="AG19" s="7">
        <f t="shared" si="12"/>
        <v>-118.74</v>
      </c>
      <c r="AH19" s="7">
        <v>0</v>
      </c>
      <c r="AI19" s="124">
        <f t="shared" si="13"/>
        <v>-118.74</v>
      </c>
      <c r="AJ19" s="14">
        <f t="shared" si="14"/>
        <v>71621.48</v>
      </c>
      <c r="AK19" s="233"/>
      <c r="AL19" s="237"/>
      <c r="AM19" s="33">
        <f t="shared" si="15"/>
        <v>167880.59</v>
      </c>
      <c r="AN19" s="33">
        <f t="shared" si="16"/>
        <v>214940.49</v>
      </c>
      <c r="AO19" s="83"/>
      <c r="AP19" s="114">
        <v>89883.9</v>
      </c>
      <c r="AQ19" s="186">
        <v>106989.06</v>
      </c>
      <c r="AR19" s="192">
        <f>G19+'11.30.19'!AR19</f>
        <v>0</v>
      </c>
      <c r="AS19" s="114">
        <f t="shared" si="23"/>
        <v>47059.9</v>
      </c>
      <c r="AT19" s="137">
        <f>K19+'11.30.19'!AT19</f>
        <v>0</v>
      </c>
      <c r="AU19" s="137">
        <f>L19+'11.30.19'!AU19</f>
        <v>2501.48</v>
      </c>
      <c r="AV19" s="84">
        <f t="shared" si="24"/>
        <v>2501.48</v>
      </c>
      <c r="AW19" s="84">
        <f>N19+'11.30.19'!AW19</f>
        <v>0</v>
      </c>
      <c r="AX19" s="84">
        <f>O19+'11.30.19'!AX19</f>
        <v>0</v>
      </c>
      <c r="AY19" s="84">
        <f>P19+'11.30.19'!AY19</f>
        <v>0</v>
      </c>
      <c r="AZ19" s="84">
        <f t="shared" si="25"/>
        <v>0</v>
      </c>
      <c r="BA19" s="224">
        <v>67943.259999999995</v>
      </c>
      <c r="BB19" s="137">
        <f>Z19+'11.30.19'!BB19</f>
        <v>2474.36</v>
      </c>
      <c r="BC19" s="137">
        <f>AA19+'11.30.19'!BC19</f>
        <v>1999.22</v>
      </c>
      <c r="BD19" s="276">
        <f>AB19+'11.30.19'!BD19</f>
        <v>-22.77</v>
      </c>
      <c r="BE19" s="280">
        <f>AC19+'11.30.19'!BE19</f>
        <v>-63.58</v>
      </c>
      <c r="BF19" s="276">
        <f>AD19+'11.30.19'!BF19</f>
        <v>-3.85</v>
      </c>
      <c r="BG19" s="280">
        <f>AE19+'11.30.19'!BG19</f>
        <v>-6.98</v>
      </c>
      <c r="BH19" s="84">
        <f t="shared" si="26"/>
        <v>4376.3999999999996</v>
      </c>
      <c r="BI19" s="84">
        <f>AG19+'11.30.19'!BI19</f>
        <v>-698.18</v>
      </c>
      <c r="BJ19" s="84">
        <f>AH19+'11.30.19'!BJ19</f>
        <v>0</v>
      </c>
      <c r="BK19" s="116">
        <f t="shared" si="27"/>
        <v>-698.18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34978.370000000003</v>
      </c>
      <c r="G20" s="9">
        <v>0</v>
      </c>
      <c r="H20" s="129">
        <f t="shared" si="0"/>
        <v>34978.370000000003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646.09</v>
      </c>
      <c r="M20" s="9">
        <f t="shared" si="3"/>
        <v>646.09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35624.46</v>
      </c>
      <c r="S20" s="14">
        <f t="shared" si="7"/>
        <v>46005.19</v>
      </c>
      <c r="T20" s="86">
        <v>18909.86</v>
      </c>
      <c r="U20" s="79">
        <f t="shared" si="8"/>
        <v>9.3713500000000005E-3</v>
      </c>
      <c r="V20" s="315"/>
      <c r="W20" s="315"/>
      <c r="X20" s="204">
        <f t="shared" si="22"/>
        <v>156.75</v>
      </c>
      <c r="Y20" s="268">
        <f t="shared" si="22"/>
        <v>121.2</v>
      </c>
      <c r="Z20" s="124">
        <f t="shared" si="9"/>
        <v>277.95</v>
      </c>
      <c r="AA20" s="268">
        <f t="shared" si="10"/>
        <v>637.86</v>
      </c>
      <c r="AB20" s="204">
        <f t="shared" si="10"/>
        <v>0</v>
      </c>
      <c r="AC20" s="268">
        <f t="shared" si="10"/>
        <v>-2.23</v>
      </c>
      <c r="AD20" s="204">
        <f t="shared" si="10"/>
        <v>-0.71</v>
      </c>
      <c r="AE20" s="268">
        <f t="shared" si="10"/>
        <v>-0.39</v>
      </c>
      <c r="AF20" s="7">
        <f t="shared" si="11"/>
        <v>912.48</v>
      </c>
      <c r="AG20" s="7">
        <f t="shared" si="12"/>
        <v>-43.94</v>
      </c>
      <c r="AH20" s="7">
        <v>0</v>
      </c>
      <c r="AI20" s="124">
        <f t="shared" si="13"/>
        <v>-43.94</v>
      </c>
      <c r="AJ20" s="14">
        <f t="shared" si="14"/>
        <v>19778.400000000001</v>
      </c>
      <c r="AK20" s="283"/>
      <c r="AL20" s="284"/>
      <c r="AM20" s="33">
        <f t="shared" si="15"/>
        <v>55402.86</v>
      </c>
      <c r="AN20" s="33">
        <f t="shared" si="16"/>
        <v>71033.41</v>
      </c>
      <c r="AO20" s="83"/>
      <c r="AP20" s="114">
        <v>33265.06</v>
      </c>
      <c r="AQ20" s="186">
        <v>39595.49</v>
      </c>
      <c r="AR20" s="192">
        <f>G20+'11.30.19'!AR20</f>
        <v>0</v>
      </c>
      <c r="AS20" s="114">
        <f t="shared" si="23"/>
        <v>15630.55</v>
      </c>
      <c r="AT20" s="137">
        <f>K20+'11.30.19'!AT20</f>
        <v>0</v>
      </c>
      <c r="AU20" s="137">
        <f>L20+'11.30.19'!AU20</f>
        <v>925.78</v>
      </c>
      <c r="AV20" s="84">
        <f t="shared" si="24"/>
        <v>925.78</v>
      </c>
      <c r="AW20" s="84">
        <f>N20+'11.30.19'!AW20</f>
        <v>0</v>
      </c>
      <c r="AX20" s="84">
        <f>O20+'11.30.19'!AX20</f>
        <v>0</v>
      </c>
      <c r="AY20" s="84">
        <f>P20+'11.30.19'!AY20</f>
        <v>0</v>
      </c>
      <c r="AZ20" s="84">
        <f t="shared" si="25"/>
        <v>0</v>
      </c>
      <c r="BA20" s="224">
        <v>18417.12</v>
      </c>
      <c r="BB20" s="137">
        <f>Z20+'11.30.19'!BB20</f>
        <v>915.72</v>
      </c>
      <c r="BC20" s="137">
        <f>AA20+'11.30.19'!BC20</f>
        <v>739.9</v>
      </c>
      <c r="BD20" s="276">
        <f>AB20+'11.30.19'!BD20</f>
        <v>-8.42</v>
      </c>
      <c r="BE20" s="280">
        <f>AC20+'11.30.19'!BE20</f>
        <v>-23.53</v>
      </c>
      <c r="BF20" s="276">
        <f>AD20+'11.30.19'!BF20</f>
        <v>-1.43</v>
      </c>
      <c r="BG20" s="280">
        <f>AE20+'11.30.19'!BG20</f>
        <v>-2.58</v>
      </c>
      <c r="BH20" s="84">
        <f t="shared" si="26"/>
        <v>1619.66</v>
      </c>
      <c r="BI20" s="84">
        <f>AG20+'11.30.19'!BI20</f>
        <v>-258.38</v>
      </c>
      <c r="BJ20" s="84">
        <f>AH20+'11.30.19'!BJ20</f>
        <v>0</v>
      </c>
      <c r="BK20" s="116">
        <f t="shared" si="27"/>
        <v>-258.38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539293.34</v>
      </c>
      <c r="G21" s="9">
        <v>0</v>
      </c>
      <c r="H21" s="129">
        <f t="shared" si="0"/>
        <v>539293.34</v>
      </c>
      <c r="I21" s="76">
        <f t="shared" si="1"/>
        <v>0.14448669</v>
      </c>
      <c r="J21" s="128"/>
      <c r="K21" s="128">
        <f t="shared" si="2"/>
        <v>0</v>
      </c>
      <c r="L21" s="128">
        <f t="shared" si="2"/>
        <v>9961.33</v>
      </c>
      <c r="M21" s="9">
        <f t="shared" si="3"/>
        <v>9961.33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549254.67000000004</v>
      </c>
      <c r="S21" s="14">
        <f t="shared" si="7"/>
        <v>709303.78</v>
      </c>
      <c r="T21" s="86">
        <v>495305.23</v>
      </c>
      <c r="U21" s="79">
        <f t="shared" si="8"/>
        <v>0.14448669</v>
      </c>
      <c r="V21" s="203"/>
      <c r="W21" s="264"/>
      <c r="X21" s="204">
        <f t="shared" si="22"/>
        <v>2416.81</v>
      </c>
      <c r="Y21" s="268">
        <f t="shared" si="22"/>
        <v>1868.64</v>
      </c>
      <c r="Z21" s="124">
        <f t="shared" si="9"/>
        <v>4285.45</v>
      </c>
      <c r="AA21" s="268">
        <f t="shared" si="10"/>
        <v>9834.43</v>
      </c>
      <c r="AB21" s="204">
        <f t="shared" si="10"/>
        <v>0</v>
      </c>
      <c r="AC21" s="268">
        <f t="shared" si="10"/>
        <v>-34.409999999999997</v>
      </c>
      <c r="AD21" s="204">
        <f t="shared" si="10"/>
        <v>-10.91</v>
      </c>
      <c r="AE21" s="268">
        <f t="shared" si="10"/>
        <v>-5.97</v>
      </c>
      <c r="AF21" s="7">
        <f t="shared" si="11"/>
        <v>14068.59</v>
      </c>
      <c r="AG21" s="7">
        <f t="shared" si="12"/>
        <v>-677.51</v>
      </c>
      <c r="AH21" s="7">
        <v>0</v>
      </c>
      <c r="AI21" s="124">
        <f t="shared" si="13"/>
        <v>-677.51</v>
      </c>
      <c r="AJ21" s="14">
        <f t="shared" si="14"/>
        <v>508696.31</v>
      </c>
      <c r="AK21" s="285"/>
      <c r="AL21" s="236"/>
      <c r="AM21" s="33">
        <f t="shared" si="15"/>
        <v>1057950.98</v>
      </c>
      <c r="AN21" s="33">
        <f t="shared" si="16"/>
        <v>1353024.44</v>
      </c>
      <c r="AO21" s="83"/>
      <c r="AP21" s="114">
        <v>512877.8</v>
      </c>
      <c r="AQ21" s="186">
        <v>610479.87</v>
      </c>
      <c r="AR21" s="192">
        <f>G21+'11.30.19'!AR21</f>
        <v>0</v>
      </c>
      <c r="AS21" s="114">
        <f t="shared" si="23"/>
        <v>295073.46000000002</v>
      </c>
      <c r="AT21" s="137">
        <f>K21+'11.30.19'!AT21</f>
        <v>0</v>
      </c>
      <c r="AU21" s="137">
        <f>L21+'11.30.19'!AU21</f>
        <v>14273.43</v>
      </c>
      <c r="AV21" s="84">
        <f t="shared" si="24"/>
        <v>14273.43</v>
      </c>
      <c r="AW21" s="84">
        <f>N21+'11.30.19'!AW21</f>
        <v>0</v>
      </c>
      <c r="AX21" s="84">
        <f>O21+'11.30.19'!AX21</f>
        <v>0</v>
      </c>
      <c r="AY21" s="84">
        <f>P21+'11.30.19'!AY21</f>
        <v>0</v>
      </c>
      <c r="AZ21" s="84">
        <f t="shared" si="25"/>
        <v>0</v>
      </c>
      <c r="BA21" s="224">
        <v>492992.17</v>
      </c>
      <c r="BB21" s="137">
        <f>Z21+'11.30.19'!BB21</f>
        <v>14118.66</v>
      </c>
      <c r="BC21" s="137">
        <f>AA21+'11.30.19'!BC21</f>
        <v>11407.55</v>
      </c>
      <c r="BD21" s="276">
        <f>AB21+'11.30.19'!BD21</f>
        <v>-129.91999999999999</v>
      </c>
      <c r="BE21" s="280">
        <f>AC21+'11.30.19'!BE21</f>
        <v>-362.74</v>
      </c>
      <c r="BF21" s="276">
        <f>AD21+'11.30.19'!BF21</f>
        <v>-21.99</v>
      </c>
      <c r="BG21" s="280">
        <f>AE21+'11.30.19'!BG21</f>
        <v>-39.74</v>
      </c>
      <c r="BH21" s="84">
        <f t="shared" si="26"/>
        <v>24971.82</v>
      </c>
      <c r="BI21" s="84">
        <f>AG21+'11.30.19'!BI21</f>
        <v>-3983.8</v>
      </c>
      <c r="BJ21" s="84">
        <f>AH21+'11.30.19'!BJ21</f>
        <v>-5283.88</v>
      </c>
      <c r="BK21" s="116">
        <f t="shared" si="27"/>
        <v>-9267.68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551961.80000000005</v>
      </c>
      <c r="G22" s="9">
        <v>0</v>
      </c>
      <c r="H22" s="129">
        <f t="shared" si="0"/>
        <v>551961.80000000005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10195.33</v>
      </c>
      <c r="M22" s="9">
        <f t="shared" si="3"/>
        <v>10195.33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562157.13</v>
      </c>
      <c r="S22" s="14">
        <f t="shared" si="7"/>
        <v>725965.93</v>
      </c>
      <c r="T22" s="86">
        <v>429064.2</v>
      </c>
      <c r="U22" s="79">
        <f t="shared" si="8"/>
        <v>0.14788081</v>
      </c>
      <c r="V22" s="316"/>
      <c r="W22" s="317"/>
      <c r="X22" s="204">
        <f t="shared" si="22"/>
        <v>2473.58</v>
      </c>
      <c r="Y22" s="268">
        <f t="shared" si="22"/>
        <v>1912.53</v>
      </c>
      <c r="Z22" s="124">
        <f t="shared" si="9"/>
        <v>4386.1099999999997</v>
      </c>
      <c r="AA22" s="268">
        <f t="shared" si="10"/>
        <v>10065.450000000001</v>
      </c>
      <c r="AB22" s="204">
        <f t="shared" si="10"/>
        <v>0</v>
      </c>
      <c r="AC22" s="268">
        <f t="shared" si="10"/>
        <v>-35.21</v>
      </c>
      <c r="AD22" s="204">
        <f t="shared" si="10"/>
        <v>-11.17</v>
      </c>
      <c r="AE22" s="268">
        <f t="shared" si="10"/>
        <v>-6.11</v>
      </c>
      <c r="AF22" s="7">
        <f t="shared" si="11"/>
        <v>14399.07</v>
      </c>
      <c r="AG22" s="7">
        <f t="shared" si="12"/>
        <v>-693.42</v>
      </c>
      <c r="AH22" s="7">
        <v>0</v>
      </c>
      <c r="AI22" s="124">
        <f t="shared" si="13"/>
        <v>-693.42</v>
      </c>
      <c r="AJ22" s="14">
        <f t="shared" si="14"/>
        <v>442769.85</v>
      </c>
      <c r="AK22" s="283"/>
      <c r="AL22" s="284"/>
      <c r="AM22" s="33">
        <f t="shared" si="15"/>
        <v>1004926.98</v>
      </c>
      <c r="AN22" s="33">
        <f t="shared" si="16"/>
        <v>1286261.1299999999</v>
      </c>
      <c r="AO22" s="83"/>
      <c r="AP22" s="114">
        <v>524925.73</v>
      </c>
      <c r="AQ22" s="186">
        <v>624820.56000000006</v>
      </c>
      <c r="AR22" s="192">
        <f>G22+'11.30.19'!AR22</f>
        <v>0</v>
      </c>
      <c r="AS22" s="114">
        <f t="shared" si="23"/>
        <v>281334.15000000002</v>
      </c>
      <c r="AT22" s="137">
        <f>K22+'11.30.19'!AT22</f>
        <v>0</v>
      </c>
      <c r="AU22" s="137">
        <f>L22+'11.30.19'!AU22</f>
        <v>14608.72</v>
      </c>
      <c r="AV22" s="84">
        <f t="shared" si="24"/>
        <v>14608.72</v>
      </c>
      <c r="AW22" s="84">
        <f>N22+'11.30.19'!AW22</f>
        <v>0</v>
      </c>
      <c r="AX22" s="84">
        <f>O22+'11.30.19'!AX22</f>
        <v>0</v>
      </c>
      <c r="AY22" s="84">
        <f>P22+'11.30.19'!AY22</f>
        <v>0</v>
      </c>
      <c r="AZ22" s="84">
        <f t="shared" si="25"/>
        <v>0</v>
      </c>
      <c r="BA22" s="224">
        <v>421288.81</v>
      </c>
      <c r="BB22" s="137">
        <f>Z22+'11.30.19'!BB22</f>
        <v>14450.3</v>
      </c>
      <c r="BC22" s="137">
        <f>AA22+'11.30.19'!BC22</f>
        <v>11675.52</v>
      </c>
      <c r="BD22" s="276">
        <f>AB22+'11.30.19'!BD22</f>
        <v>-132.97</v>
      </c>
      <c r="BE22" s="280">
        <f>AC22+'11.30.19'!BE22</f>
        <v>-371.25</v>
      </c>
      <c r="BF22" s="276">
        <f>AD22+'11.30.19'!BF22</f>
        <v>-22.51</v>
      </c>
      <c r="BG22" s="280">
        <f>AE22+'11.30.19'!BG22</f>
        <v>-40.67</v>
      </c>
      <c r="BH22" s="84">
        <f t="shared" si="26"/>
        <v>25558.42</v>
      </c>
      <c r="BI22" s="84">
        <f>AG22+'11.30.19'!BI22</f>
        <v>-4077.38</v>
      </c>
      <c r="BJ22" s="84">
        <f>AH22+'11.30.19'!BJ22</f>
        <v>0</v>
      </c>
      <c r="BK22" s="116">
        <f t="shared" si="27"/>
        <v>-4077.38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2854.82</v>
      </c>
      <c r="G23" s="9">
        <v>0</v>
      </c>
      <c r="H23" s="129">
        <f t="shared" si="0"/>
        <v>2854.82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52.73</v>
      </c>
      <c r="M23" s="9">
        <f t="shared" si="3"/>
        <v>52.73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2907.55</v>
      </c>
      <c r="S23" s="14">
        <f t="shared" si="7"/>
        <v>3754.79</v>
      </c>
      <c r="T23" s="86">
        <v>2051.39</v>
      </c>
      <c r="U23" s="79">
        <f t="shared" si="8"/>
        <v>7.6486000000000002E-4</v>
      </c>
      <c r="V23" s="203"/>
      <c r="W23" s="264"/>
      <c r="X23" s="204">
        <f t="shared" si="22"/>
        <v>12.79</v>
      </c>
      <c r="Y23" s="268">
        <f t="shared" si="22"/>
        <v>9.89</v>
      </c>
      <c r="Z23" s="124">
        <f t="shared" si="9"/>
        <v>22.68</v>
      </c>
      <c r="AA23" s="268">
        <f t="shared" si="10"/>
        <v>52.06</v>
      </c>
      <c r="AB23" s="204">
        <f t="shared" si="10"/>
        <v>0</v>
      </c>
      <c r="AC23" s="268">
        <f t="shared" si="10"/>
        <v>-0.18</v>
      </c>
      <c r="AD23" s="204">
        <f t="shared" si="10"/>
        <v>-0.06</v>
      </c>
      <c r="AE23" s="268">
        <f t="shared" si="10"/>
        <v>-0.03</v>
      </c>
      <c r="AF23" s="7">
        <f t="shared" si="11"/>
        <v>74.47</v>
      </c>
      <c r="AG23" s="7">
        <f t="shared" si="12"/>
        <v>-3.59</v>
      </c>
      <c r="AH23" s="7">
        <v>0</v>
      </c>
      <c r="AI23" s="124">
        <f t="shared" si="13"/>
        <v>-3.59</v>
      </c>
      <c r="AJ23" s="14">
        <f t="shared" si="14"/>
        <v>2122.27</v>
      </c>
      <c r="AK23" s="285"/>
      <c r="AL23" s="236"/>
      <c r="AM23" s="33">
        <f t="shared" si="15"/>
        <v>5029.82</v>
      </c>
      <c r="AN23" s="33">
        <f t="shared" si="16"/>
        <v>6440.38</v>
      </c>
      <c r="AO23" s="83"/>
      <c r="AP23" s="114">
        <v>2714.97</v>
      </c>
      <c r="AQ23" s="186">
        <v>3231.64</v>
      </c>
      <c r="AR23" s="192">
        <f>G23+'11.30.19'!AR23</f>
        <v>0</v>
      </c>
      <c r="AS23" s="114">
        <f t="shared" si="23"/>
        <v>1410.56</v>
      </c>
      <c r="AT23" s="137">
        <f>K23+'11.30.19'!AT23</f>
        <v>0</v>
      </c>
      <c r="AU23" s="137">
        <f>L23+'11.30.19'!AU23</f>
        <v>75.56</v>
      </c>
      <c r="AV23" s="84">
        <f t="shared" si="24"/>
        <v>75.56</v>
      </c>
      <c r="AW23" s="84">
        <f>N23+'11.30.19'!AW23</f>
        <v>0</v>
      </c>
      <c r="AX23" s="84">
        <f>O23+'11.30.19'!AX23</f>
        <v>0</v>
      </c>
      <c r="AY23" s="84">
        <f>P23+'11.30.19'!AY23</f>
        <v>0</v>
      </c>
      <c r="AZ23" s="84">
        <f t="shared" si="25"/>
        <v>0</v>
      </c>
      <c r="BA23" s="224">
        <v>2011.18</v>
      </c>
      <c r="BB23" s="137">
        <f>Z23+'11.30.19'!BB23</f>
        <v>74.73</v>
      </c>
      <c r="BC23" s="137">
        <f>AA23+'11.30.19'!BC23</f>
        <v>60.39</v>
      </c>
      <c r="BD23" s="276">
        <f>AB23+'11.30.19'!BD23</f>
        <v>-0.69</v>
      </c>
      <c r="BE23" s="280">
        <f>AC23+'11.30.19'!BE23</f>
        <v>-1.92</v>
      </c>
      <c r="BF23" s="276">
        <f>AD23+'11.30.19'!BF23</f>
        <v>-0.12</v>
      </c>
      <c r="BG23" s="280">
        <f>AE23+'11.30.19'!BG23</f>
        <v>-0.21</v>
      </c>
      <c r="BH23" s="84">
        <f t="shared" si="26"/>
        <v>132.18</v>
      </c>
      <c r="BI23" s="84">
        <f>AG23+'11.30.19'!BI23</f>
        <v>-21.09</v>
      </c>
      <c r="BJ23" s="84">
        <f>AH23+'11.30.19'!BJ23</f>
        <v>0</v>
      </c>
      <c r="BK23" s="116">
        <f t="shared" si="27"/>
        <v>-21.09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1498285.18</v>
      </c>
      <c r="G24" s="9">
        <v>0</v>
      </c>
      <c r="H24" s="129">
        <f t="shared" si="0"/>
        <v>1498285.18</v>
      </c>
      <c r="I24" s="76">
        <f>H24/(H$31-1575)+0.00000001</f>
        <v>0.40141842</v>
      </c>
      <c r="J24" s="128"/>
      <c r="K24" s="128">
        <f>$I24*K$31</f>
        <v>0</v>
      </c>
      <c r="L24" s="318">
        <f>($I24*L$31)+0.01</f>
        <v>27674.95</v>
      </c>
      <c r="M24" s="9">
        <f t="shared" si="3"/>
        <v>27674.95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1525960.13</v>
      </c>
      <c r="S24" s="14">
        <f>(R24/(R$31-1575)*(S$31-1575))</f>
        <v>1970614.64</v>
      </c>
      <c r="T24" s="86">
        <v>719396.88</v>
      </c>
      <c r="U24" s="79">
        <f t="shared" si="8"/>
        <v>0.40141842</v>
      </c>
      <c r="V24" s="203"/>
      <c r="W24" s="264"/>
      <c r="X24" s="311">
        <f>($U24*X$31)+0.01</f>
        <v>6714.48</v>
      </c>
      <c r="Y24" s="312">
        <f>($U24*Y$31)-0.02</f>
        <v>5191.5</v>
      </c>
      <c r="Z24" s="313">
        <f t="shared" si="9"/>
        <v>11905.98</v>
      </c>
      <c r="AA24" s="312">
        <f>($U24*AA$31)+0.01</f>
        <v>27322.41</v>
      </c>
      <c r="AB24" s="311">
        <f>($U24*AB$31)</f>
        <v>0</v>
      </c>
      <c r="AC24" s="312">
        <f>($U24*AC$31)+0.01</f>
        <v>-95.58</v>
      </c>
      <c r="AD24" s="311">
        <f>($U24*AD$31)+0.01</f>
        <v>-30.31</v>
      </c>
      <c r="AE24" s="312">
        <f>($U24*AE$31)+0.01</f>
        <v>-16.579999999999998</v>
      </c>
      <c r="AF24" s="7">
        <f t="shared" si="11"/>
        <v>39085.919999999998</v>
      </c>
      <c r="AG24" s="7">
        <f>(U24*AG$31)+0.02</f>
        <v>-1882.25</v>
      </c>
      <c r="AH24" s="7">
        <v>0</v>
      </c>
      <c r="AI24" s="124">
        <f t="shared" si="13"/>
        <v>-1882.25</v>
      </c>
      <c r="AJ24" s="14">
        <f t="shared" si="14"/>
        <v>756600.55</v>
      </c>
      <c r="AK24" s="285"/>
      <c r="AL24" s="236"/>
      <c r="AM24" s="33">
        <f t="shared" si="15"/>
        <v>2282560.6800000002</v>
      </c>
      <c r="AN24" s="33">
        <f>((S24+AJ24)+((AJ24/AJ$31)*AO$49))</f>
        <v>2928041.29</v>
      </c>
      <c r="AO24" s="83"/>
      <c r="AP24" s="114">
        <v>1424896.51</v>
      </c>
      <c r="AQ24" s="186">
        <v>1696058.26</v>
      </c>
      <c r="AR24" s="192">
        <f>G24+'11.30.19'!AR24</f>
        <v>0</v>
      </c>
      <c r="AS24" s="114">
        <f t="shared" si="23"/>
        <v>645480.61</v>
      </c>
      <c r="AT24" s="137">
        <f>K24+'11.30.19'!AT24</f>
        <v>0</v>
      </c>
      <c r="AU24" s="137">
        <f>L24+'11.30.19'!AU24</f>
        <v>39654.99</v>
      </c>
      <c r="AV24" s="84">
        <f t="shared" si="24"/>
        <v>39654.99</v>
      </c>
      <c r="AW24" s="84">
        <f>N24+'11.30.19'!AW24</f>
        <v>0</v>
      </c>
      <c r="AX24" s="84">
        <f>O24+'11.30.19'!AX24</f>
        <v>0</v>
      </c>
      <c r="AY24" s="84">
        <f>P24+'11.30.19'!AY24</f>
        <v>0</v>
      </c>
      <c r="AZ24" s="84">
        <f t="shared" si="25"/>
        <v>0</v>
      </c>
      <c r="BA24" s="224">
        <v>698290.76</v>
      </c>
      <c r="BB24" s="137">
        <f>Z24+'11.30.19'!BB24</f>
        <v>39225</v>
      </c>
      <c r="BC24" s="137">
        <f>AA24+'11.30.19'!BC24</f>
        <v>31692.85</v>
      </c>
      <c r="BD24" s="276">
        <f>AB24+'11.30.19'!BD24</f>
        <v>-360.95</v>
      </c>
      <c r="BE24" s="280">
        <f>AC24+'11.30.19'!BE24</f>
        <v>-1007.75</v>
      </c>
      <c r="BF24" s="276">
        <f>AD24+'11.30.19'!BF24</f>
        <v>-61.09</v>
      </c>
      <c r="BG24" s="280">
        <f>AE24+'11.30.19'!BG24</f>
        <v>-110.36</v>
      </c>
      <c r="BH24" s="84">
        <f t="shared" si="26"/>
        <v>69377.7</v>
      </c>
      <c r="BI24" s="84">
        <f>AG24+'11.30.19'!BI24</f>
        <v>-11067.91</v>
      </c>
      <c r="BJ24" s="84">
        <f>AH24+'11.30.19'!BJ24</f>
        <v>0</v>
      </c>
      <c r="BK24" s="116">
        <f t="shared" si="27"/>
        <v>-11067.91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326314.53999999998</v>
      </c>
      <c r="G25" s="9">
        <v>0</v>
      </c>
      <c r="H25" s="129">
        <f t="shared" si="0"/>
        <v>326314.53999999998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6027.38</v>
      </c>
      <c r="M25" s="9">
        <f t="shared" si="3"/>
        <v>6027.38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332341.92</v>
      </c>
      <c r="S25" s="14">
        <f>(R25/(R$31-1575)*(S$31-1575))</f>
        <v>429184.12</v>
      </c>
      <c r="T25" s="86">
        <v>188319.46</v>
      </c>
      <c r="U25" s="79">
        <f t="shared" si="8"/>
        <v>8.7425719999999998E-2</v>
      </c>
      <c r="V25" s="203"/>
      <c r="W25" s="264"/>
      <c r="X25" s="204">
        <f t="shared" ref="X25:Y28" si="28">$U25*X$31</f>
        <v>1462.36</v>
      </c>
      <c r="Y25" s="268">
        <f t="shared" si="28"/>
        <v>1130.67</v>
      </c>
      <c r="Z25" s="124">
        <f t="shared" si="9"/>
        <v>2593.0300000000002</v>
      </c>
      <c r="AA25" s="268">
        <f t="shared" ref="AA25:AE28" si="29">$U25*AA$31</f>
        <v>5950.6</v>
      </c>
      <c r="AB25" s="204">
        <f t="shared" si="29"/>
        <v>0</v>
      </c>
      <c r="AC25" s="268">
        <f t="shared" si="29"/>
        <v>-20.82</v>
      </c>
      <c r="AD25" s="204">
        <f t="shared" si="29"/>
        <v>-6.6</v>
      </c>
      <c r="AE25" s="268">
        <f t="shared" si="29"/>
        <v>-3.61</v>
      </c>
      <c r="AF25" s="7">
        <f t="shared" si="11"/>
        <v>8512.6</v>
      </c>
      <c r="AG25" s="7">
        <f>U25*AG$31</f>
        <v>-409.94</v>
      </c>
      <c r="AH25" s="7">
        <v>0</v>
      </c>
      <c r="AI25" s="124">
        <f t="shared" si="13"/>
        <v>-409.94</v>
      </c>
      <c r="AJ25" s="14">
        <f t="shared" si="14"/>
        <v>196422.12</v>
      </c>
      <c r="AK25" s="285"/>
      <c r="AL25" s="236"/>
      <c r="AM25" s="33">
        <f t="shared" si="15"/>
        <v>528764.04</v>
      </c>
      <c r="AN25" s="33">
        <f>(S25+AJ25)+((AJ25/AJ$31)*AO$49)</f>
        <v>677742.98</v>
      </c>
      <c r="AO25" s="83"/>
      <c r="AP25" s="114">
        <v>310331.06</v>
      </c>
      <c r="AQ25" s="186">
        <v>369387.93</v>
      </c>
      <c r="AR25" s="192">
        <f>G25+'11.30.19'!AR25</f>
        <v>0</v>
      </c>
      <c r="AS25" s="114">
        <f t="shared" si="23"/>
        <v>148978.94</v>
      </c>
      <c r="AT25" s="137">
        <f>K25+'11.30.19'!AT25</f>
        <v>0</v>
      </c>
      <c r="AU25" s="137">
        <f>L25+'11.30.19'!AU25</f>
        <v>8636.5400000000009</v>
      </c>
      <c r="AV25" s="84">
        <f t="shared" si="24"/>
        <v>8636.5400000000009</v>
      </c>
      <c r="AW25" s="84">
        <f>N25+'11.30.19'!AW25</f>
        <v>0</v>
      </c>
      <c r="AX25" s="84">
        <f>O25+'11.30.19'!AX25</f>
        <v>0</v>
      </c>
      <c r="AY25" s="84">
        <f>P25+'11.30.19'!AY25</f>
        <v>0</v>
      </c>
      <c r="AZ25" s="84">
        <f t="shared" si="25"/>
        <v>0</v>
      </c>
      <c r="BA25" s="224">
        <v>183722.72</v>
      </c>
      <c r="BB25" s="137">
        <f>Z25+'11.30.19'!BB25</f>
        <v>8542.8799999999992</v>
      </c>
      <c r="BC25" s="137">
        <f>AA25+'11.30.19'!BC25</f>
        <v>6902.47</v>
      </c>
      <c r="BD25" s="276">
        <f>AB25+'11.30.19'!BD25</f>
        <v>-78.61</v>
      </c>
      <c r="BE25" s="280">
        <f>AC25+'11.30.19'!BE25</f>
        <v>-219.48</v>
      </c>
      <c r="BF25" s="276">
        <f>AD25+'11.30.19'!BF25</f>
        <v>-13.3</v>
      </c>
      <c r="BG25" s="280">
        <f>AE25+'11.30.19'!BG25</f>
        <v>-24.05</v>
      </c>
      <c r="BH25" s="84">
        <f t="shared" si="26"/>
        <v>15109.91</v>
      </c>
      <c r="BI25" s="84">
        <f>AG25+'11.30.19'!BI25</f>
        <v>-2410.5100000000002</v>
      </c>
      <c r="BJ25" s="84">
        <f>AH25+'11.30.19'!BJ25</f>
        <v>0</v>
      </c>
      <c r="BK25" s="116">
        <f t="shared" si="27"/>
        <v>-2410.5100000000002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13671.96</v>
      </c>
      <c r="G26" s="9">
        <v>0</v>
      </c>
      <c r="H26" s="129">
        <f t="shared" si="0"/>
        <v>13671.96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252.54</v>
      </c>
      <c r="M26" s="9">
        <f t="shared" si="3"/>
        <v>252.54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13924.5</v>
      </c>
      <c r="S26" s="14">
        <f>(R26/(R$31-1575)*(S$31-1575))</f>
        <v>17982.009999999998</v>
      </c>
      <c r="T26" s="86">
        <v>9627.01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61.27</v>
      </c>
      <c r="Y26" s="268">
        <f t="shared" si="28"/>
        <v>47.37</v>
      </c>
      <c r="Z26" s="124">
        <f t="shared" si="9"/>
        <v>108.64</v>
      </c>
      <c r="AA26" s="268">
        <f t="shared" si="29"/>
        <v>249.32</v>
      </c>
      <c r="AB26" s="204">
        <f t="shared" si="29"/>
        <v>0</v>
      </c>
      <c r="AC26" s="268">
        <f t="shared" si="29"/>
        <v>-0.87</v>
      </c>
      <c r="AD26" s="204">
        <f t="shared" si="29"/>
        <v>-0.28000000000000003</v>
      </c>
      <c r="AE26" s="268">
        <f t="shared" si="29"/>
        <v>-0.15</v>
      </c>
      <c r="AF26" s="7">
        <f t="shared" si="11"/>
        <v>356.66</v>
      </c>
      <c r="AG26" s="7">
        <f>U26*AG$31</f>
        <v>-17.18</v>
      </c>
      <c r="AH26" s="7">
        <v>0</v>
      </c>
      <c r="AI26" s="124">
        <f t="shared" si="13"/>
        <v>-17.18</v>
      </c>
      <c r="AJ26" s="14">
        <f t="shared" si="14"/>
        <v>9966.49</v>
      </c>
      <c r="AK26" s="233"/>
      <c r="AL26" s="284"/>
      <c r="AM26" s="33">
        <f t="shared" si="15"/>
        <v>23890.99</v>
      </c>
      <c r="AN26" s="33">
        <f>(S26+AJ26)+((AJ26/AJ$31)*AO$49)</f>
        <v>30593.93</v>
      </c>
      <c r="AO26" s="83"/>
      <c r="AP26" s="114">
        <v>13002.29</v>
      </c>
      <c r="AQ26" s="186">
        <v>15476.66</v>
      </c>
      <c r="AR26" s="192">
        <f>G26+'11.30.19'!AR26</f>
        <v>0</v>
      </c>
      <c r="AS26" s="114">
        <f t="shared" si="23"/>
        <v>6702.94</v>
      </c>
      <c r="AT26" s="137">
        <f>K26+'11.30.19'!AT26</f>
        <v>0</v>
      </c>
      <c r="AU26" s="137">
        <f>L26+'11.30.19'!AU26</f>
        <v>361.86</v>
      </c>
      <c r="AV26" s="84">
        <f t="shared" si="24"/>
        <v>361.86</v>
      </c>
      <c r="AW26" s="84">
        <f>N26+'11.30.19'!AW26</f>
        <v>0</v>
      </c>
      <c r="AX26" s="84">
        <f>O26+'11.30.19'!AX26</f>
        <v>0</v>
      </c>
      <c r="AY26" s="84">
        <f>P26+'11.30.19'!AY26</f>
        <v>0</v>
      </c>
      <c r="AZ26" s="84">
        <f t="shared" si="25"/>
        <v>0</v>
      </c>
      <c r="BA26" s="224">
        <v>9815.51</v>
      </c>
      <c r="BB26" s="137">
        <f>Z26+'11.30.19'!BB26</f>
        <v>357.92</v>
      </c>
      <c r="BC26" s="137">
        <f>AA26+'11.30.19'!BC26</f>
        <v>289.20999999999998</v>
      </c>
      <c r="BD26" s="276">
        <f>AB26+'11.30.19'!BD26</f>
        <v>-3.3</v>
      </c>
      <c r="BE26" s="280">
        <f>AC26+'11.30.19'!BE26</f>
        <v>-9.19</v>
      </c>
      <c r="BF26" s="276">
        <f>AD26+'11.30.19'!BF26</f>
        <v>-0.56000000000000005</v>
      </c>
      <c r="BG26" s="280">
        <f>AE26+'11.30.19'!BG26</f>
        <v>-1</v>
      </c>
      <c r="BH26" s="84">
        <f t="shared" si="26"/>
        <v>633.08000000000004</v>
      </c>
      <c r="BI26" s="84">
        <f>AG26+'11.30.19'!BI26</f>
        <v>-100.99</v>
      </c>
      <c r="BJ26" s="84">
        <f>AH26+'11.30.19'!BJ26</f>
        <v>-381.11</v>
      </c>
      <c r="BK26" s="116">
        <f t="shared" si="27"/>
        <v>-482.1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13488.5</v>
      </c>
      <c r="G27" s="9">
        <v>0</v>
      </c>
      <c r="H27" s="129">
        <f t="shared" si="0"/>
        <v>13488.5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249.15</v>
      </c>
      <c r="M27" s="9">
        <f t="shared" si="3"/>
        <v>249.15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13737.65</v>
      </c>
      <c r="S27" s="14">
        <f>(R27/(R$31-1575)*(S$31-1575))</f>
        <v>17740.71</v>
      </c>
      <c r="T27" s="86">
        <v>7329.55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60.45</v>
      </c>
      <c r="Y27" s="268">
        <f t="shared" si="28"/>
        <v>46.74</v>
      </c>
      <c r="Z27" s="124">
        <f t="shared" si="9"/>
        <v>107.19</v>
      </c>
      <c r="AA27" s="268">
        <f t="shared" si="29"/>
        <v>245.97</v>
      </c>
      <c r="AB27" s="204">
        <f t="shared" si="29"/>
        <v>0</v>
      </c>
      <c r="AC27" s="268">
        <f t="shared" si="29"/>
        <v>-0.86</v>
      </c>
      <c r="AD27" s="204">
        <f t="shared" si="29"/>
        <v>-0.27</v>
      </c>
      <c r="AE27" s="268">
        <f t="shared" si="29"/>
        <v>-0.15</v>
      </c>
      <c r="AF27" s="7">
        <f t="shared" si="11"/>
        <v>351.88</v>
      </c>
      <c r="AG27" s="7">
        <f>U27*AG$31</f>
        <v>-16.95</v>
      </c>
      <c r="AH27" s="7">
        <v>0</v>
      </c>
      <c r="AI27" s="124">
        <f t="shared" si="13"/>
        <v>-16.95</v>
      </c>
      <c r="AJ27" s="14">
        <f t="shared" si="14"/>
        <v>7664.48</v>
      </c>
      <c r="AK27" s="233" t="s">
        <v>120</v>
      </c>
      <c r="AL27" s="236" t="s">
        <v>115</v>
      </c>
      <c r="AM27" s="33">
        <f t="shared" si="15"/>
        <v>21402.13</v>
      </c>
      <c r="AN27" s="33">
        <f>(S27+AJ27)+((AJ27/AJ$31)*AO$49)</f>
        <v>27439.59</v>
      </c>
      <c r="AO27" s="83"/>
      <c r="AP27" s="114">
        <v>12827.82</v>
      </c>
      <c r="AQ27" s="186">
        <v>15268.99</v>
      </c>
      <c r="AR27" s="192">
        <f>G27+'11.30.19'!AR27</f>
        <v>0</v>
      </c>
      <c r="AS27" s="114">
        <f t="shared" si="23"/>
        <v>6037.46</v>
      </c>
      <c r="AT27" s="137">
        <f>K27+'11.30.19'!AT27</f>
        <v>0</v>
      </c>
      <c r="AU27" s="137">
        <f>L27+'11.30.19'!AU27</f>
        <v>357</v>
      </c>
      <c r="AV27" s="84">
        <f t="shared" si="24"/>
        <v>357</v>
      </c>
      <c r="AW27" s="84">
        <f>N27+'11.30.19'!AW27</f>
        <v>0</v>
      </c>
      <c r="AX27" s="84">
        <f>O27+'11.30.19'!AX27</f>
        <v>0</v>
      </c>
      <c r="AY27" s="84">
        <f>P27+'11.30.19'!AY27</f>
        <v>0</v>
      </c>
      <c r="AZ27" s="84">
        <f t="shared" si="25"/>
        <v>0</v>
      </c>
      <c r="BA27" s="224">
        <v>7139.55</v>
      </c>
      <c r="BB27" s="137">
        <f>Z27+'11.30.19'!BB27</f>
        <v>353.14</v>
      </c>
      <c r="BC27" s="137">
        <f>AA27+'11.30.19'!BC27</f>
        <v>285.31</v>
      </c>
      <c r="BD27" s="276">
        <f>AB27+'11.30.19'!BD27</f>
        <v>-3.25</v>
      </c>
      <c r="BE27" s="280">
        <f>AC27+'11.30.19'!BE27</f>
        <v>-9.08</v>
      </c>
      <c r="BF27" s="276">
        <f>AD27+'11.30.19'!BF27</f>
        <v>-0.55000000000000004</v>
      </c>
      <c r="BG27" s="280">
        <f>AE27+'11.30.19'!BG27</f>
        <v>-1</v>
      </c>
      <c r="BH27" s="84">
        <f t="shared" si="26"/>
        <v>624.57000000000005</v>
      </c>
      <c r="BI27" s="84">
        <f>AG27+'11.30.19'!BI27</f>
        <v>-99.64</v>
      </c>
      <c r="BJ27" s="84">
        <f>AH27+'11.30.19'!BJ27</f>
        <v>0</v>
      </c>
      <c r="BK27" s="116">
        <f t="shared" si="27"/>
        <v>-99.64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G28+'11.30.19'!AR28</f>
        <v>0</v>
      </c>
      <c r="AS28" s="114">
        <f t="shared" si="23"/>
        <v>0</v>
      </c>
      <c r="AT28" s="137">
        <f>K28+'11.30.19'!AT28</f>
        <v>0</v>
      </c>
      <c r="AU28" s="137">
        <f>L28+'11.30.19'!AU28</f>
        <v>0</v>
      </c>
      <c r="AV28" s="84">
        <f t="shared" si="24"/>
        <v>0</v>
      </c>
      <c r="AW28" s="84">
        <f>N28+'11.30.19'!AW28</f>
        <v>0</v>
      </c>
      <c r="AX28" s="84">
        <f>O28+'11.30.19'!AX28</f>
        <v>0</v>
      </c>
      <c r="AY28" s="84">
        <f>P28+'11.30.19'!AY28</f>
        <v>0</v>
      </c>
      <c r="AZ28" s="84">
        <f t="shared" si="25"/>
        <v>0</v>
      </c>
      <c r="BA28" s="224">
        <v>0</v>
      </c>
      <c r="BB28" s="137">
        <f>Z28+'11.30.19'!BB28</f>
        <v>0</v>
      </c>
      <c r="BC28" s="137">
        <f>AA28+'11.30.19'!BC28</f>
        <v>0</v>
      </c>
      <c r="BD28" s="276">
        <f>AB28+'11.30.19'!BD28</f>
        <v>0</v>
      </c>
      <c r="BE28" s="280">
        <f>AC28+'11.30.19'!BE28</f>
        <v>0</v>
      </c>
      <c r="BF28" s="276">
        <f>AD28+'11.30.19'!BF28</f>
        <v>0</v>
      </c>
      <c r="BG28" s="280">
        <f>AE28+'11.30.19'!BG28</f>
        <v>0</v>
      </c>
      <c r="BH28" s="84">
        <f t="shared" si="26"/>
        <v>0</v>
      </c>
      <c r="BI28" s="84">
        <f>AG28+'11.30.19'!BI28</f>
        <v>0</v>
      </c>
      <c r="BJ28" s="84">
        <f>AH28+'11.30.19'!BJ28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3734052.52</v>
      </c>
      <c r="G31" s="48">
        <f>SUM(G12:G29)</f>
        <v>0</v>
      </c>
      <c r="H31" s="130">
        <f>SUM(H12:H29)</f>
        <v>3734052.52</v>
      </c>
      <c r="I31" s="78">
        <f>SUM(I12:I30)</f>
        <v>1</v>
      </c>
      <c r="J31" s="115"/>
      <c r="K31" s="115">
        <v>0</v>
      </c>
      <c r="L31" s="115">
        <v>68942.880000000005</v>
      </c>
      <c r="M31" s="48">
        <f>SUM(M12:M29)</f>
        <v>68942.880000000005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3802995.4</v>
      </c>
      <c r="S31" s="49">
        <f>R31+AO45</f>
        <v>4910703.72</v>
      </c>
      <c r="T31" s="50">
        <f>SUM(T12:T29)</f>
        <v>2482686.13</v>
      </c>
      <c r="U31" s="51">
        <f>SUM(U12:U30)</f>
        <v>1</v>
      </c>
      <c r="V31" s="206">
        <v>140.13999999999999</v>
      </c>
      <c r="W31" s="306">
        <v>2482545.9900000002</v>
      </c>
      <c r="X31" s="206">
        <f>3751.24+12975.63</f>
        <v>16726.87</v>
      </c>
      <c r="Y31" s="266">
        <f>5011.87+7921.06</f>
        <v>12932.93</v>
      </c>
      <c r="Z31" s="115">
        <f>SUM(Z12:Z29)</f>
        <v>29659.8</v>
      </c>
      <c r="AA31" s="272">
        <v>68064.639999999999</v>
      </c>
      <c r="AB31" s="210">
        <v>0</v>
      </c>
      <c r="AC31" s="272">
        <v>-238.12</v>
      </c>
      <c r="AD31" s="210">
        <f>-75.53</f>
        <v>-75.53</v>
      </c>
      <c r="AE31" s="272">
        <v>-41.32</v>
      </c>
      <c r="AF31" s="48">
        <f>SUM(AF12:AF29)</f>
        <v>97369.47</v>
      </c>
      <c r="AG31" s="48">
        <f>-2816.55-1872.5</f>
        <v>-4689.05</v>
      </c>
      <c r="AH31" s="48">
        <v>0</v>
      </c>
      <c r="AI31" s="115">
        <f>SUM(AI12:AI30)</f>
        <v>-4689.05</v>
      </c>
      <c r="AJ31" s="52">
        <f>SUM(AJ12:AJ30)</f>
        <v>2575366.5499999998</v>
      </c>
      <c r="AK31" s="210">
        <f>V31+X31+AB31+AD31-16791.48</f>
        <v>0</v>
      </c>
      <c r="AL31" s="305">
        <f>W31+Y31+AA31+AC31+AE31++AG31+AH31+16791.48</f>
        <v>2575366.5499999998</v>
      </c>
      <c r="AM31" s="35">
        <f>SUM(AM12:AM29)</f>
        <v>6378361.9500000002</v>
      </c>
      <c r="AN31" s="35">
        <f>4909128.72+3258951.61+1575</f>
        <v>8169655.3300000001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1791293.38</v>
      </c>
      <c r="AT31" s="115">
        <v>0</v>
      </c>
      <c r="AU31" s="115">
        <f t="shared" si="30"/>
        <v>98787.15</v>
      </c>
      <c r="AV31" s="48">
        <f t="shared" si="30"/>
        <v>98787.15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97715.94</v>
      </c>
      <c r="BC31" s="115">
        <f t="shared" si="30"/>
        <v>78952.25</v>
      </c>
      <c r="BD31" s="210">
        <f t="shared" si="30"/>
        <v>-899.19</v>
      </c>
      <c r="BE31" s="272">
        <f t="shared" si="30"/>
        <v>-2510.5300000000002</v>
      </c>
      <c r="BF31" s="210">
        <f t="shared" si="30"/>
        <v>-152.21</v>
      </c>
      <c r="BG31" s="272">
        <f t="shared" si="30"/>
        <v>-275.02999999999997</v>
      </c>
      <c r="BH31" s="48">
        <f t="shared" si="30"/>
        <v>172831.23</v>
      </c>
      <c r="BI31" s="48">
        <f t="shared" si="30"/>
        <v>-27572.06</v>
      </c>
      <c r="BJ31" s="48">
        <f t="shared" si="30"/>
        <v>-12264.83</v>
      </c>
      <c r="BK31" s="73">
        <f t="shared" si="30"/>
        <v>-39836.89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3732477.52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3801420.4</v>
      </c>
      <c r="S34" s="259">
        <f>S31+S33</f>
        <v>4909128.72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6376786.9500000002</v>
      </c>
      <c r="AN34" s="259">
        <f>AN31+AN33</f>
        <v>8168080.3300000001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'11.30.19'!R31</f>
        <v>3734052.52</v>
      </c>
      <c r="G38" s="121">
        <f>SUM(G12:G29)</f>
        <v>0</v>
      </c>
      <c r="H38" s="121">
        <f>F31+G31+P31</f>
        <v>3734052.52</v>
      </c>
      <c r="I38" s="144">
        <v>1</v>
      </c>
      <c r="J38" s="121"/>
      <c r="K38" s="121">
        <f>SUM(K12:K29)</f>
        <v>0</v>
      </c>
      <c r="L38" s="121">
        <f>SUM(L12:L29)</f>
        <v>68942.880000000005</v>
      </c>
      <c r="M38" s="121">
        <f>K31+L31</f>
        <v>68942.880000000005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3802995.4</v>
      </c>
      <c r="S38" s="121">
        <f>SUM(S12:S29)</f>
        <v>4910703.72</v>
      </c>
      <c r="T38" s="121">
        <f>'11.30.19'!AJ31</f>
        <v>2482686.13</v>
      </c>
      <c r="U38" s="144">
        <v>1</v>
      </c>
      <c r="V38" s="229"/>
      <c r="W38" s="198"/>
      <c r="X38" s="121">
        <f t="shared" ref="X38:AE38" si="31">SUM(X12:X29)</f>
        <v>16726.87</v>
      </c>
      <c r="Y38" s="121">
        <f t="shared" si="31"/>
        <v>12932.93</v>
      </c>
      <c r="Z38" s="121">
        <f t="shared" si="31"/>
        <v>29659.8</v>
      </c>
      <c r="AA38" s="121">
        <f t="shared" si="31"/>
        <v>68064.639999999999</v>
      </c>
      <c r="AB38" s="121">
        <f t="shared" si="31"/>
        <v>0</v>
      </c>
      <c r="AC38" s="121">
        <f t="shared" si="31"/>
        <v>-238.12</v>
      </c>
      <c r="AD38" s="121">
        <f t="shared" si="31"/>
        <v>-75.53</v>
      </c>
      <c r="AE38" s="121">
        <f t="shared" si="31"/>
        <v>-41.32</v>
      </c>
      <c r="AF38" s="121">
        <f>SUM(Z31:AE31)</f>
        <v>97369.47</v>
      </c>
      <c r="AG38" s="121">
        <f>SUM(AG12:AG29)</f>
        <v>-4689.05</v>
      </c>
      <c r="AH38" s="121">
        <f>SUM(AH12:AH29)</f>
        <v>0</v>
      </c>
      <c r="AI38" s="121">
        <f>AG38+AH38</f>
        <v>-4689.05</v>
      </c>
      <c r="AJ38" s="121">
        <f>T31+AF31+AI31</f>
        <v>2575366.5499999998</v>
      </c>
      <c r="AK38" s="149"/>
      <c r="AL38" s="121"/>
      <c r="AM38" s="121">
        <f>R31+AJ31</f>
        <v>6378361.9500000002</v>
      </c>
      <c r="AN38" s="121">
        <f>SUM(AN12:AN29)</f>
        <v>8169655.3300000001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68942.880000000005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97369.47</v>
      </c>
      <c r="BI38" s="146">
        <f>AG31</f>
        <v>-4689.05</v>
      </c>
      <c r="BJ38" s="146">
        <f>AH31</f>
        <v>0</v>
      </c>
      <c r="BK38" s="146">
        <f>AI31</f>
        <v>-4689.05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29844.27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75461.759999999995</v>
      </c>
      <c r="BI40" s="149">
        <f t="shared" si="33"/>
        <v>-22883.01</v>
      </c>
      <c r="BJ40" s="149">
        <f t="shared" si="33"/>
        <v>-12264.83</v>
      </c>
      <c r="BK40" s="149">
        <f t="shared" si="33"/>
        <v>-35147.839999999997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'11.30.19'!AR31</f>
        <v>0</v>
      </c>
      <c r="AS41" s="141"/>
      <c r="AT41" s="141"/>
      <c r="AU41" s="141"/>
      <c r="AV41" s="141">
        <f>'11.30.19'!AV31</f>
        <v>29844.27</v>
      </c>
      <c r="AW41" s="141">
        <f>'11.30.19'!AW31</f>
        <v>0</v>
      </c>
      <c r="AX41" s="141">
        <f>'11.30.19'!AX31</f>
        <v>0</v>
      </c>
      <c r="AY41" s="141">
        <f>'11.30.19'!AY31</f>
        <v>0</v>
      </c>
      <c r="AZ41" s="141">
        <f>'11.30.19'!AZ31</f>
        <v>0</v>
      </c>
      <c r="BA41" s="181"/>
      <c r="BB41" s="181"/>
      <c r="BC41" s="181"/>
      <c r="BD41" s="181"/>
      <c r="BE41" s="181"/>
      <c r="BF41" s="181"/>
      <c r="BG41" s="181"/>
      <c r="BH41" s="141">
        <f>'11.30.19'!BH31</f>
        <v>75461.759999999995</v>
      </c>
      <c r="BI41" s="141">
        <f>'11.30.19'!BI31</f>
        <v>-22883.01</v>
      </c>
      <c r="BJ41" s="141">
        <f>'11.30.19'!BJ31</f>
        <v>-12264.83</v>
      </c>
      <c r="BK41" s="141">
        <f>'11.30.19'!BK31</f>
        <v>-35147.839999999997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>AG31-AG38</f>
        <v>0</v>
      </c>
      <c r="AH42" s="298">
        <f>AH31-AH38</f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3801420.4</v>
      </c>
      <c r="AM45" s="289"/>
      <c r="AN45" s="289">
        <v>4909128.72</v>
      </c>
      <c r="AO45" s="307">
        <f>AN45-AL45</f>
        <v>1107708.32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3801420.4</v>
      </c>
      <c r="AN46" s="289">
        <v>0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2416286.89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159079.66</v>
      </c>
      <c r="AM49" s="290">
        <f>AL48+AL49</f>
        <v>2575366.5499999998</v>
      </c>
      <c r="AN49" s="290">
        <v>3258951.61</v>
      </c>
      <c r="AO49" s="307">
        <f>AN49-AM49</f>
        <v>683585.06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6376786.9500000002</v>
      </c>
      <c r="AN51" s="296">
        <f>AN45+AN46+AN49</f>
        <v>8168080.3300000001</v>
      </c>
      <c r="AO51" s="308">
        <f>AO45+AO46+AO49</f>
        <v>1791293.38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169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66875.11</v>
      </c>
      <c r="G12" s="9">
        <v>0</v>
      </c>
      <c r="H12" s="129">
        <f t="shared" ref="H12:H28" si="0">F12+G12+P12</f>
        <v>66875.11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613.67999999999995</v>
      </c>
      <c r="M12" s="9">
        <f t="shared" ref="M12:M28" si="3">K12+L12</f>
        <v>613.67999999999995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67488.789999999994</v>
      </c>
      <c r="S12" s="14">
        <f t="shared" ref="S12:S23" si="7">(R12/(R$31-1575)*(S$31-1575))</f>
        <v>85608.51</v>
      </c>
      <c r="T12" s="86">
        <v>23389.93</v>
      </c>
      <c r="U12" s="79">
        <f t="shared" ref="U12:U28" si="8">I12</f>
        <v>1.7592139999999999E-2</v>
      </c>
      <c r="V12" s="203"/>
      <c r="W12" s="264"/>
      <c r="X12" s="204">
        <f>$U12*X$31</f>
        <v>127.4</v>
      </c>
      <c r="Y12" s="268">
        <f>$U12*Y$31</f>
        <v>146.75</v>
      </c>
      <c r="Z12" s="124">
        <f t="shared" ref="Z12:Z28" si="9">X12+Y12</f>
        <v>274.14999999999998</v>
      </c>
      <c r="AA12" s="268">
        <f t="shared" ref="AA12:AE23" si="10">$U12*AA$31</f>
        <v>959.56</v>
      </c>
      <c r="AB12" s="204">
        <f t="shared" si="10"/>
        <v>0</v>
      </c>
      <c r="AC12" s="268">
        <f t="shared" si="10"/>
        <v>-27.6</v>
      </c>
      <c r="AD12" s="204">
        <f t="shared" si="10"/>
        <v>0</v>
      </c>
      <c r="AE12" s="268">
        <f t="shared" si="10"/>
        <v>-1.92</v>
      </c>
      <c r="AF12" s="7">
        <f t="shared" ref="AF12:AF28" si="11">SUM(Z12:AE12)</f>
        <v>1204.19</v>
      </c>
      <c r="AG12" s="7">
        <f t="shared" ref="AG12:AG23" si="12">U12*AG$31</f>
        <v>-86.39</v>
      </c>
      <c r="AH12" s="7">
        <v>0</v>
      </c>
      <c r="AI12" s="124">
        <f t="shared" ref="AI12:AI28" si="13">AG12+AH12</f>
        <v>-86.39</v>
      </c>
      <c r="AJ12" s="14">
        <f t="shared" ref="AJ12:AJ28" si="14">T12+AF12+AI12</f>
        <v>24507.73</v>
      </c>
      <c r="AK12" s="233"/>
      <c r="AL12" s="236"/>
      <c r="AM12" s="33">
        <f t="shared" ref="AM12:AM28" si="15">R12+AJ12</f>
        <v>91996.52</v>
      </c>
      <c r="AN12" s="33">
        <f t="shared" ref="AN12:AN23" si="16">(S12+AJ12)+((AJ12/AJ$31)*AO$49)</f>
        <v>115646.33</v>
      </c>
      <c r="AO12" s="83"/>
      <c r="AP12" s="114">
        <v>62445.99</v>
      </c>
      <c r="AQ12" s="186">
        <v>74329.64</v>
      </c>
      <c r="AR12" s="192">
        <f>G12+'12.31.19'!AR12</f>
        <v>0</v>
      </c>
      <c r="AS12" s="114">
        <f t="shared" ref="AS12:AS17" si="17">AN12-AM12</f>
        <v>23649.81</v>
      </c>
      <c r="AT12" s="137">
        <f>K12+'12.31.19'!AT12</f>
        <v>0</v>
      </c>
      <c r="AU12" s="137">
        <f>L12+'12.31.19'!AU12</f>
        <v>2351.56</v>
      </c>
      <c r="AV12" s="84">
        <f t="shared" ref="AV12:AV17" si="18">AT12+AU12</f>
        <v>2351.56</v>
      </c>
      <c r="AW12" s="84">
        <f>N12+'12.31.19'!AW12</f>
        <v>0</v>
      </c>
      <c r="AX12" s="84">
        <f>O12+'12.31.19'!AX12</f>
        <v>0</v>
      </c>
      <c r="AY12" s="84">
        <f>P12+'12.31.19'!AY12</f>
        <v>0</v>
      </c>
      <c r="AZ12" s="84">
        <f t="shared" ref="AZ12:AZ17" si="19">AX12+AY12</f>
        <v>0</v>
      </c>
      <c r="BA12" s="224">
        <v>27434.37</v>
      </c>
      <c r="BB12" s="137">
        <f>Z12+'12.31.19'!BB12</f>
        <v>1993.18</v>
      </c>
      <c r="BC12" s="137">
        <f>AA12+'12.31.19'!BC12</f>
        <v>2348.5</v>
      </c>
      <c r="BD12" s="276">
        <f>AB12+'12.31.19'!BD12</f>
        <v>-15.82</v>
      </c>
      <c r="BE12" s="280">
        <f>AC12+'12.31.19'!BE12</f>
        <v>-71.77</v>
      </c>
      <c r="BF12" s="276">
        <f>AD12+'12.31.19'!BF12</f>
        <v>-2.68</v>
      </c>
      <c r="BG12" s="280">
        <f>AE12+'12.31.19'!BG12</f>
        <v>-6.77</v>
      </c>
      <c r="BH12" s="84">
        <f t="shared" ref="BH12:BH17" si="20">SUM(BB12:BG12)</f>
        <v>4244.6400000000003</v>
      </c>
      <c r="BI12" s="84">
        <f>AG12+'12.31.19'!BI12</f>
        <v>-571.44000000000005</v>
      </c>
      <c r="BJ12" s="84">
        <f>AH12+'12.31.19'!BJ12</f>
        <v>-6599.84</v>
      </c>
      <c r="BK12" s="116">
        <f t="shared" ref="BK12:BK17" si="21">BI12+BJ12</f>
        <v>-7171.28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5284.59</v>
      </c>
      <c r="G13" s="9">
        <v>0</v>
      </c>
      <c r="H13" s="129">
        <f t="shared" si="0"/>
        <v>5284.59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48.49</v>
      </c>
      <c r="M13" s="9">
        <f t="shared" si="3"/>
        <v>48.49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5333.08</v>
      </c>
      <c r="S13" s="14">
        <f t="shared" si="7"/>
        <v>6764.93</v>
      </c>
      <c r="T13" s="86">
        <v>3928.6</v>
      </c>
      <c r="U13" s="79">
        <f t="shared" si="8"/>
        <v>1.3901600000000001E-3</v>
      </c>
      <c r="V13" s="203"/>
      <c r="W13" s="264"/>
      <c r="X13" s="204">
        <f>$U13*X$31</f>
        <v>10.07</v>
      </c>
      <c r="Y13" s="268">
        <f>$U13*Y$31</f>
        <v>11.6</v>
      </c>
      <c r="Z13" s="124">
        <f t="shared" si="9"/>
        <v>21.67</v>
      </c>
      <c r="AA13" s="268">
        <f t="shared" si="10"/>
        <v>75.83</v>
      </c>
      <c r="AB13" s="204">
        <f t="shared" si="10"/>
        <v>0</v>
      </c>
      <c r="AC13" s="268">
        <f t="shared" si="10"/>
        <v>-2.1800000000000002</v>
      </c>
      <c r="AD13" s="204">
        <f t="shared" si="10"/>
        <v>0</v>
      </c>
      <c r="AE13" s="268">
        <f t="shared" si="10"/>
        <v>-0.15</v>
      </c>
      <c r="AF13" s="7">
        <f t="shared" si="11"/>
        <v>95.17</v>
      </c>
      <c r="AG13" s="7">
        <f t="shared" si="12"/>
        <v>-6.83</v>
      </c>
      <c r="AH13" s="7">
        <v>0</v>
      </c>
      <c r="AI13" s="124">
        <f t="shared" si="13"/>
        <v>-6.83</v>
      </c>
      <c r="AJ13" s="14">
        <f t="shared" si="14"/>
        <v>4016.94</v>
      </c>
      <c r="AK13" s="233"/>
      <c r="AL13" s="236"/>
      <c r="AM13" s="33">
        <f t="shared" si="15"/>
        <v>9350.02</v>
      </c>
      <c r="AN13" s="33">
        <f t="shared" si="16"/>
        <v>11688.28</v>
      </c>
      <c r="AO13" s="83"/>
      <c r="AP13" s="114">
        <v>4934.59</v>
      </c>
      <c r="AQ13" s="186">
        <v>5873.66</v>
      </c>
      <c r="AR13" s="192">
        <f>G13+'12.31.19'!AR13</f>
        <v>0</v>
      </c>
      <c r="AS13" s="114">
        <f t="shared" si="17"/>
        <v>2338.2600000000002</v>
      </c>
      <c r="AT13" s="137">
        <f>K13+'12.31.19'!AT13</f>
        <v>0</v>
      </c>
      <c r="AU13" s="137">
        <f>L13+'12.31.19'!AU13</f>
        <v>185.82</v>
      </c>
      <c r="AV13" s="84">
        <f t="shared" si="18"/>
        <v>185.82</v>
      </c>
      <c r="AW13" s="84">
        <f>N13+'12.31.19'!AW13</f>
        <v>0</v>
      </c>
      <c r="AX13" s="84">
        <f>O13+'12.31.19'!AX13</f>
        <v>0</v>
      </c>
      <c r="AY13" s="84">
        <f>P13+'12.31.19'!AY13</f>
        <v>0</v>
      </c>
      <c r="AZ13" s="84">
        <f t="shared" si="19"/>
        <v>0</v>
      </c>
      <c r="BA13" s="224">
        <v>3726.67</v>
      </c>
      <c r="BB13" s="137">
        <f>Z13+'12.31.19'!BB13</f>
        <v>157.5</v>
      </c>
      <c r="BC13" s="137">
        <f>AA13+'12.31.19'!BC13</f>
        <v>185.59</v>
      </c>
      <c r="BD13" s="276">
        <f>AB13+'12.31.19'!BD13</f>
        <v>-1.25</v>
      </c>
      <c r="BE13" s="280">
        <f>AC13+'12.31.19'!BE13</f>
        <v>-5.67</v>
      </c>
      <c r="BF13" s="276">
        <f>AD13+'12.31.19'!BF13</f>
        <v>-0.21</v>
      </c>
      <c r="BG13" s="280">
        <f>AE13+'12.31.19'!BG13</f>
        <v>-0.53</v>
      </c>
      <c r="BH13" s="84">
        <f t="shared" si="20"/>
        <v>335.43</v>
      </c>
      <c r="BI13" s="84">
        <f>AG13+'12.31.19'!BI13</f>
        <v>-45.16</v>
      </c>
      <c r="BJ13" s="84">
        <f>AH13+'12.31.19'!BJ13</f>
        <v>0</v>
      </c>
      <c r="BK13" s="116">
        <f t="shared" si="21"/>
        <v>-45.16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388890.67</v>
      </c>
      <c r="G14" s="9">
        <v>0</v>
      </c>
      <c r="H14" s="129">
        <f t="shared" si="0"/>
        <v>388890.67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3568.69</v>
      </c>
      <c r="M14" s="9">
        <f t="shared" si="3"/>
        <v>3568.69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392459.36</v>
      </c>
      <c r="S14" s="14">
        <f t="shared" si="7"/>
        <v>497828.76</v>
      </c>
      <c r="T14" s="86">
        <v>336500.05</v>
      </c>
      <c r="U14" s="79">
        <f t="shared" si="8"/>
        <v>0.10230141</v>
      </c>
      <c r="V14" s="304"/>
      <c r="W14" s="304"/>
      <c r="X14" s="204">
        <f>($U14*X$31)</f>
        <v>740.86</v>
      </c>
      <c r="Y14" s="268">
        <f>($U14*Y$31)</f>
        <v>853.35</v>
      </c>
      <c r="Z14" s="124">
        <f t="shared" si="9"/>
        <v>1594.21</v>
      </c>
      <c r="AA14" s="268">
        <f t="shared" si="10"/>
        <v>5580.02</v>
      </c>
      <c r="AB14" s="204">
        <f t="shared" si="10"/>
        <v>0</v>
      </c>
      <c r="AC14" s="268">
        <f t="shared" si="10"/>
        <v>-160.52000000000001</v>
      </c>
      <c r="AD14" s="204">
        <f t="shared" si="10"/>
        <v>0</v>
      </c>
      <c r="AE14" s="268">
        <f t="shared" si="10"/>
        <v>-11.19</v>
      </c>
      <c r="AF14" s="7">
        <f t="shared" si="11"/>
        <v>7002.52</v>
      </c>
      <c r="AG14" s="7">
        <f t="shared" si="12"/>
        <v>-502.35</v>
      </c>
      <c r="AH14" s="7">
        <v>0</v>
      </c>
      <c r="AI14" s="124">
        <f t="shared" si="13"/>
        <v>-502.35</v>
      </c>
      <c r="AJ14" s="14">
        <f t="shared" si="14"/>
        <v>343000.22</v>
      </c>
      <c r="AK14" s="233"/>
      <c r="AL14" s="236"/>
      <c r="AM14" s="33">
        <f t="shared" si="15"/>
        <v>735459.58</v>
      </c>
      <c r="AN14" s="33">
        <f t="shared" si="16"/>
        <v>918225.83</v>
      </c>
      <c r="AO14" s="83"/>
      <c r="AP14" s="114">
        <v>363134.62</v>
      </c>
      <c r="AQ14" s="186">
        <v>432240.15</v>
      </c>
      <c r="AR14" s="192">
        <f>G14+'12.31.19'!AR14</f>
        <v>0</v>
      </c>
      <c r="AS14" s="114">
        <f t="shared" si="17"/>
        <v>182766.25</v>
      </c>
      <c r="AT14" s="137">
        <f>K14+'12.31.19'!AT14</f>
        <v>0</v>
      </c>
      <c r="AU14" s="137">
        <f>L14+'12.31.19'!AU14</f>
        <v>13674.74</v>
      </c>
      <c r="AV14" s="84">
        <f t="shared" si="18"/>
        <v>13674.74</v>
      </c>
      <c r="AW14" s="84">
        <f>N14+'12.31.19'!AW14</f>
        <v>0</v>
      </c>
      <c r="AX14" s="84">
        <f>O14+'12.31.19'!AX14</f>
        <v>0</v>
      </c>
      <c r="AY14" s="84">
        <f>P14+'12.31.19'!AY14</f>
        <v>0</v>
      </c>
      <c r="AZ14" s="84">
        <f t="shared" si="19"/>
        <v>0</v>
      </c>
      <c r="BA14" s="224">
        <v>321639.82</v>
      </c>
      <c r="BB14" s="137">
        <f>Z14+'12.31.19'!BB14</f>
        <v>11590.7</v>
      </c>
      <c r="BC14" s="137">
        <f>AA14+'12.31.19'!BC14</f>
        <v>13656.95</v>
      </c>
      <c r="BD14" s="276">
        <f>AB14+'12.31.19'!BD14</f>
        <v>-91.98</v>
      </c>
      <c r="BE14" s="280">
        <f>AC14+'12.31.19'!BE14</f>
        <v>-417.35</v>
      </c>
      <c r="BF14" s="276">
        <f>AD14+'12.31.19'!BF14</f>
        <v>-15.57</v>
      </c>
      <c r="BG14" s="280">
        <f>AE14+'12.31.19'!BG14</f>
        <v>-39.33</v>
      </c>
      <c r="BH14" s="84">
        <f t="shared" si="20"/>
        <v>24683.42</v>
      </c>
      <c r="BI14" s="84">
        <f>AG14+'12.31.19'!BI14</f>
        <v>-3323.02</v>
      </c>
      <c r="BJ14" s="84">
        <f>AH14+'12.31.19'!BJ14</f>
        <v>0</v>
      </c>
      <c r="BK14" s="116">
        <f t="shared" si="21"/>
        <v>-3323.02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168426.34</v>
      </c>
      <c r="G15" s="9">
        <v>0</v>
      </c>
      <c r="H15" s="129">
        <f t="shared" si="0"/>
        <v>168426.34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1545.58</v>
      </c>
      <c r="M15" s="9">
        <f t="shared" si="3"/>
        <v>1545.58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169971.92</v>
      </c>
      <c r="S15" s="14">
        <f t="shared" si="7"/>
        <v>215606.81</v>
      </c>
      <c r="T15" s="86">
        <v>179159.51</v>
      </c>
      <c r="U15" s="79">
        <f t="shared" si="8"/>
        <v>4.4306159999999997E-2</v>
      </c>
      <c r="V15" s="203"/>
      <c r="W15" s="264"/>
      <c r="X15" s="204">
        <f t="shared" ref="X15:Y23" si="22">$U15*X$31</f>
        <v>320.86</v>
      </c>
      <c r="Y15" s="268">
        <f t="shared" si="22"/>
        <v>369.58</v>
      </c>
      <c r="Z15" s="124">
        <f t="shared" si="9"/>
        <v>690.44</v>
      </c>
      <c r="AA15" s="268">
        <f t="shared" si="10"/>
        <v>2416.6799999999998</v>
      </c>
      <c r="AB15" s="204">
        <f t="shared" si="10"/>
        <v>0</v>
      </c>
      <c r="AC15" s="268">
        <f t="shared" si="10"/>
        <v>-69.52</v>
      </c>
      <c r="AD15" s="204">
        <f t="shared" si="10"/>
        <v>0</v>
      </c>
      <c r="AE15" s="268">
        <f t="shared" si="10"/>
        <v>-4.84</v>
      </c>
      <c r="AF15" s="7">
        <f t="shared" si="11"/>
        <v>3032.76</v>
      </c>
      <c r="AG15" s="7">
        <f t="shared" si="12"/>
        <v>-217.57</v>
      </c>
      <c r="AH15" s="7">
        <v>0</v>
      </c>
      <c r="AI15" s="124">
        <f t="shared" si="13"/>
        <v>-217.57</v>
      </c>
      <c r="AJ15" s="14">
        <f t="shared" si="14"/>
        <v>181974.7</v>
      </c>
      <c r="AK15" s="233"/>
      <c r="AL15" s="236"/>
      <c r="AM15" s="33">
        <f t="shared" si="15"/>
        <v>351946.62</v>
      </c>
      <c r="AN15" s="33">
        <f t="shared" si="16"/>
        <v>438643.49</v>
      </c>
      <c r="AO15" s="83"/>
      <c r="AP15" s="114">
        <v>157271.56</v>
      </c>
      <c r="AQ15" s="186">
        <v>187200.78</v>
      </c>
      <c r="AR15" s="192">
        <f>G15+'12.31.19'!AR15</f>
        <v>0</v>
      </c>
      <c r="AS15" s="114">
        <f t="shared" si="17"/>
        <v>86696.87</v>
      </c>
      <c r="AT15" s="137">
        <f>K15+'12.31.19'!AT15</f>
        <v>0</v>
      </c>
      <c r="AU15" s="137">
        <f>L15+'12.31.19'!AU15</f>
        <v>5922.45</v>
      </c>
      <c r="AV15" s="84">
        <f t="shared" si="18"/>
        <v>5922.45</v>
      </c>
      <c r="AW15" s="84">
        <f>N15+'12.31.19'!AW15</f>
        <v>0</v>
      </c>
      <c r="AX15" s="84">
        <f>O15+'12.31.19'!AX15</f>
        <v>0</v>
      </c>
      <c r="AY15" s="84">
        <f>P15+'12.31.19'!AY15</f>
        <v>0</v>
      </c>
      <c r="AZ15" s="84">
        <f t="shared" si="19"/>
        <v>0</v>
      </c>
      <c r="BA15" s="224">
        <v>172723.67</v>
      </c>
      <c r="BB15" s="137">
        <f>Z15+'12.31.19'!BB15</f>
        <v>5019.84</v>
      </c>
      <c r="BC15" s="137">
        <f>AA15+'12.31.19'!BC15</f>
        <v>5914.75</v>
      </c>
      <c r="BD15" s="276">
        <f>AB15+'12.31.19'!BD15</f>
        <v>-39.840000000000003</v>
      </c>
      <c r="BE15" s="280">
        <f>AC15+'12.31.19'!BE15</f>
        <v>-180.76</v>
      </c>
      <c r="BF15" s="276">
        <f>AD15+'12.31.19'!BF15</f>
        <v>-6.75</v>
      </c>
      <c r="BG15" s="280">
        <f>AE15+'12.31.19'!BG15</f>
        <v>-17.03</v>
      </c>
      <c r="BH15" s="84">
        <f t="shared" si="20"/>
        <v>10690.21</v>
      </c>
      <c r="BI15" s="84">
        <f>AG15+'12.31.19'!BI15</f>
        <v>-1439.18</v>
      </c>
      <c r="BJ15" s="84">
        <f>AH15+'12.31.19'!BJ15</f>
        <v>0</v>
      </c>
      <c r="BK15" s="116">
        <f t="shared" si="21"/>
        <v>-1439.18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10374.48</v>
      </c>
      <c r="G16" s="9">
        <v>0</v>
      </c>
      <c r="H16" s="129">
        <f t="shared" si="0"/>
        <v>10374.48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95.2</v>
      </c>
      <c r="M16" s="9">
        <f t="shared" si="3"/>
        <v>95.2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10469.68</v>
      </c>
      <c r="S16" s="14">
        <f t="shared" si="7"/>
        <v>13280.63</v>
      </c>
      <c r="T16" s="86">
        <v>7727.96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19.760000000000002</v>
      </c>
      <c r="Y16" s="268">
        <f t="shared" si="22"/>
        <v>22.77</v>
      </c>
      <c r="Z16" s="124">
        <f t="shared" si="9"/>
        <v>42.53</v>
      </c>
      <c r="AA16" s="268">
        <f t="shared" si="10"/>
        <v>148.86000000000001</v>
      </c>
      <c r="AB16" s="204">
        <f t="shared" si="10"/>
        <v>0</v>
      </c>
      <c r="AC16" s="268">
        <f t="shared" si="10"/>
        <v>-4.28</v>
      </c>
      <c r="AD16" s="204">
        <f t="shared" si="10"/>
        <v>0</v>
      </c>
      <c r="AE16" s="268">
        <f t="shared" si="10"/>
        <v>-0.3</v>
      </c>
      <c r="AF16" s="7">
        <f t="shared" si="11"/>
        <v>186.81</v>
      </c>
      <c r="AG16" s="7">
        <f t="shared" si="12"/>
        <v>-13.4</v>
      </c>
      <c r="AH16" s="7">
        <v>0</v>
      </c>
      <c r="AI16" s="124">
        <f t="shared" si="13"/>
        <v>-13.4</v>
      </c>
      <c r="AJ16" s="14">
        <f t="shared" si="14"/>
        <v>7901.37</v>
      </c>
      <c r="AK16" s="233" t="s">
        <v>118</v>
      </c>
      <c r="AL16" s="236" t="s">
        <v>114</v>
      </c>
      <c r="AM16" s="33">
        <f t="shared" si="15"/>
        <v>18371.05</v>
      </c>
      <c r="AN16" s="33">
        <f t="shared" si="16"/>
        <v>22964.92</v>
      </c>
      <c r="AO16" s="83"/>
      <c r="AP16" s="114">
        <v>9687.4</v>
      </c>
      <c r="AQ16" s="186">
        <v>11530.94</v>
      </c>
      <c r="AR16" s="192">
        <f>G16+'12.31.19'!AR16</f>
        <v>0</v>
      </c>
      <c r="AS16" s="114">
        <f t="shared" si="17"/>
        <v>4593.87</v>
      </c>
      <c r="AT16" s="137">
        <f>K16+'12.31.19'!AT16</f>
        <v>0</v>
      </c>
      <c r="AU16" s="137">
        <f>L16+'12.31.19'!AU16</f>
        <v>364.79</v>
      </c>
      <c r="AV16" s="84">
        <f t="shared" si="18"/>
        <v>364.79</v>
      </c>
      <c r="AW16" s="84">
        <f>N16+'12.31.19'!AW16</f>
        <v>0</v>
      </c>
      <c r="AX16" s="84">
        <f>O16+'12.31.19'!AX16</f>
        <v>0</v>
      </c>
      <c r="AY16" s="84">
        <f>P16+'12.31.19'!AY16</f>
        <v>0</v>
      </c>
      <c r="AZ16" s="84">
        <f t="shared" si="19"/>
        <v>0</v>
      </c>
      <c r="BA16" s="224">
        <v>7331.55</v>
      </c>
      <c r="BB16" s="137">
        <f>Z16+'12.31.19'!BB16</f>
        <v>309.20999999999998</v>
      </c>
      <c r="BC16" s="137">
        <f>AA16+'12.31.19'!BC16</f>
        <v>364.33</v>
      </c>
      <c r="BD16" s="276">
        <f>AB16+'12.31.19'!BD16</f>
        <v>-2.46</v>
      </c>
      <c r="BE16" s="280">
        <f>AC16+'12.31.19'!BE16</f>
        <v>-11.13</v>
      </c>
      <c r="BF16" s="276">
        <f>AD16+'12.31.19'!BF16</f>
        <v>-0.42</v>
      </c>
      <c r="BG16" s="280">
        <f>AE16+'12.31.19'!BG16</f>
        <v>-1.05</v>
      </c>
      <c r="BH16" s="84">
        <f t="shared" si="20"/>
        <v>658.48</v>
      </c>
      <c r="BI16" s="84">
        <f>AG16+'12.31.19'!BI16</f>
        <v>-88.66</v>
      </c>
      <c r="BJ16" s="84">
        <f>AH16+'12.31.19'!BJ16</f>
        <v>0</v>
      </c>
      <c r="BK16" s="116">
        <f t="shared" si="21"/>
        <v>-88.66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904.09</v>
      </c>
      <c r="G17" s="9">
        <v>0</v>
      </c>
      <c r="H17" s="129">
        <f t="shared" si="0"/>
        <v>904.09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8.3000000000000007</v>
      </c>
      <c r="M17" s="9">
        <f t="shared" si="3"/>
        <v>8.3000000000000007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912.39</v>
      </c>
      <c r="S17" s="14">
        <f t="shared" si="7"/>
        <v>1157.3499999999999</v>
      </c>
      <c r="T17" s="86">
        <v>684.79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1.72</v>
      </c>
      <c r="Y17" s="268">
        <f t="shared" si="22"/>
        <v>1.98</v>
      </c>
      <c r="Z17" s="124">
        <f t="shared" si="9"/>
        <v>3.7</v>
      </c>
      <c r="AA17" s="268">
        <f t="shared" si="10"/>
        <v>12.97</v>
      </c>
      <c r="AB17" s="204">
        <f t="shared" si="10"/>
        <v>0</v>
      </c>
      <c r="AC17" s="268">
        <f t="shared" si="10"/>
        <v>-0.37</v>
      </c>
      <c r="AD17" s="204">
        <f t="shared" si="10"/>
        <v>0</v>
      </c>
      <c r="AE17" s="268">
        <f t="shared" si="10"/>
        <v>-0.03</v>
      </c>
      <c r="AF17" s="7">
        <f t="shared" si="11"/>
        <v>16.27</v>
      </c>
      <c r="AG17" s="7">
        <f t="shared" si="12"/>
        <v>-1.17</v>
      </c>
      <c r="AH17" s="7">
        <v>0</v>
      </c>
      <c r="AI17" s="124">
        <f t="shared" si="13"/>
        <v>-1.17</v>
      </c>
      <c r="AJ17" s="14">
        <f t="shared" si="14"/>
        <v>699.89</v>
      </c>
      <c r="AK17" s="233" t="s">
        <v>129</v>
      </c>
      <c r="AL17" s="282" t="s">
        <v>128</v>
      </c>
      <c r="AM17" s="33">
        <f t="shared" si="15"/>
        <v>1612.28</v>
      </c>
      <c r="AN17" s="33">
        <f t="shared" si="16"/>
        <v>2015.17</v>
      </c>
      <c r="AO17" s="83"/>
      <c r="AP17" s="114">
        <v>844.21</v>
      </c>
      <c r="AQ17" s="186">
        <v>1004.87</v>
      </c>
      <c r="AR17" s="192">
        <f>G17+'12.31.19'!AR17</f>
        <v>0</v>
      </c>
      <c r="AS17" s="114">
        <f t="shared" si="17"/>
        <v>402.89</v>
      </c>
      <c r="AT17" s="137">
        <f>K17+'12.31.19'!AT17</f>
        <v>0</v>
      </c>
      <c r="AU17" s="137">
        <f>L17+'12.31.19'!AU17</f>
        <v>31.8</v>
      </c>
      <c r="AV17" s="84">
        <f t="shared" si="18"/>
        <v>31.8</v>
      </c>
      <c r="AW17" s="84">
        <f>N17+'12.31.19'!AW17</f>
        <v>0</v>
      </c>
      <c r="AX17" s="84">
        <f>O17+'12.31.19'!AX17</f>
        <v>0</v>
      </c>
      <c r="AY17" s="84">
        <f>P17+'12.31.19'!AY17</f>
        <v>0</v>
      </c>
      <c r="AZ17" s="84">
        <f t="shared" si="19"/>
        <v>0</v>
      </c>
      <c r="BA17" s="224">
        <v>650.23</v>
      </c>
      <c r="BB17" s="137">
        <f>Z17+'12.31.19'!BB17</f>
        <v>26.95</v>
      </c>
      <c r="BC17" s="137">
        <f>AA17+'12.31.19'!BC17</f>
        <v>31.75</v>
      </c>
      <c r="BD17" s="276">
        <f>AB17+'12.31.19'!BD17</f>
        <v>-0.21</v>
      </c>
      <c r="BE17" s="280">
        <f>AC17+'12.31.19'!BE17</f>
        <v>-0.97</v>
      </c>
      <c r="BF17" s="276">
        <f>AD17+'12.31.19'!BF17</f>
        <v>-0.04</v>
      </c>
      <c r="BG17" s="280">
        <f>AE17+'12.31.19'!BG17</f>
        <v>-0.09</v>
      </c>
      <c r="BH17" s="84">
        <f t="shared" si="20"/>
        <v>57.39</v>
      </c>
      <c r="BI17" s="84">
        <f>AG17+'12.31.19'!BI17</f>
        <v>-7.73</v>
      </c>
      <c r="BJ17" s="84">
        <f>AH17+'12.31.19'!BJ17</f>
        <v>0</v>
      </c>
      <c r="BK17" s="116">
        <f t="shared" si="21"/>
        <v>-7.73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28498</v>
      </c>
      <c r="G18" s="9">
        <v>0</v>
      </c>
      <c r="H18" s="129">
        <f t="shared" si="0"/>
        <v>28498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261.51</v>
      </c>
      <c r="M18" s="9">
        <f t="shared" si="3"/>
        <v>261.51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28759.51</v>
      </c>
      <c r="S18" s="14">
        <f t="shared" si="7"/>
        <v>36481</v>
      </c>
      <c r="T18" s="86">
        <v>8333.76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54.29</v>
      </c>
      <c r="Y18" s="268">
        <f t="shared" si="22"/>
        <v>62.53</v>
      </c>
      <c r="Z18" s="124">
        <f t="shared" si="9"/>
        <v>116.82</v>
      </c>
      <c r="AA18" s="268">
        <f t="shared" si="10"/>
        <v>408.91</v>
      </c>
      <c r="AB18" s="204">
        <f t="shared" si="10"/>
        <v>0</v>
      </c>
      <c r="AC18" s="268">
        <f t="shared" si="10"/>
        <v>-11.76</v>
      </c>
      <c r="AD18" s="204">
        <f t="shared" si="10"/>
        <v>0</v>
      </c>
      <c r="AE18" s="268">
        <f t="shared" si="10"/>
        <v>-0.82</v>
      </c>
      <c r="AF18" s="7">
        <f t="shared" si="11"/>
        <v>513.15</v>
      </c>
      <c r="AG18" s="7">
        <f t="shared" si="12"/>
        <v>-36.81</v>
      </c>
      <c r="AH18" s="7">
        <v>0</v>
      </c>
      <c r="AI18" s="124">
        <f t="shared" si="13"/>
        <v>-36.81</v>
      </c>
      <c r="AJ18" s="14">
        <f t="shared" si="14"/>
        <v>8810.1</v>
      </c>
      <c r="AK18" s="281"/>
      <c r="AL18" s="281"/>
      <c r="AM18" s="33">
        <f t="shared" si="15"/>
        <v>37569.61</v>
      </c>
      <c r="AN18" s="33">
        <f t="shared" si="16"/>
        <v>47279.07</v>
      </c>
      <c r="AO18" s="83"/>
      <c r="AP18" s="114">
        <v>26610.59</v>
      </c>
      <c r="AQ18" s="186">
        <v>31674.66</v>
      </c>
      <c r="AR18" s="192">
        <f>G18+'12.31.19'!AR18</f>
        <v>0</v>
      </c>
      <c r="AS18" s="114">
        <f t="shared" ref="AS18:AS28" si="23">AN18-AM18</f>
        <v>9709.4599999999991</v>
      </c>
      <c r="AT18" s="137">
        <f>K18+'12.31.19'!AT18</f>
        <v>0</v>
      </c>
      <c r="AU18" s="137">
        <f>L18+'12.31.19'!AU18</f>
        <v>1002.08</v>
      </c>
      <c r="AV18" s="84">
        <f t="shared" ref="AV18:AV28" si="24">AT18+AU18</f>
        <v>1002.08</v>
      </c>
      <c r="AW18" s="84">
        <f>N18+'12.31.19'!AW18</f>
        <v>0</v>
      </c>
      <c r="AX18" s="84">
        <f>O18+'12.31.19'!AX18</f>
        <v>0</v>
      </c>
      <c r="AY18" s="84">
        <f>P18+'12.31.19'!AY18</f>
        <v>0</v>
      </c>
      <c r="AZ18" s="84">
        <f t="shared" ref="AZ18:AZ28" si="25">AX18+AY18</f>
        <v>0</v>
      </c>
      <c r="BA18" s="224">
        <v>7244.82</v>
      </c>
      <c r="BB18" s="137">
        <f>Z18+'12.31.19'!BB18</f>
        <v>849.37</v>
      </c>
      <c r="BC18" s="137">
        <f>AA18+'12.31.19'!BC18</f>
        <v>1000.79</v>
      </c>
      <c r="BD18" s="276">
        <f>AB18+'12.31.19'!BD18</f>
        <v>-6.75</v>
      </c>
      <c r="BE18" s="280">
        <f>AC18+'12.31.19'!BE18</f>
        <v>-30.59</v>
      </c>
      <c r="BF18" s="276">
        <f>AD18+'12.31.19'!BF18</f>
        <v>-1.1399999999999999</v>
      </c>
      <c r="BG18" s="280">
        <f>AE18+'12.31.19'!BG18</f>
        <v>-2.89</v>
      </c>
      <c r="BH18" s="84">
        <f t="shared" ref="BH18:BH28" si="26">SUM(BB18:BG18)</f>
        <v>1808.79</v>
      </c>
      <c r="BI18" s="84">
        <f>AG18+'12.31.19'!BI18</f>
        <v>-243.51</v>
      </c>
      <c r="BJ18" s="84">
        <f>AH18+'12.31.19'!BJ18</f>
        <v>0</v>
      </c>
      <c r="BK18" s="116">
        <f t="shared" ref="BK18:BK28" si="27">BI18+BJ18</f>
        <v>-243.51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96259.11</v>
      </c>
      <c r="G19" s="9">
        <v>0</v>
      </c>
      <c r="H19" s="129">
        <f t="shared" si="0"/>
        <v>96259.11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883.33</v>
      </c>
      <c r="M19" s="9">
        <f t="shared" si="3"/>
        <v>883.33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97142.44</v>
      </c>
      <c r="S19" s="14">
        <f t="shared" si="7"/>
        <v>123223.72</v>
      </c>
      <c r="T19" s="86">
        <v>71621.48</v>
      </c>
      <c r="U19" s="79">
        <f t="shared" si="8"/>
        <v>2.5321880000000001E-2</v>
      </c>
      <c r="V19" s="203"/>
      <c r="W19" s="264"/>
      <c r="X19" s="204">
        <f t="shared" si="22"/>
        <v>183.38</v>
      </c>
      <c r="Y19" s="268">
        <f t="shared" si="22"/>
        <v>211.22</v>
      </c>
      <c r="Z19" s="124">
        <f t="shared" si="9"/>
        <v>394.6</v>
      </c>
      <c r="AA19" s="268">
        <f t="shared" si="10"/>
        <v>1381.18</v>
      </c>
      <c r="AB19" s="204">
        <f t="shared" si="10"/>
        <v>0</v>
      </c>
      <c r="AC19" s="268">
        <f t="shared" si="10"/>
        <v>-39.729999999999997</v>
      </c>
      <c r="AD19" s="204">
        <f t="shared" si="10"/>
        <v>0</v>
      </c>
      <c r="AE19" s="268">
        <f t="shared" si="10"/>
        <v>-2.77</v>
      </c>
      <c r="AF19" s="7">
        <f t="shared" si="11"/>
        <v>1733.28</v>
      </c>
      <c r="AG19" s="7">
        <f t="shared" si="12"/>
        <v>-124.34</v>
      </c>
      <c r="AH19" s="7">
        <v>0</v>
      </c>
      <c r="AI19" s="124">
        <f t="shared" si="13"/>
        <v>-124.34</v>
      </c>
      <c r="AJ19" s="14">
        <f t="shared" si="14"/>
        <v>73230.42</v>
      </c>
      <c r="AK19" s="233"/>
      <c r="AL19" s="237"/>
      <c r="AM19" s="33">
        <f t="shared" si="15"/>
        <v>170372.86</v>
      </c>
      <c r="AN19" s="33">
        <f t="shared" si="16"/>
        <v>212978.34</v>
      </c>
      <c r="AO19" s="83"/>
      <c r="AP19" s="114">
        <v>89883.9</v>
      </c>
      <c r="AQ19" s="186">
        <v>106989.06</v>
      </c>
      <c r="AR19" s="192">
        <f>G19+'12.31.19'!AR19</f>
        <v>0</v>
      </c>
      <c r="AS19" s="114">
        <f t="shared" si="23"/>
        <v>42605.48</v>
      </c>
      <c r="AT19" s="137">
        <f>K19+'12.31.19'!AT19</f>
        <v>0</v>
      </c>
      <c r="AU19" s="137">
        <f>L19+'12.31.19'!AU19</f>
        <v>3384.81</v>
      </c>
      <c r="AV19" s="84">
        <f t="shared" si="24"/>
        <v>3384.81</v>
      </c>
      <c r="AW19" s="84">
        <f>N19+'12.31.19'!AW19</f>
        <v>0</v>
      </c>
      <c r="AX19" s="84">
        <f>O19+'12.31.19'!AX19</f>
        <v>0</v>
      </c>
      <c r="AY19" s="84">
        <f>P19+'12.31.19'!AY19</f>
        <v>0</v>
      </c>
      <c r="AZ19" s="84">
        <f t="shared" si="25"/>
        <v>0</v>
      </c>
      <c r="BA19" s="224">
        <v>67943.259999999995</v>
      </c>
      <c r="BB19" s="137">
        <f>Z19+'12.31.19'!BB19</f>
        <v>2868.96</v>
      </c>
      <c r="BC19" s="137">
        <f>AA19+'12.31.19'!BC19</f>
        <v>3380.4</v>
      </c>
      <c r="BD19" s="276">
        <f>AB19+'12.31.19'!BD19</f>
        <v>-22.77</v>
      </c>
      <c r="BE19" s="280">
        <f>AC19+'12.31.19'!BE19</f>
        <v>-103.31</v>
      </c>
      <c r="BF19" s="276">
        <f>AD19+'12.31.19'!BF19</f>
        <v>-3.85</v>
      </c>
      <c r="BG19" s="280">
        <f>AE19+'12.31.19'!BG19</f>
        <v>-9.75</v>
      </c>
      <c r="BH19" s="84">
        <f t="shared" si="26"/>
        <v>6109.68</v>
      </c>
      <c r="BI19" s="84">
        <f>AG19+'12.31.19'!BI19</f>
        <v>-822.52</v>
      </c>
      <c r="BJ19" s="84">
        <f>AH19+'12.31.19'!BJ19</f>
        <v>0</v>
      </c>
      <c r="BK19" s="116">
        <f t="shared" si="27"/>
        <v>-822.52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35624.46</v>
      </c>
      <c r="G20" s="9">
        <v>0</v>
      </c>
      <c r="H20" s="129">
        <f t="shared" si="0"/>
        <v>35624.46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326.91000000000003</v>
      </c>
      <c r="M20" s="9">
        <f t="shared" si="3"/>
        <v>326.91000000000003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35951.370000000003</v>
      </c>
      <c r="S20" s="14">
        <f t="shared" si="7"/>
        <v>45603.77</v>
      </c>
      <c r="T20" s="86">
        <v>19778.400000000001</v>
      </c>
      <c r="U20" s="79">
        <f t="shared" si="8"/>
        <v>9.3713500000000005E-3</v>
      </c>
      <c r="V20" s="315"/>
      <c r="W20" s="315"/>
      <c r="X20" s="204">
        <f t="shared" si="22"/>
        <v>67.87</v>
      </c>
      <c r="Y20" s="268">
        <f t="shared" si="22"/>
        <v>78.17</v>
      </c>
      <c r="Z20" s="124">
        <f t="shared" si="9"/>
        <v>146.04</v>
      </c>
      <c r="AA20" s="268">
        <f t="shared" si="10"/>
        <v>511.16</v>
      </c>
      <c r="AB20" s="204">
        <f t="shared" si="10"/>
        <v>0</v>
      </c>
      <c r="AC20" s="268">
        <f t="shared" si="10"/>
        <v>-14.7</v>
      </c>
      <c r="AD20" s="204">
        <f t="shared" si="10"/>
        <v>0</v>
      </c>
      <c r="AE20" s="268">
        <f t="shared" si="10"/>
        <v>-1.02</v>
      </c>
      <c r="AF20" s="7">
        <f t="shared" si="11"/>
        <v>641.48</v>
      </c>
      <c r="AG20" s="7">
        <f t="shared" si="12"/>
        <v>-46.02</v>
      </c>
      <c r="AH20" s="7">
        <v>0</v>
      </c>
      <c r="AI20" s="124">
        <f t="shared" si="13"/>
        <v>-46.02</v>
      </c>
      <c r="AJ20" s="14">
        <f t="shared" si="14"/>
        <v>20373.86</v>
      </c>
      <c r="AK20" s="283"/>
      <c r="AL20" s="284"/>
      <c r="AM20" s="33">
        <f t="shared" si="15"/>
        <v>56325.23</v>
      </c>
      <c r="AN20" s="33">
        <f t="shared" si="16"/>
        <v>70574.92</v>
      </c>
      <c r="AO20" s="83"/>
      <c r="AP20" s="114">
        <v>33265.06</v>
      </c>
      <c r="AQ20" s="186">
        <v>39595.49</v>
      </c>
      <c r="AR20" s="192">
        <f>G20+'12.31.19'!AR20</f>
        <v>0</v>
      </c>
      <c r="AS20" s="114">
        <f t="shared" si="23"/>
        <v>14249.69</v>
      </c>
      <c r="AT20" s="137">
        <f>K20+'12.31.19'!AT20</f>
        <v>0</v>
      </c>
      <c r="AU20" s="137">
        <f>L20+'12.31.19'!AU20</f>
        <v>1252.69</v>
      </c>
      <c r="AV20" s="84">
        <f t="shared" si="24"/>
        <v>1252.69</v>
      </c>
      <c r="AW20" s="84">
        <f>N20+'12.31.19'!AW20</f>
        <v>0</v>
      </c>
      <c r="AX20" s="84">
        <f>O20+'12.31.19'!AX20</f>
        <v>0</v>
      </c>
      <c r="AY20" s="84">
        <f>P20+'12.31.19'!AY20</f>
        <v>0</v>
      </c>
      <c r="AZ20" s="84">
        <f t="shared" si="25"/>
        <v>0</v>
      </c>
      <c r="BA20" s="224">
        <v>18417.12</v>
      </c>
      <c r="BB20" s="137">
        <f>Z20+'12.31.19'!BB20</f>
        <v>1061.76</v>
      </c>
      <c r="BC20" s="137">
        <f>AA20+'12.31.19'!BC20</f>
        <v>1251.06</v>
      </c>
      <c r="BD20" s="276">
        <f>AB20+'12.31.19'!BD20</f>
        <v>-8.42</v>
      </c>
      <c r="BE20" s="280">
        <f>AC20+'12.31.19'!BE20</f>
        <v>-38.229999999999997</v>
      </c>
      <c r="BF20" s="276">
        <f>AD20+'12.31.19'!BF20</f>
        <v>-1.43</v>
      </c>
      <c r="BG20" s="280">
        <f>AE20+'12.31.19'!BG20</f>
        <v>-3.6</v>
      </c>
      <c r="BH20" s="84">
        <f t="shared" si="26"/>
        <v>2261.14</v>
      </c>
      <c r="BI20" s="84">
        <f>AG20+'12.31.19'!BI20</f>
        <v>-304.39999999999998</v>
      </c>
      <c r="BJ20" s="84">
        <f>AH20+'12.31.19'!BJ20</f>
        <v>0</v>
      </c>
      <c r="BK20" s="116">
        <f t="shared" si="27"/>
        <v>-304.39999999999998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549254.67000000004</v>
      </c>
      <c r="G21" s="9">
        <v>0</v>
      </c>
      <c r="H21" s="129">
        <f t="shared" si="0"/>
        <v>549254.67000000004</v>
      </c>
      <c r="I21" s="76">
        <f t="shared" si="1"/>
        <v>0.1444867</v>
      </c>
      <c r="J21" s="128"/>
      <c r="K21" s="128">
        <f t="shared" si="2"/>
        <v>0</v>
      </c>
      <c r="L21" s="128">
        <f t="shared" si="2"/>
        <v>5040.28</v>
      </c>
      <c r="M21" s="9">
        <f t="shared" si="3"/>
        <v>5040.28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554294.94999999995</v>
      </c>
      <c r="S21" s="14">
        <f t="shared" si="7"/>
        <v>703114.76</v>
      </c>
      <c r="T21" s="86">
        <v>508696.31</v>
      </c>
      <c r="U21" s="79">
        <f t="shared" si="8"/>
        <v>0.1444867</v>
      </c>
      <c r="V21" s="203"/>
      <c r="W21" s="264"/>
      <c r="X21" s="204">
        <f t="shared" si="22"/>
        <v>1046.3599999999999</v>
      </c>
      <c r="Y21" s="268">
        <f t="shared" si="22"/>
        <v>1205.24</v>
      </c>
      <c r="Z21" s="124">
        <f t="shared" si="9"/>
        <v>2251.6</v>
      </c>
      <c r="AA21" s="268">
        <f t="shared" si="10"/>
        <v>7881.01</v>
      </c>
      <c r="AB21" s="204">
        <f t="shared" si="10"/>
        <v>0</v>
      </c>
      <c r="AC21" s="268">
        <f t="shared" si="10"/>
        <v>-226.71</v>
      </c>
      <c r="AD21" s="204">
        <f t="shared" si="10"/>
        <v>0</v>
      </c>
      <c r="AE21" s="268">
        <f t="shared" si="10"/>
        <v>-15.8</v>
      </c>
      <c r="AF21" s="7">
        <f t="shared" si="11"/>
        <v>9890.1</v>
      </c>
      <c r="AG21" s="7">
        <f t="shared" si="12"/>
        <v>-709.5</v>
      </c>
      <c r="AH21" s="7">
        <v>0</v>
      </c>
      <c r="AI21" s="124">
        <f t="shared" si="13"/>
        <v>-709.5</v>
      </c>
      <c r="AJ21" s="14">
        <f t="shared" si="14"/>
        <v>517876.91</v>
      </c>
      <c r="AK21" s="285"/>
      <c r="AL21" s="236"/>
      <c r="AM21" s="33">
        <f t="shared" si="15"/>
        <v>1072171.8600000001</v>
      </c>
      <c r="AN21" s="33">
        <f t="shared" si="16"/>
        <v>1337848.8600000001</v>
      </c>
      <c r="AO21" s="83"/>
      <c r="AP21" s="114">
        <v>512877.8</v>
      </c>
      <c r="AQ21" s="186">
        <v>610479.87</v>
      </c>
      <c r="AR21" s="192">
        <f>G21+'12.31.19'!AR21</f>
        <v>0</v>
      </c>
      <c r="AS21" s="114">
        <f t="shared" si="23"/>
        <v>265677</v>
      </c>
      <c r="AT21" s="137">
        <f>K21+'12.31.19'!AT21</f>
        <v>0</v>
      </c>
      <c r="AU21" s="137">
        <f>L21+'12.31.19'!AU21</f>
        <v>19313.71</v>
      </c>
      <c r="AV21" s="84">
        <f t="shared" si="24"/>
        <v>19313.71</v>
      </c>
      <c r="AW21" s="84">
        <f>N21+'12.31.19'!AW21</f>
        <v>0</v>
      </c>
      <c r="AX21" s="84">
        <f>O21+'12.31.19'!AX21</f>
        <v>0</v>
      </c>
      <c r="AY21" s="84">
        <f>P21+'12.31.19'!AY21</f>
        <v>0</v>
      </c>
      <c r="AZ21" s="84">
        <f t="shared" si="25"/>
        <v>0</v>
      </c>
      <c r="BA21" s="224">
        <v>492992.17</v>
      </c>
      <c r="BB21" s="137">
        <f>Z21+'12.31.19'!BB21</f>
        <v>16370.26</v>
      </c>
      <c r="BC21" s="137">
        <f>AA21+'12.31.19'!BC21</f>
        <v>19288.560000000001</v>
      </c>
      <c r="BD21" s="276">
        <f>AB21+'12.31.19'!BD21</f>
        <v>-129.91999999999999</v>
      </c>
      <c r="BE21" s="280">
        <f>AC21+'12.31.19'!BE21</f>
        <v>-589.45000000000005</v>
      </c>
      <c r="BF21" s="276">
        <f>AD21+'12.31.19'!BF21</f>
        <v>-21.99</v>
      </c>
      <c r="BG21" s="280">
        <f>AE21+'12.31.19'!BG21</f>
        <v>-55.54</v>
      </c>
      <c r="BH21" s="84">
        <f t="shared" si="26"/>
        <v>34861.919999999998</v>
      </c>
      <c r="BI21" s="84">
        <f>AG21+'12.31.19'!BI21</f>
        <v>-4693.3</v>
      </c>
      <c r="BJ21" s="84">
        <f>AH21+'12.31.19'!BJ21</f>
        <v>-5283.88</v>
      </c>
      <c r="BK21" s="116">
        <f t="shared" si="27"/>
        <v>-9977.18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562157.13</v>
      </c>
      <c r="G22" s="9">
        <v>0</v>
      </c>
      <c r="H22" s="129">
        <f t="shared" si="0"/>
        <v>562157.13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5158.68</v>
      </c>
      <c r="M22" s="9">
        <f t="shared" si="3"/>
        <v>5158.68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567315.81000000006</v>
      </c>
      <c r="S22" s="14">
        <f t="shared" si="7"/>
        <v>719631.52</v>
      </c>
      <c r="T22" s="86">
        <v>442769.85</v>
      </c>
      <c r="U22" s="79">
        <f t="shared" si="8"/>
        <v>0.14788081</v>
      </c>
      <c r="V22" s="316"/>
      <c r="W22" s="317"/>
      <c r="X22" s="204">
        <f t="shared" si="22"/>
        <v>1070.94</v>
      </c>
      <c r="Y22" s="268">
        <f t="shared" si="22"/>
        <v>1233.56</v>
      </c>
      <c r="Z22" s="124">
        <f t="shared" si="9"/>
        <v>2304.5</v>
      </c>
      <c r="AA22" s="268">
        <f t="shared" si="10"/>
        <v>8066.15</v>
      </c>
      <c r="AB22" s="204">
        <f t="shared" si="10"/>
        <v>0</v>
      </c>
      <c r="AC22" s="268">
        <f t="shared" si="10"/>
        <v>-232.03</v>
      </c>
      <c r="AD22" s="204">
        <f t="shared" si="10"/>
        <v>0</v>
      </c>
      <c r="AE22" s="268">
        <f t="shared" si="10"/>
        <v>-16.170000000000002</v>
      </c>
      <c r="AF22" s="7">
        <f t="shared" si="11"/>
        <v>10122.450000000001</v>
      </c>
      <c r="AG22" s="7">
        <f t="shared" si="12"/>
        <v>-726.17</v>
      </c>
      <c r="AH22" s="7">
        <v>0</v>
      </c>
      <c r="AI22" s="124">
        <f t="shared" si="13"/>
        <v>-726.17</v>
      </c>
      <c r="AJ22" s="14">
        <f t="shared" si="14"/>
        <v>452166.13</v>
      </c>
      <c r="AK22" s="283"/>
      <c r="AL22" s="284"/>
      <c r="AM22" s="33">
        <f t="shared" si="15"/>
        <v>1019481.94</v>
      </c>
      <c r="AN22" s="33">
        <f t="shared" si="16"/>
        <v>1273827.42</v>
      </c>
      <c r="AO22" s="83"/>
      <c r="AP22" s="114">
        <v>524925.73</v>
      </c>
      <c r="AQ22" s="186">
        <v>624820.56000000006</v>
      </c>
      <c r="AR22" s="192">
        <f>G22+'12.31.19'!AR22</f>
        <v>0</v>
      </c>
      <c r="AS22" s="114">
        <f t="shared" si="23"/>
        <v>254345.48</v>
      </c>
      <c r="AT22" s="137">
        <f>K22+'12.31.19'!AT22</f>
        <v>0</v>
      </c>
      <c r="AU22" s="137">
        <f>L22+'12.31.19'!AU22</f>
        <v>19767.400000000001</v>
      </c>
      <c r="AV22" s="84">
        <f t="shared" si="24"/>
        <v>19767.400000000001</v>
      </c>
      <c r="AW22" s="84">
        <f>N22+'12.31.19'!AW22</f>
        <v>0</v>
      </c>
      <c r="AX22" s="84">
        <f>O22+'12.31.19'!AX22</f>
        <v>0</v>
      </c>
      <c r="AY22" s="84">
        <f>P22+'12.31.19'!AY22</f>
        <v>0</v>
      </c>
      <c r="AZ22" s="84">
        <f t="shared" si="25"/>
        <v>0</v>
      </c>
      <c r="BA22" s="224">
        <v>421288.81</v>
      </c>
      <c r="BB22" s="137">
        <f>Z22+'12.31.19'!BB22</f>
        <v>16754.8</v>
      </c>
      <c r="BC22" s="137">
        <f>AA22+'12.31.19'!BC22</f>
        <v>19741.669999999998</v>
      </c>
      <c r="BD22" s="276">
        <f>AB22+'12.31.19'!BD22</f>
        <v>-132.97</v>
      </c>
      <c r="BE22" s="280">
        <f>AC22+'12.31.19'!BE22</f>
        <v>-603.28</v>
      </c>
      <c r="BF22" s="276">
        <f>AD22+'12.31.19'!BF22</f>
        <v>-22.51</v>
      </c>
      <c r="BG22" s="280">
        <f>AE22+'12.31.19'!BG22</f>
        <v>-56.84</v>
      </c>
      <c r="BH22" s="84">
        <f t="shared" si="26"/>
        <v>35680.870000000003</v>
      </c>
      <c r="BI22" s="84">
        <f>AG22+'12.31.19'!BI22</f>
        <v>-4803.55</v>
      </c>
      <c r="BJ22" s="84">
        <f>AH22+'12.31.19'!BJ22</f>
        <v>0</v>
      </c>
      <c r="BK22" s="116">
        <f t="shared" si="27"/>
        <v>-4803.55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2907.55</v>
      </c>
      <c r="G23" s="9">
        <v>0</v>
      </c>
      <c r="H23" s="129">
        <f t="shared" si="0"/>
        <v>2907.55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26.68</v>
      </c>
      <c r="M23" s="9">
        <f t="shared" si="3"/>
        <v>26.68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2934.23</v>
      </c>
      <c r="S23" s="14">
        <f t="shared" si="7"/>
        <v>3722.03</v>
      </c>
      <c r="T23" s="86">
        <v>2122.27</v>
      </c>
      <c r="U23" s="79">
        <f t="shared" si="8"/>
        <v>7.6486000000000002E-4</v>
      </c>
      <c r="V23" s="203"/>
      <c r="W23" s="264"/>
      <c r="X23" s="204">
        <f t="shared" si="22"/>
        <v>5.54</v>
      </c>
      <c r="Y23" s="268">
        <f t="shared" si="22"/>
        <v>6.38</v>
      </c>
      <c r="Z23" s="124">
        <f t="shared" si="9"/>
        <v>11.92</v>
      </c>
      <c r="AA23" s="268">
        <f t="shared" si="10"/>
        <v>41.72</v>
      </c>
      <c r="AB23" s="204">
        <f t="shared" si="10"/>
        <v>0</v>
      </c>
      <c r="AC23" s="268">
        <f t="shared" si="10"/>
        <v>-1.2</v>
      </c>
      <c r="AD23" s="204">
        <f t="shared" si="10"/>
        <v>0</v>
      </c>
      <c r="AE23" s="268">
        <f t="shared" si="10"/>
        <v>-0.08</v>
      </c>
      <c r="AF23" s="7">
        <f t="shared" si="11"/>
        <v>52.36</v>
      </c>
      <c r="AG23" s="7">
        <f t="shared" si="12"/>
        <v>-3.76</v>
      </c>
      <c r="AH23" s="7">
        <v>0</v>
      </c>
      <c r="AI23" s="124">
        <f t="shared" si="13"/>
        <v>-3.76</v>
      </c>
      <c r="AJ23" s="14">
        <f t="shared" si="14"/>
        <v>2170.87</v>
      </c>
      <c r="AK23" s="285"/>
      <c r="AL23" s="236"/>
      <c r="AM23" s="33">
        <f t="shared" si="15"/>
        <v>5105.1000000000004</v>
      </c>
      <c r="AN23" s="33">
        <f t="shared" si="16"/>
        <v>6382.75</v>
      </c>
      <c r="AO23" s="83"/>
      <c r="AP23" s="114">
        <v>2714.97</v>
      </c>
      <c r="AQ23" s="186">
        <v>3231.64</v>
      </c>
      <c r="AR23" s="192">
        <f>G23+'12.31.19'!AR23</f>
        <v>0</v>
      </c>
      <c r="AS23" s="114">
        <f t="shared" si="23"/>
        <v>1277.6500000000001</v>
      </c>
      <c r="AT23" s="137">
        <f>K23+'12.31.19'!AT23</f>
        <v>0</v>
      </c>
      <c r="AU23" s="137">
        <f>L23+'12.31.19'!AU23</f>
        <v>102.24</v>
      </c>
      <c r="AV23" s="84">
        <f t="shared" si="24"/>
        <v>102.24</v>
      </c>
      <c r="AW23" s="84">
        <f>N23+'12.31.19'!AW23</f>
        <v>0</v>
      </c>
      <c r="AX23" s="84">
        <f>O23+'12.31.19'!AX23</f>
        <v>0</v>
      </c>
      <c r="AY23" s="84">
        <f>P23+'12.31.19'!AY23</f>
        <v>0</v>
      </c>
      <c r="AZ23" s="84">
        <f t="shared" si="25"/>
        <v>0</v>
      </c>
      <c r="BA23" s="224">
        <v>2011.18</v>
      </c>
      <c r="BB23" s="137">
        <f>Z23+'12.31.19'!BB23</f>
        <v>86.65</v>
      </c>
      <c r="BC23" s="137">
        <f>AA23+'12.31.19'!BC23</f>
        <v>102.11</v>
      </c>
      <c r="BD23" s="276">
        <f>AB23+'12.31.19'!BD23</f>
        <v>-0.69</v>
      </c>
      <c r="BE23" s="280">
        <f>AC23+'12.31.19'!BE23</f>
        <v>-3.12</v>
      </c>
      <c r="BF23" s="276">
        <f>AD23+'12.31.19'!BF23</f>
        <v>-0.12</v>
      </c>
      <c r="BG23" s="280">
        <f>AE23+'12.31.19'!BG23</f>
        <v>-0.28999999999999998</v>
      </c>
      <c r="BH23" s="84">
        <f t="shared" si="26"/>
        <v>184.54</v>
      </c>
      <c r="BI23" s="84">
        <f>AG23+'12.31.19'!BI23</f>
        <v>-24.85</v>
      </c>
      <c r="BJ23" s="84">
        <f>AH23+'12.31.19'!BJ23</f>
        <v>0</v>
      </c>
      <c r="BK23" s="116">
        <f t="shared" si="27"/>
        <v>-24.85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1525960.13</v>
      </c>
      <c r="G24" s="9">
        <v>0</v>
      </c>
      <c r="H24" s="129">
        <f t="shared" si="0"/>
        <v>1525960.13</v>
      </c>
      <c r="I24" s="76">
        <f>H24/(H$31-1575)</f>
        <v>0.40141841</v>
      </c>
      <c r="J24" s="128"/>
      <c r="K24" s="128">
        <f>$I24*K$31</f>
        <v>0</v>
      </c>
      <c r="L24" s="318">
        <f>($I24*L$31)+0.01</f>
        <v>14003.11</v>
      </c>
      <c r="M24" s="9">
        <f t="shared" si="3"/>
        <v>14003.11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1539963.24</v>
      </c>
      <c r="S24" s="14">
        <f>(R24/(R$31-1575)*(S$31-1575))+0.01</f>
        <v>1953420.08</v>
      </c>
      <c r="T24" s="86">
        <v>756600.55</v>
      </c>
      <c r="U24" s="79">
        <f t="shared" si="8"/>
        <v>0.40141841</v>
      </c>
      <c r="V24" s="203"/>
      <c r="W24" s="264"/>
      <c r="X24" s="311">
        <f>($U24*X$31)-0.01</f>
        <v>2907.02</v>
      </c>
      <c r="Y24" s="312">
        <f>($U24*Y$31)+0.01</f>
        <v>3348.47</v>
      </c>
      <c r="Z24" s="313">
        <f t="shared" si="9"/>
        <v>6255.49</v>
      </c>
      <c r="AA24" s="312">
        <f>($U24*AA$31)-0.02</f>
        <v>21895.31</v>
      </c>
      <c r="AB24" s="311">
        <f>($U24*AB$31)</f>
        <v>0</v>
      </c>
      <c r="AC24" s="312">
        <f>($U24*AC$31)-0.01</f>
        <v>-629.86</v>
      </c>
      <c r="AD24" s="311">
        <f>($U24*AD$31)</f>
        <v>0</v>
      </c>
      <c r="AE24" s="312">
        <f>($U24*AE$31)</f>
        <v>-43.9</v>
      </c>
      <c r="AF24" s="7">
        <f t="shared" si="11"/>
        <v>27477.040000000001</v>
      </c>
      <c r="AG24" s="7">
        <f>(U24*AG$31)+0.02</f>
        <v>-1971.15</v>
      </c>
      <c r="AH24" s="7">
        <v>0</v>
      </c>
      <c r="AI24" s="124">
        <f t="shared" si="13"/>
        <v>-1971.15</v>
      </c>
      <c r="AJ24" s="14">
        <f t="shared" si="14"/>
        <v>782106.44</v>
      </c>
      <c r="AK24" s="285"/>
      <c r="AL24" s="236"/>
      <c r="AM24" s="33">
        <f t="shared" si="15"/>
        <v>2322069.6800000002</v>
      </c>
      <c r="AN24" s="33">
        <f>((S24+AJ24)+((AJ24/AJ$31)*AO$49))+0.01</f>
        <v>2912006.23</v>
      </c>
      <c r="AO24" s="83"/>
      <c r="AP24" s="114">
        <v>1424896.51</v>
      </c>
      <c r="AQ24" s="186">
        <v>1696058.26</v>
      </c>
      <c r="AR24" s="192">
        <f>G24+'12.31.19'!AR24</f>
        <v>0</v>
      </c>
      <c r="AS24" s="114">
        <f t="shared" si="23"/>
        <v>589936.55000000005</v>
      </c>
      <c r="AT24" s="137">
        <f>K24+'12.31.19'!AT24</f>
        <v>0</v>
      </c>
      <c r="AU24" s="137">
        <f>L24+'12.31.19'!AU24</f>
        <v>53658.1</v>
      </c>
      <c r="AV24" s="84">
        <f t="shared" si="24"/>
        <v>53658.1</v>
      </c>
      <c r="AW24" s="84">
        <f>N24+'12.31.19'!AW24</f>
        <v>0</v>
      </c>
      <c r="AX24" s="84">
        <f>O24+'12.31.19'!AX24</f>
        <v>0</v>
      </c>
      <c r="AY24" s="84">
        <f>P24+'12.31.19'!AY24</f>
        <v>0</v>
      </c>
      <c r="AZ24" s="84">
        <f t="shared" si="25"/>
        <v>0</v>
      </c>
      <c r="BA24" s="224">
        <v>698290.76</v>
      </c>
      <c r="BB24" s="137">
        <f>Z24+'12.31.19'!BB24</f>
        <v>45480.49</v>
      </c>
      <c r="BC24" s="137">
        <f>AA24+'12.31.19'!BC24</f>
        <v>53588.160000000003</v>
      </c>
      <c r="BD24" s="276">
        <f>AB24+'12.31.19'!BD24</f>
        <v>-360.95</v>
      </c>
      <c r="BE24" s="280">
        <f>AC24+'12.31.19'!BE24</f>
        <v>-1637.61</v>
      </c>
      <c r="BF24" s="276">
        <f>AD24+'12.31.19'!BF24</f>
        <v>-61.09</v>
      </c>
      <c r="BG24" s="280">
        <f>AE24+'12.31.19'!BG24</f>
        <v>-154.26</v>
      </c>
      <c r="BH24" s="84">
        <f t="shared" si="26"/>
        <v>96854.74</v>
      </c>
      <c r="BI24" s="84">
        <f>AG24+'12.31.19'!BI24</f>
        <v>-13039.06</v>
      </c>
      <c r="BJ24" s="84">
        <f>AH24+'12.31.19'!BJ24</f>
        <v>0</v>
      </c>
      <c r="BK24" s="116">
        <f t="shared" si="27"/>
        <v>-13039.06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332341.92</v>
      </c>
      <c r="G25" s="9">
        <v>0</v>
      </c>
      <c r="H25" s="129">
        <f t="shared" si="0"/>
        <v>332341.92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3049.76</v>
      </c>
      <c r="M25" s="9">
        <f t="shared" si="3"/>
        <v>3049.76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335391.68</v>
      </c>
      <c r="S25" s="14">
        <f>(R25/(R$31-1575)*(S$31-1575))</f>
        <v>425439.27</v>
      </c>
      <c r="T25" s="86">
        <v>196422.12</v>
      </c>
      <c r="U25" s="79">
        <f t="shared" si="8"/>
        <v>8.7425719999999998E-2</v>
      </c>
      <c r="V25" s="203"/>
      <c r="W25" s="264"/>
      <c r="X25" s="204">
        <f t="shared" ref="X25:Y28" si="28">$U25*X$31</f>
        <v>633.13</v>
      </c>
      <c r="Y25" s="268">
        <f t="shared" si="28"/>
        <v>729.27</v>
      </c>
      <c r="Z25" s="124">
        <f t="shared" si="9"/>
        <v>1362.4</v>
      </c>
      <c r="AA25" s="268">
        <f t="shared" ref="AA25:AE28" si="29">$U25*AA$31</f>
        <v>4768.63</v>
      </c>
      <c r="AB25" s="204">
        <f t="shared" si="29"/>
        <v>0</v>
      </c>
      <c r="AC25" s="268">
        <f t="shared" si="29"/>
        <v>-137.18</v>
      </c>
      <c r="AD25" s="204">
        <f t="shared" si="29"/>
        <v>0</v>
      </c>
      <c r="AE25" s="268">
        <f t="shared" si="29"/>
        <v>-9.56</v>
      </c>
      <c r="AF25" s="7">
        <f t="shared" si="11"/>
        <v>5984.29</v>
      </c>
      <c r="AG25" s="7">
        <f>U25*AG$31</f>
        <v>-429.3</v>
      </c>
      <c r="AH25" s="7">
        <v>0</v>
      </c>
      <c r="AI25" s="124">
        <f t="shared" si="13"/>
        <v>-429.3</v>
      </c>
      <c r="AJ25" s="14">
        <f t="shared" si="14"/>
        <v>201977.11</v>
      </c>
      <c r="AK25" s="285"/>
      <c r="AL25" s="236"/>
      <c r="AM25" s="33">
        <f t="shared" si="15"/>
        <v>537368.79</v>
      </c>
      <c r="AN25" s="33">
        <f>(S25+AJ25)+((AJ25/AJ$31)*AO$49)</f>
        <v>672991.84</v>
      </c>
      <c r="AO25" s="83"/>
      <c r="AP25" s="114">
        <v>310331.06</v>
      </c>
      <c r="AQ25" s="186">
        <v>369387.93</v>
      </c>
      <c r="AR25" s="192">
        <f>G25+'12.31.19'!AR25</f>
        <v>0</v>
      </c>
      <c r="AS25" s="114">
        <f t="shared" si="23"/>
        <v>135623.04999999999</v>
      </c>
      <c r="AT25" s="137">
        <f>K25+'12.31.19'!AT25</f>
        <v>0</v>
      </c>
      <c r="AU25" s="137">
        <f>L25+'12.31.19'!AU25</f>
        <v>11686.3</v>
      </c>
      <c r="AV25" s="84">
        <f t="shared" si="24"/>
        <v>11686.3</v>
      </c>
      <c r="AW25" s="84">
        <f>N25+'12.31.19'!AW25</f>
        <v>0</v>
      </c>
      <c r="AX25" s="84">
        <f>O25+'12.31.19'!AX25</f>
        <v>0</v>
      </c>
      <c r="AY25" s="84">
        <f>P25+'12.31.19'!AY25</f>
        <v>0</v>
      </c>
      <c r="AZ25" s="84">
        <f t="shared" si="25"/>
        <v>0</v>
      </c>
      <c r="BA25" s="224">
        <v>183722.72</v>
      </c>
      <c r="BB25" s="137">
        <f>Z25+'12.31.19'!BB25</f>
        <v>9905.2800000000007</v>
      </c>
      <c r="BC25" s="137">
        <f>AA25+'12.31.19'!BC25</f>
        <v>11671.1</v>
      </c>
      <c r="BD25" s="276">
        <f>AB25+'12.31.19'!BD25</f>
        <v>-78.61</v>
      </c>
      <c r="BE25" s="280">
        <f>AC25+'12.31.19'!BE25</f>
        <v>-356.66</v>
      </c>
      <c r="BF25" s="276">
        <f>AD25+'12.31.19'!BF25</f>
        <v>-13.3</v>
      </c>
      <c r="BG25" s="280">
        <f>AE25+'12.31.19'!BG25</f>
        <v>-33.61</v>
      </c>
      <c r="BH25" s="84">
        <f t="shared" si="26"/>
        <v>21094.2</v>
      </c>
      <c r="BI25" s="84">
        <f>AG25+'12.31.19'!BI25</f>
        <v>-2839.81</v>
      </c>
      <c r="BJ25" s="84">
        <f>AH25+'12.31.19'!BJ25</f>
        <v>0</v>
      </c>
      <c r="BK25" s="116">
        <f t="shared" si="27"/>
        <v>-2839.81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13924.5</v>
      </c>
      <c r="G26" s="9">
        <v>0</v>
      </c>
      <c r="H26" s="129">
        <f t="shared" si="0"/>
        <v>13924.5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127.78</v>
      </c>
      <c r="M26" s="9">
        <f t="shared" si="3"/>
        <v>127.78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14052.28</v>
      </c>
      <c r="S26" s="14">
        <f>(R26/(R$31-1575)*(S$31-1575))</f>
        <v>17825.099999999999</v>
      </c>
      <c r="T26" s="86">
        <v>9966.49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26.53</v>
      </c>
      <c r="Y26" s="268">
        <f t="shared" si="28"/>
        <v>30.55</v>
      </c>
      <c r="Z26" s="124">
        <f t="shared" si="9"/>
        <v>57.08</v>
      </c>
      <c r="AA26" s="268">
        <f t="shared" si="29"/>
        <v>199.8</v>
      </c>
      <c r="AB26" s="204">
        <f t="shared" si="29"/>
        <v>0</v>
      </c>
      <c r="AC26" s="268">
        <f t="shared" si="29"/>
        <v>-5.75</v>
      </c>
      <c r="AD26" s="204">
        <f t="shared" si="29"/>
        <v>0</v>
      </c>
      <c r="AE26" s="268">
        <f t="shared" si="29"/>
        <v>-0.4</v>
      </c>
      <c r="AF26" s="7">
        <f t="shared" si="11"/>
        <v>250.73</v>
      </c>
      <c r="AG26" s="7">
        <f>U26*AG$31</f>
        <v>-17.989999999999998</v>
      </c>
      <c r="AH26" s="7">
        <v>0</v>
      </c>
      <c r="AI26" s="124">
        <f t="shared" si="13"/>
        <v>-17.989999999999998</v>
      </c>
      <c r="AJ26" s="14">
        <f t="shared" si="14"/>
        <v>10199.23</v>
      </c>
      <c r="AK26" s="233"/>
      <c r="AL26" s="284"/>
      <c r="AM26" s="33">
        <f t="shared" si="15"/>
        <v>24251.51</v>
      </c>
      <c r="AN26" s="33">
        <f>(S26+AJ26)+((AJ26/AJ$31)*AO$49)</f>
        <v>30325.75</v>
      </c>
      <c r="AO26" s="83"/>
      <c r="AP26" s="114">
        <v>13002.29</v>
      </c>
      <c r="AQ26" s="186">
        <v>15476.66</v>
      </c>
      <c r="AR26" s="192">
        <f>G26+'12.31.19'!AR26</f>
        <v>0</v>
      </c>
      <c r="AS26" s="114">
        <f t="shared" si="23"/>
        <v>6074.24</v>
      </c>
      <c r="AT26" s="137">
        <f>K26+'12.31.19'!AT26</f>
        <v>0</v>
      </c>
      <c r="AU26" s="137">
        <f>L26+'12.31.19'!AU26</f>
        <v>489.64</v>
      </c>
      <c r="AV26" s="84">
        <f t="shared" si="24"/>
        <v>489.64</v>
      </c>
      <c r="AW26" s="84">
        <f>N26+'12.31.19'!AW26</f>
        <v>0</v>
      </c>
      <c r="AX26" s="84">
        <f>O26+'12.31.19'!AX26</f>
        <v>0</v>
      </c>
      <c r="AY26" s="84">
        <f>P26+'12.31.19'!AY26</f>
        <v>0</v>
      </c>
      <c r="AZ26" s="84">
        <f t="shared" si="25"/>
        <v>0</v>
      </c>
      <c r="BA26" s="224">
        <v>9815.51</v>
      </c>
      <c r="BB26" s="137">
        <f>Z26+'12.31.19'!BB26</f>
        <v>415</v>
      </c>
      <c r="BC26" s="137">
        <f>AA26+'12.31.19'!BC26</f>
        <v>489.01</v>
      </c>
      <c r="BD26" s="276">
        <f>AB26+'12.31.19'!BD26</f>
        <v>-3.3</v>
      </c>
      <c r="BE26" s="280">
        <f>AC26+'12.31.19'!BE26</f>
        <v>-14.94</v>
      </c>
      <c r="BF26" s="276">
        <f>AD26+'12.31.19'!BF26</f>
        <v>-0.56000000000000005</v>
      </c>
      <c r="BG26" s="280">
        <f>AE26+'12.31.19'!BG26</f>
        <v>-1.4</v>
      </c>
      <c r="BH26" s="84">
        <f t="shared" si="26"/>
        <v>883.81</v>
      </c>
      <c r="BI26" s="84">
        <f>AG26+'12.31.19'!BI26</f>
        <v>-118.98</v>
      </c>
      <c r="BJ26" s="84">
        <f>AH26+'12.31.19'!BJ26</f>
        <v>-381.11</v>
      </c>
      <c r="BK26" s="116">
        <f t="shared" si="27"/>
        <v>-500.09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13737.65</v>
      </c>
      <c r="G27" s="9">
        <v>0</v>
      </c>
      <c r="H27" s="129">
        <f t="shared" si="0"/>
        <v>13737.65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126.06</v>
      </c>
      <c r="M27" s="9">
        <f t="shared" si="3"/>
        <v>126.06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13863.71</v>
      </c>
      <c r="S27" s="14">
        <f>(R27/(R$31-1575)*(S$31-1575))</f>
        <v>17585.91</v>
      </c>
      <c r="T27" s="86">
        <v>7664.48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26.17</v>
      </c>
      <c r="Y27" s="268">
        <f t="shared" si="28"/>
        <v>30.14</v>
      </c>
      <c r="Z27" s="124">
        <f t="shared" si="9"/>
        <v>56.31</v>
      </c>
      <c r="AA27" s="268">
        <f t="shared" si="29"/>
        <v>197.12</v>
      </c>
      <c r="AB27" s="204">
        <f t="shared" si="29"/>
        <v>0</v>
      </c>
      <c r="AC27" s="268">
        <f t="shared" si="29"/>
        <v>-5.67</v>
      </c>
      <c r="AD27" s="204">
        <f t="shared" si="29"/>
        <v>0</v>
      </c>
      <c r="AE27" s="268">
        <f t="shared" si="29"/>
        <v>-0.4</v>
      </c>
      <c r="AF27" s="7">
        <f t="shared" si="11"/>
        <v>247.36</v>
      </c>
      <c r="AG27" s="7">
        <f>U27*AG$31</f>
        <v>-17.75</v>
      </c>
      <c r="AH27" s="7">
        <v>0</v>
      </c>
      <c r="AI27" s="124">
        <f t="shared" si="13"/>
        <v>-17.75</v>
      </c>
      <c r="AJ27" s="14">
        <f t="shared" si="14"/>
        <v>7894.09</v>
      </c>
      <c r="AK27" s="233" t="s">
        <v>120</v>
      </c>
      <c r="AL27" s="236" t="s">
        <v>115</v>
      </c>
      <c r="AM27" s="33">
        <f t="shared" si="15"/>
        <v>21757.8</v>
      </c>
      <c r="AN27" s="33">
        <f>(S27+AJ27)+((AJ27/AJ$31)*AO$49)</f>
        <v>27261.27</v>
      </c>
      <c r="AO27" s="83"/>
      <c r="AP27" s="114">
        <v>12827.82</v>
      </c>
      <c r="AQ27" s="186">
        <v>15268.99</v>
      </c>
      <c r="AR27" s="192">
        <f>G27+'12.31.19'!AR27</f>
        <v>0</v>
      </c>
      <c r="AS27" s="114">
        <f t="shared" si="23"/>
        <v>5503.47</v>
      </c>
      <c r="AT27" s="137">
        <f>K27+'12.31.19'!AT27</f>
        <v>0</v>
      </c>
      <c r="AU27" s="137">
        <f>L27+'12.31.19'!AU27</f>
        <v>483.06</v>
      </c>
      <c r="AV27" s="84">
        <f t="shared" si="24"/>
        <v>483.06</v>
      </c>
      <c r="AW27" s="84">
        <f>N27+'12.31.19'!AW27</f>
        <v>0</v>
      </c>
      <c r="AX27" s="84">
        <f>O27+'12.31.19'!AX27</f>
        <v>0</v>
      </c>
      <c r="AY27" s="84">
        <f>P27+'12.31.19'!AY27</f>
        <v>0</v>
      </c>
      <c r="AZ27" s="84">
        <f t="shared" si="25"/>
        <v>0</v>
      </c>
      <c r="BA27" s="224">
        <v>7139.55</v>
      </c>
      <c r="BB27" s="137">
        <f>Z27+'12.31.19'!BB27</f>
        <v>409.45</v>
      </c>
      <c r="BC27" s="137">
        <f>AA27+'12.31.19'!BC27</f>
        <v>482.43</v>
      </c>
      <c r="BD27" s="276">
        <f>AB27+'12.31.19'!BD27</f>
        <v>-3.25</v>
      </c>
      <c r="BE27" s="280">
        <f>AC27+'12.31.19'!BE27</f>
        <v>-14.75</v>
      </c>
      <c r="BF27" s="276">
        <f>AD27+'12.31.19'!BF27</f>
        <v>-0.55000000000000004</v>
      </c>
      <c r="BG27" s="280">
        <f>AE27+'12.31.19'!BG27</f>
        <v>-1.4</v>
      </c>
      <c r="BH27" s="84">
        <f t="shared" si="26"/>
        <v>871.93</v>
      </c>
      <c r="BI27" s="84">
        <f>AG27+'12.31.19'!BI27</f>
        <v>-117.39</v>
      </c>
      <c r="BJ27" s="84">
        <f>AH27+'12.31.19'!BJ27</f>
        <v>0</v>
      </c>
      <c r="BK27" s="116">
        <f t="shared" si="27"/>
        <v>-117.39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G28+'12.31.19'!AR28</f>
        <v>0</v>
      </c>
      <c r="AS28" s="114">
        <f t="shared" si="23"/>
        <v>0</v>
      </c>
      <c r="AT28" s="137">
        <f>K28+'12.31.19'!AT28</f>
        <v>0</v>
      </c>
      <c r="AU28" s="137">
        <f>L28+'12.31.19'!AU28</f>
        <v>0</v>
      </c>
      <c r="AV28" s="84">
        <f t="shared" si="24"/>
        <v>0</v>
      </c>
      <c r="AW28" s="84">
        <f>N28+'12.31.19'!AW28</f>
        <v>0</v>
      </c>
      <c r="AX28" s="84">
        <f>O28+'12.31.19'!AX28</f>
        <v>0</v>
      </c>
      <c r="AY28" s="84">
        <f>P28+'12.31.19'!AY28</f>
        <v>0</v>
      </c>
      <c r="AZ28" s="84">
        <f t="shared" si="25"/>
        <v>0</v>
      </c>
      <c r="BA28" s="224">
        <v>0</v>
      </c>
      <c r="BB28" s="137">
        <f>Z28+'12.31.19'!BB28</f>
        <v>0</v>
      </c>
      <c r="BC28" s="137">
        <f>AA28+'12.31.19'!BC28</f>
        <v>0</v>
      </c>
      <c r="BD28" s="276">
        <f>AB28+'12.31.19'!BD28</f>
        <v>0</v>
      </c>
      <c r="BE28" s="280">
        <f>AC28+'12.31.19'!BE28</f>
        <v>0</v>
      </c>
      <c r="BF28" s="276">
        <f>AD28+'12.31.19'!BF28</f>
        <v>0</v>
      </c>
      <c r="BG28" s="280">
        <f>AE28+'12.31.19'!BG28</f>
        <v>0</v>
      </c>
      <c r="BH28" s="84">
        <f t="shared" si="26"/>
        <v>0</v>
      </c>
      <c r="BI28" s="84">
        <f>AG28+'12.31.19'!BI28</f>
        <v>0</v>
      </c>
      <c r="BJ28" s="84">
        <f>AH28+'12.31.19'!BJ28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3802995.4</v>
      </c>
      <c r="G31" s="48">
        <f>SUM(G12:G29)</f>
        <v>0</v>
      </c>
      <c r="H31" s="130">
        <f>SUM(H12:H29)</f>
        <v>3802995.4</v>
      </c>
      <c r="I31" s="78">
        <f>SUM(I12:I30)</f>
        <v>1</v>
      </c>
      <c r="J31" s="115"/>
      <c r="K31" s="115">
        <v>0</v>
      </c>
      <c r="L31" s="115">
        <f>34884.04</f>
        <v>34884.04</v>
      </c>
      <c r="M31" s="48">
        <f>SUM(M12:M29)</f>
        <v>34884.04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3837879.44</v>
      </c>
      <c r="S31" s="49">
        <f>R31+AO45</f>
        <v>4867869.1500000004</v>
      </c>
      <c r="T31" s="50">
        <f>SUM(T12:T29)</f>
        <v>2575366.5499999998</v>
      </c>
      <c r="U31" s="51">
        <f>SUM(U12:U30)</f>
        <v>1</v>
      </c>
      <c r="V31" s="206">
        <v>0</v>
      </c>
      <c r="W31" s="306">
        <v>2575366.5499999998</v>
      </c>
      <c r="X31" s="206">
        <f>1394.9+5847</f>
        <v>7241.9</v>
      </c>
      <c r="Y31" s="266">
        <f>4062.5+4279.06</f>
        <v>8341.56</v>
      </c>
      <c r="Z31" s="115">
        <f>SUM(Z12:Z29)</f>
        <v>15583.46</v>
      </c>
      <c r="AA31" s="272">
        <v>54544.91</v>
      </c>
      <c r="AB31" s="210">
        <v>0</v>
      </c>
      <c r="AC31" s="272">
        <v>-1569.06</v>
      </c>
      <c r="AD31" s="210">
        <v>0</v>
      </c>
      <c r="AE31" s="272">
        <v>-109.35</v>
      </c>
      <c r="AF31" s="48">
        <f>SUM(AF12:AF29)</f>
        <v>68449.960000000006</v>
      </c>
      <c r="AG31" s="48">
        <f>-4910.5</f>
        <v>-4910.5</v>
      </c>
      <c r="AH31" s="48">
        <v>0</v>
      </c>
      <c r="AI31" s="115">
        <f>SUM(AI12:AI30)</f>
        <v>-4910.5</v>
      </c>
      <c r="AJ31" s="52">
        <f>SUM(AJ12:AJ30)</f>
        <v>2638906.0099999998</v>
      </c>
      <c r="AK31" s="210">
        <f>V31+X31+AB31+AD31-7241.9</f>
        <v>0</v>
      </c>
      <c r="AL31" s="305">
        <f>W31+Y31+AA31+AC31+AE31++AG31+AH31+7241.9</f>
        <v>2638906.0099999998</v>
      </c>
      <c r="AM31" s="35">
        <f>SUM(AM12:AM29)</f>
        <v>6476785.4500000002</v>
      </c>
      <c r="AN31" s="35">
        <f>3234366.32+4866294.15+1575</f>
        <v>8102235.4699999997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1625450.02</v>
      </c>
      <c r="AT31" s="115">
        <v>0</v>
      </c>
      <c r="AU31" s="115">
        <f t="shared" si="30"/>
        <v>133671.19</v>
      </c>
      <c r="AV31" s="48">
        <f t="shared" si="30"/>
        <v>133671.19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113299.4</v>
      </c>
      <c r="BC31" s="115">
        <f t="shared" si="30"/>
        <v>133497.16</v>
      </c>
      <c r="BD31" s="210">
        <f t="shared" si="30"/>
        <v>-899.19</v>
      </c>
      <c r="BE31" s="272">
        <f t="shared" si="30"/>
        <v>-4079.59</v>
      </c>
      <c r="BF31" s="210">
        <f t="shared" si="30"/>
        <v>-152.21</v>
      </c>
      <c r="BG31" s="272">
        <f t="shared" si="30"/>
        <v>-384.38</v>
      </c>
      <c r="BH31" s="48">
        <f t="shared" si="30"/>
        <v>241281.19</v>
      </c>
      <c r="BI31" s="48">
        <f t="shared" si="30"/>
        <v>-32482.560000000001</v>
      </c>
      <c r="BJ31" s="48">
        <f t="shared" si="30"/>
        <v>-12264.83</v>
      </c>
      <c r="BK31" s="73">
        <f t="shared" si="30"/>
        <v>-44747.39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3801420.4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3836304.44</v>
      </c>
      <c r="S34" s="259">
        <f>S31+S33</f>
        <v>4866294.1500000004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6475210.4500000002</v>
      </c>
      <c r="AN34" s="259">
        <f>AN31+AN33</f>
        <v>8100660.4699999997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'12.31.19'!R31</f>
        <v>3802995.4</v>
      </c>
      <c r="G38" s="121">
        <f>SUM(G12:G29)</f>
        <v>0</v>
      </c>
      <c r="H38" s="121">
        <f>F31+G31+P31</f>
        <v>3802995.4</v>
      </c>
      <c r="I38" s="144">
        <v>1</v>
      </c>
      <c r="J38" s="121"/>
      <c r="K38" s="121">
        <f>SUM(K12:K29)</f>
        <v>0</v>
      </c>
      <c r="L38" s="121">
        <f>SUM(L12:L29)</f>
        <v>34884.04</v>
      </c>
      <c r="M38" s="121">
        <f>K31+L31</f>
        <v>34884.04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3837879.44</v>
      </c>
      <c r="S38" s="121">
        <f>SUM(S12:S29)</f>
        <v>4867869.1500000004</v>
      </c>
      <c r="T38" s="121">
        <f>'12.31.19'!AJ31</f>
        <v>2575366.5499999998</v>
      </c>
      <c r="U38" s="144">
        <v>1</v>
      </c>
      <c r="V38" s="229"/>
      <c r="W38" s="198"/>
      <c r="X38" s="121">
        <f t="shared" ref="X38:AE38" si="31">SUM(X12:X29)</f>
        <v>7241.9</v>
      </c>
      <c r="Y38" s="121">
        <f t="shared" si="31"/>
        <v>8341.56</v>
      </c>
      <c r="Z38" s="121">
        <f t="shared" si="31"/>
        <v>15583.46</v>
      </c>
      <c r="AA38" s="121">
        <f t="shared" si="31"/>
        <v>54544.91</v>
      </c>
      <c r="AB38" s="121">
        <f t="shared" si="31"/>
        <v>0</v>
      </c>
      <c r="AC38" s="121">
        <f t="shared" si="31"/>
        <v>-1569.06</v>
      </c>
      <c r="AD38" s="121">
        <f t="shared" si="31"/>
        <v>0</v>
      </c>
      <c r="AE38" s="121">
        <f t="shared" si="31"/>
        <v>-109.35</v>
      </c>
      <c r="AF38" s="121">
        <f>SUM(Z31:AE31)</f>
        <v>68449.960000000006</v>
      </c>
      <c r="AG38" s="121">
        <f>SUM(AG12:AG29)</f>
        <v>-4910.5</v>
      </c>
      <c r="AH38" s="121">
        <f>SUM(AH12:AH29)</f>
        <v>0</v>
      </c>
      <c r="AI38" s="121">
        <f>AG38+AH38</f>
        <v>-4910.5</v>
      </c>
      <c r="AJ38" s="121">
        <f>T31+AF31+AI31</f>
        <v>2638906.0099999998</v>
      </c>
      <c r="AK38" s="149"/>
      <c r="AL38" s="121"/>
      <c r="AM38" s="121">
        <f>R31+AJ31</f>
        <v>6476785.4500000002</v>
      </c>
      <c r="AN38" s="121">
        <f>SUM(AN12:AN29)</f>
        <v>8102235.4699999997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34884.04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68449.960000000006</v>
      </c>
      <c r="BI38" s="146">
        <f>AG31</f>
        <v>-4910.5</v>
      </c>
      <c r="BJ38" s="146">
        <f>AH31</f>
        <v>0</v>
      </c>
      <c r="BK38" s="146">
        <f>AI31</f>
        <v>-4910.5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98787.15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172831.23</v>
      </c>
      <c r="BI40" s="149">
        <f t="shared" si="33"/>
        <v>-27572.06</v>
      </c>
      <c r="BJ40" s="149">
        <f t="shared" si="33"/>
        <v>-12264.83</v>
      </c>
      <c r="BK40" s="149">
        <f t="shared" si="33"/>
        <v>-39836.89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'12.31.19'!AR31</f>
        <v>0</v>
      </c>
      <c r="AS41" s="141"/>
      <c r="AT41" s="141"/>
      <c r="AU41" s="141"/>
      <c r="AV41" s="141">
        <f>'12.31.19'!AV31</f>
        <v>98787.15</v>
      </c>
      <c r="AW41" s="141">
        <f>'12.31.19'!AW31</f>
        <v>0</v>
      </c>
      <c r="AX41" s="141">
        <f>'12.31.19'!AX31</f>
        <v>0</v>
      </c>
      <c r="AY41" s="141">
        <f>'12.31.19'!AY31</f>
        <v>0</v>
      </c>
      <c r="AZ41" s="141">
        <f>'12.31.19'!AZ31</f>
        <v>0</v>
      </c>
      <c r="BA41" s="181"/>
      <c r="BB41" s="181"/>
      <c r="BC41" s="181"/>
      <c r="BD41" s="181"/>
      <c r="BE41" s="181"/>
      <c r="BF41" s="181"/>
      <c r="BG41" s="181"/>
      <c r="BH41" s="141">
        <f>'12.31.19'!BH31</f>
        <v>172831.23</v>
      </c>
      <c r="BI41" s="141">
        <f>'12.31.19'!BI31</f>
        <v>-27572.06</v>
      </c>
      <c r="BJ41" s="141">
        <f>'12.31.19'!BJ31</f>
        <v>-12264.83</v>
      </c>
      <c r="BK41" s="141">
        <f>'12.31.19'!BK31</f>
        <v>-39836.89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>AG31-AG38</f>
        <v>0</v>
      </c>
      <c r="AH42" s="298">
        <f>AH31-AH38</f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3836304.44</v>
      </c>
      <c r="AM45" s="289"/>
      <c r="AN45" s="289">
        <v>4866294.1500000004</v>
      </c>
      <c r="AO45" s="307">
        <f>AN45-AL45</f>
        <v>1029989.71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3836304.44</v>
      </c>
      <c r="AN46" s="289">
        <v>0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2635131.7999999998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3774.21</v>
      </c>
      <c r="AM49" s="290">
        <f>AL48+AL49</f>
        <v>2638906.0099999998</v>
      </c>
      <c r="AN49" s="290">
        <v>3234366.32</v>
      </c>
      <c r="AO49" s="307">
        <f>AN49-AM49</f>
        <v>595460.31000000006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6475210.4500000002</v>
      </c>
      <c r="AN51" s="296">
        <f>AN45+AN46+AN49</f>
        <v>8100660.4699999997</v>
      </c>
      <c r="AO51" s="308">
        <f>AO45+AO46+AO49</f>
        <v>1625450.02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BK55"/>
  <sheetViews>
    <sheetView topLeftCell="AK1" zoomScale="70" zoomScaleNormal="70" zoomScaleSheetLayoutView="75" workbookViewId="0">
      <pane ySplit="9" topLeftCell="A10" activePane="bottomLeft" state="frozen"/>
      <selection activeCell="BI69" sqref="BI69"/>
      <selection pane="bottomLeft" activeCell="BI69" sqref="BI69"/>
    </sheetView>
  </sheetViews>
  <sheetFormatPr defaultColWidth="9" defaultRowHeight="15"/>
  <cols>
    <col min="1" max="1" width="9.6640625" style="118" hidden="1" customWidth="1"/>
    <col min="2" max="2" width="32.6640625" style="24" customWidth="1"/>
    <col min="3" max="3" width="19.109375" style="29" customWidth="1"/>
    <col min="4" max="4" width="17" style="29" customWidth="1"/>
    <col min="5" max="5" width="12.77734375" style="24" customWidth="1"/>
    <col min="6" max="6" width="14.77734375" style="24" customWidth="1"/>
    <col min="7" max="7" width="13.6640625" style="24" customWidth="1"/>
    <col min="8" max="8" width="14.109375" style="117" hidden="1" customWidth="1"/>
    <col min="9" max="9" width="13.6640625" style="29" customWidth="1"/>
    <col min="10" max="10" width="13.44140625" style="117" hidden="1" customWidth="1"/>
    <col min="11" max="11" width="9.88671875" style="117" hidden="1" customWidth="1"/>
    <col min="12" max="12" width="13" style="117" hidden="1" customWidth="1"/>
    <col min="13" max="13" width="13.6640625" style="24" customWidth="1"/>
    <col min="14" max="14" width="13.44140625" style="24" customWidth="1"/>
    <col min="15" max="15" width="9.6640625" style="30" customWidth="1"/>
    <col min="16" max="16" width="12.77734375" style="24" customWidth="1"/>
    <col min="17" max="17" width="12.77734375" style="117" hidden="1" customWidth="1"/>
    <col min="18" max="18" width="16" style="30" customWidth="1"/>
    <col min="19" max="19" width="16.33203125" style="24" customWidth="1"/>
    <col min="20" max="20" width="13" style="24" customWidth="1"/>
    <col min="21" max="21" width="10.88671875" style="24" customWidth="1"/>
    <col min="22" max="22" width="12.77734375" style="225" hidden="1" customWidth="1"/>
    <col min="23" max="23" width="12.77734375" style="226" hidden="1" customWidth="1"/>
    <col min="24" max="24" width="11.21875" style="196" hidden="1" customWidth="1"/>
    <col min="25" max="25" width="10.44140625" style="196" hidden="1" customWidth="1"/>
    <col min="26" max="26" width="11.21875" style="117" hidden="1" customWidth="1"/>
    <col min="27" max="31" width="9.44140625" style="117" hidden="1" customWidth="1"/>
    <col min="32" max="32" width="9.44140625" style="24" customWidth="1"/>
    <col min="33" max="33" width="10.77734375" style="24" customWidth="1"/>
    <col min="34" max="34" width="11.109375" style="24" customWidth="1"/>
    <col min="35" max="35" width="11.88671875" style="117" hidden="1" customWidth="1"/>
    <col min="36" max="36" width="13.6640625" style="24" customWidth="1"/>
    <col min="37" max="37" width="17.44140625" style="217" hidden="1" customWidth="1"/>
    <col min="38" max="38" width="15.44140625" style="117" hidden="1" customWidth="1"/>
    <col min="39" max="39" width="13.21875" style="30" customWidth="1"/>
    <col min="40" max="40" width="13" style="30" customWidth="1"/>
    <col min="41" max="41" width="12.21875" style="25" customWidth="1"/>
    <col min="42" max="42" width="14" style="108" hidden="1" customWidth="1"/>
    <col min="43" max="43" width="15.77734375" style="118" hidden="1" customWidth="1"/>
    <col min="44" max="44" width="11.44140625" style="24" customWidth="1"/>
    <col min="45" max="45" width="12.44140625" style="117" hidden="1" customWidth="1"/>
    <col min="46" max="47" width="11.109375" style="118" hidden="1" customWidth="1"/>
    <col min="48" max="49" width="14.44140625" style="24" customWidth="1"/>
    <col min="50" max="50" width="10.21875" style="24" customWidth="1"/>
    <col min="51" max="51" width="13.77734375" style="24" customWidth="1"/>
    <col min="52" max="52" width="14.6640625" style="30" customWidth="1"/>
    <col min="53" max="53" width="11.77734375" style="117" hidden="1" customWidth="1"/>
    <col min="54" max="54" width="10.21875" style="117" hidden="1" customWidth="1"/>
    <col min="55" max="59" width="9" style="117" hidden="1" customWidth="1"/>
    <col min="60" max="60" width="10.77734375" style="24" customWidth="1"/>
    <col min="61" max="61" width="9" style="24"/>
    <col min="62" max="62" width="9.21875" style="24" bestFit="1" customWidth="1"/>
    <col min="63" max="63" width="14.44140625" style="30" customWidth="1"/>
    <col min="64" max="278" width="9" style="24"/>
    <col min="279" max="279" width="9" style="24" customWidth="1"/>
    <col min="280" max="280" width="27.88671875" style="24" customWidth="1"/>
    <col min="281" max="281" width="10.109375" style="24" customWidth="1"/>
    <col min="282" max="282" width="12.109375" style="24" customWidth="1"/>
    <col min="283" max="283" width="8.88671875" style="24" customWidth="1"/>
    <col min="284" max="285" width="13.6640625" style="24" customWidth="1"/>
    <col min="286" max="286" width="11.88671875" style="24" customWidth="1"/>
    <col min="287" max="287" width="12.6640625" style="24" customWidth="1"/>
    <col min="288" max="288" width="13.6640625" style="24" customWidth="1"/>
    <col min="289" max="289" width="14.6640625" style="24" customWidth="1"/>
    <col min="290" max="290" width="9.44140625" style="24" customWidth="1"/>
    <col min="291" max="291" width="11.33203125" style="24" customWidth="1"/>
    <col min="292" max="292" width="11.88671875" style="24" customWidth="1"/>
    <col min="293" max="293" width="11.109375" style="24" customWidth="1"/>
    <col min="294" max="294" width="11.88671875" style="24" customWidth="1"/>
    <col min="295" max="295" width="15.88671875" style="24" customWidth="1"/>
    <col min="296" max="296" width="9.88671875" style="24" customWidth="1"/>
    <col min="297" max="297" width="10.109375" style="24" customWidth="1"/>
    <col min="298" max="298" width="9.109375" style="24" customWidth="1"/>
    <col min="299" max="534" width="9" style="24"/>
    <col min="535" max="535" width="9" style="24" customWidth="1"/>
    <col min="536" max="536" width="27.88671875" style="24" customWidth="1"/>
    <col min="537" max="537" width="10.109375" style="24" customWidth="1"/>
    <col min="538" max="538" width="12.109375" style="24" customWidth="1"/>
    <col min="539" max="539" width="8.88671875" style="24" customWidth="1"/>
    <col min="540" max="541" width="13.6640625" style="24" customWidth="1"/>
    <col min="542" max="542" width="11.88671875" style="24" customWidth="1"/>
    <col min="543" max="543" width="12.6640625" style="24" customWidth="1"/>
    <col min="544" max="544" width="13.6640625" style="24" customWidth="1"/>
    <col min="545" max="545" width="14.6640625" style="24" customWidth="1"/>
    <col min="546" max="546" width="9.44140625" style="24" customWidth="1"/>
    <col min="547" max="547" width="11.33203125" style="24" customWidth="1"/>
    <col min="548" max="548" width="11.88671875" style="24" customWidth="1"/>
    <col min="549" max="549" width="11.109375" style="24" customWidth="1"/>
    <col min="550" max="550" width="11.88671875" style="24" customWidth="1"/>
    <col min="551" max="551" width="15.88671875" style="24" customWidth="1"/>
    <col min="552" max="552" width="9.88671875" style="24" customWidth="1"/>
    <col min="553" max="553" width="10.109375" style="24" customWidth="1"/>
    <col min="554" max="554" width="9.109375" style="24" customWidth="1"/>
    <col min="555" max="790" width="9" style="24"/>
    <col min="791" max="791" width="9" style="24" customWidth="1"/>
    <col min="792" max="792" width="27.88671875" style="24" customWidth="1"/>
    <col min="793" max="793" width="10.109375" style="24" customWidth="1"/>
    <col min="794" max="794" width="12.109375" style="24" customWidth="1"/>
    <col min="795" max="795" width="8.88671875" style="24" customWidth="1"/>
    <col min="796" max="797" width="13.6640625" style="24" customWidth="1"/>
    <col min="798" max="798" width="11.88671875" style="24" customWidth="1"/>
    <col min="799" max="799" width="12.6640625" style="24" customWidth="1"/>
    <col min="800" max="800" width="13.6640625" style="24" customWidth="1"/>
    <col min="801" max="801" width="14.6640625" style="24" customWidth="1"/>
    <col min="802" max="802" width="9.44140625" style="24" customWidth="1"/>
    <col min="803" max="803" width="11.33203125" style="24" customWidth="1"/>
    <col min="804" max="804" width="11.88671875" style="24" customWidth="1"/>
    <col min="805" max="805" width="11.109375" style="24" customWidth="1"/>
    <col min="806" max="806" width="11.88671875" style="24" customWidth="1"/>
    <col min="807" max="807" width="15.88671875" style="24" customWidth="1"/>
    <col min="808" max="808" width="9.88671875" style="24" customWidth="1"/>
    <col min="809" max="809" width="10.109375" style="24" customWidth="1"/>
    <col min="810" max="810" width="9.109375" style="24" customWidth="1"/>
    <col min="811" max="1046" width="9" style="24"/>
    <col min="1047" max="1047" width="9" style="24" customWidth="1"/>
    <col min="1048" max="1048" width="27.88671875" style="24" customWidth="1"/>
    <col min="1049" max="1049" width="10.109375" style="24" customWidth="1"/>
    <col min="1050" max="1050" width="12.109375" style="24" customWidth="1"/>
    <col min="1051" max="1051" width="8.88671875" style="24" customWidth="1"/>
    <col min="1052" max="1053" width="13.6640625" style="24" customWidth="1"/>
    <col min="1054" max="1054" width="11.88671875" style="24" customWidth="1"/>
    <col min="1055" max="1055" width="12.6640625" style="24" customWidth="1"/>
    <col min="1056" max="1056" width="13.6640625" style="24" customWidth="1"/>
    <col min="1057" max="1057" width="14.6640625" style="24" customWidth="1"/>
    <col min="1058" max="1058" width="9.44140625" style="24" customWidth="1"/>
    <col min="1059" max="1059" width="11.33203125" style="24" customWidth="1"/>
    <col min="1060" max="1060" width="11.88671875" style="24" customWidth="1"/>
    <col min="1061" max="1061" width="11.109375" style="24" customWidth="1"/>
    <col min="1062" max="1062" width="11.88671875" style="24" customWidth="1"/>
    <col min="1063" max="1063" width="15.88671875" style="24" customWidth="1"/>
    <col min="1064" max="1064" width="9.88671875" style="24" customWidth="1"/>
    <col min="1065" max="1065" width="10.109375" style="24" customWidth="1"/>
    <col min="1066" max="1066" width="9.109375" style="24" customWidth="1"/>
    <col min="1067" max="1302" width="9" style="24"/>
    <col min="1303" max="1303" width="9" style="24" customWidth="1"/>
    <col min="1304" max="1304" width="27.88671875" style="24" customWidth="1"/>
    <col min="1305" max="1305" width="10.109375" style="24" customWidth="1"/>
    <col min="1306" max="1306" width="12.109375" style="24" customWidth="1"/>
    <col min="1307" max="1307" width="8.88671875" style="24" customWidth="1"/>
    <col min="1308" max="1309" width="13.6640625" style="24" customWidth="1"/>
    <col min="1310" max="1310" width="11.88671875" style="24" customWidth="1"/>
    <col min="1311" max="1311" width="12.6640625" style="24" customWidth="1"/>
    <col min="1312" max="1312" width="13.6640625" style="24" customWidth="1"/>
    <col min="1313" max="1313" width="14.6640625" style="24" customWidth="1"/>
    <col min="1314" max="1314" width="9.44140625" style="24" customWidth="1"/>
    <col min="1315" max="1315" width="11.33203125" style="24" customWidth="1"/>
    <col min="1316" max="1316" width="11.88671875" style="24" customWidth="1"/>
    <col min="1317" max="1317" width="11.109375" style="24" customWidth="1"/>
    <col min="1318" max="1318" width="11.88671875" style="24" customWidth="1"/>
    <col min="1319" max="1319" width="15.88671875" style="24" customWidth="1"/>
    <col min="1320" max="1320" width="9.88671875" style="24" customWidth="1"/>
    <col min="1321" max="1321" width="10.109375" style="24" customWidth="1"/>
    <col min="1322" max="1322" width="9.109375" style="24" customWidth="1"/>
    <col min="1323" max="1558" width="9" style="24"/>
    <col min="1559" max="1559" width="9" style="24" customWidth="1"/>
    <col min="1560" max="1560" width="27.88671875" style="24" customWidth="1"/>
    <col min="1561" max="1561" width="10.109375" style="24" customWidth="1"/>
    <col min="1562" max="1562" width="12.109375" style="24" customWidth="1"/>
    <col min="1563" max="1563" width="8.88671875" style="24" customWidth="1"/>
    <col min="1564" max="1565" width="13.6640625" style="24" customWidth="1"/>
    <col min="1566" max="1566" width="11.88671875" style="24" customWidth="1"/>
    <col min="1567" max="1567" width="12.6640625" style="24" customWidth="1"/>
    <col min="1568" max="1568" width="13.6640625" style="24" customWidth="1"/>
    <col min="1569" max="1569" width="14.6640625" style="24" customWidth="1"/>
    <col min="1570" max="1570" width="9.44140625" style="24" customWidth="1"/>
    <col min="1571" max="1571" width="11.33203125" style="24" customWidth="1"/>
    <col min="1572" max="1572" width="11.88671875" style="24" customWidth="1"/>
    <col min="1573" max="1573" width="11.109375" style="24" customWidth="1"/>
    <col min="1574" max="1574" width="11.88671875" style="24" customWidth="1"/>
    <col min="1575" max="1575" width="15.88671875" style="24" customWidth="1"/>
    <col min="1576" max="1576" width="9.88671875" style="24" customWidth="1"/>
    <col min="1577" max="1577" width="10.109375" style="24" customWidth="1"/>
    <col min="1578" max="1578" width="9.109375" style="24" customWidth="1"/>
    <col min="1579" max="1814" width="9" style="24"/>
    <col min="1815" max="1815" width="9" style="24" customWidth="1"/>
    <col min="1816" max="1816" width="27.88671875" style="24" customWidth="1"/>
    <col min="1817" max="1817" width="10.109375" style="24" customWidth="1"/>
    <col min="1818" max="1818" width="12.109375" style="24" customWidth="1"/>
    <col min="1819" max="1819" width="8.88671875" style="24" customWidth="1"/>
    <col min="1820" max="1821" width="13.6640625" style="24" customWidth="1"/>
    <col min="1822" max="1822" width="11.88671875" style="24" customWidth="1"/>
    <col min="1823" max="1823" width="12.6640625" style="24" customWidth="1"/>
    <col min="1824" max="1824" width="13.6640625" style="24" customWidth="1"/>
    <col min="1825" max="1825" width="14.6640625" style="24" customWidth="1"/>
    <col min="1826" max="1826" width="9.44140625" style="24" customWidth="1"/>
    <col min="1827" max="1827" width="11.33203125" style="24" customWidth="1"/>
    <col min="1828" max="1828" width="11.88671875" style="24" customWidth="1"/>
    <col min="1829" max="1829" width="11.109375" style="24" customWidth="1"/>
    <col min="1830" max="1830" width="11.88671875" style="24" customWidth="1"/>
    <col min="1831" max="1831" width="15.88671875" style="24" customWidth="1"/>
    <col min="1832" max="1832" width="9.88671875" style="24" customWidth="1"/>
    <col min="1833" max="1833" width="10.109375" style="24" customWidth="1"/>
    <col min="1834" max="1834" width="9.109375" style="24" customWidth="1"/>
    <col min="1835" max="2070" width="9" style="24"/>
    <col min="2071" max="2071" width="9" style="24" customWidth="1"/>
    <col min="2072" max="2072" width="27.88671875" style="24" customWidth="1"/>
    <col min="2073" max="2073" width="10.109375" style="24" customWidth="1"/>
    <col min="2074" max="2074" width="12.109375" style="24" customWidth="1"/>
    <col min="2075" max="2075" width="8.88671875" style="24" customWidth="1"/>
    <col min="2076" max="2077" width="13.6640625" style="24" customWidth="1"/>
    <col min="2078" max="2078" width="11.88671875" style="24" customWidth="1"/>
    <col min="2079" max="2079" width="12.6640625" style="24" customWidth="1"/>
    <col min="2080" max="2080" width="13.6640625" style="24" customWidth="1"/>
    <col min="2081" max="2081" width="14.6640625" style="24" customWidth="1"/>
    <col min="2082" max="2082" width="9.44140625" style="24" customWidth="1"/>
    <col min="2083" max="2083" width="11.33203125" style="24" customWidth="1"/>
    <col min="2084" max="2084" width="11.88671875" style="24" customWidth="1"/>
    <col min="2085" max="2085" width="11.109375" style="24" customWidth="1"/>
    <col min="2086" max="2086" width="11.88671875" style="24" customWidth="1"/>
    <col min="2087" max="2087" width="15.88671875" style="24" customWidth="1"/>
    <col min="2088" max="2088" width="9.88671875" style="24" customWidth="1"/>
    <col min="2089" max="2089" width="10.109375" style="24" customWidth="1"/>
    <col min="2090" max="2090" width="9.109375" style="24" customWidth="1"/>
    <col min="2091" max="2326" width="9" style="24"/>
    <col min="2327" max="2327" width="9" style="24" customWidth="1"/>
    <col min="2328" max="2328" width="27.88671875" style="24" customWidth="1"/>
    <col min="2329" max="2329" width="10.109375" style="24" customWidth="1"/>
    <col min="2330" max="2330" width="12.109375" style="24" customWidth="1"/>
    <col min="2331" max="2331" width="8.88671875" style="24" customWidth="1"/>
    <col min="2332" max="2333" width="13.6640625" style="24" customWidth="1"/>
    <col min="2334" max="2334" width="11.88671875" style="24" customWidth="1"/>
    <col min="2335" max="2335" width="12.6640625" style="24" customWidth="1"/>
    <col min="2336" max="2336" width="13.6640625" style="24" customWidth="1"/>
    <col min="2337" max="2337" width="14.6640625" style="24" customWidth="1"/>
    <col min="2338" max="2338" width="9.44140625" style="24" customWidth="1"/>
    <col min="2339" max="2339" width="11.33203125" style="24" customWidth="1"/>
    <col min="2340" max="2340" width="11.88671875" style="24" customWidth="1"/>
    <col min="2341" max="2341" width="11.109375" style="24" customWidth="1"/>
    <col min="2342" max="2342" width="11.88671875" style="24" customWidth="1"/>
    <col min="2343" max="2343" width="15.88671875" style="24" customWidth="1"/>
    <col min="2344" max="2344" width="9.88671875" style="24" customWidth="1"/>
    <col min="2345" max="2345" width="10.109375" style="24" customWidth="1"/>
    <col min="2346" max="2346" width="9.109375" style="24" customWidth="1"/>
    <col min="2347" max="2582" width="9" style="24"/>
    <col min="2583" max="2583" width="9" style="24" customWidth="1"/>
    <col min="2584" max="2584" width="27.88671875" style="24" customWidth="1"/>
    <col min="2585" max="2585" width="10.109375" style="24" customWidth="1"/>
    <col min="2586" max="2586" width="12.109375" style="24" customWidth="1"/>
    <col min="2587" max="2587" width="8.88671875" style="24" customWidth="1"/>
    <col min="2588" max="2589" width="13.6640625" style="24" customWidth="1"/>
    <col min="2590" max="2590" width="11.88671875" style="24" customWidth="1"/>
    <col min="2591" max="2591" width="12.6640625" style="24" customWidth="1"/>
    <col min="2592" max="2592" width="13.6640625" style="24" customWidth="1"/>
    <col min="2593" max="2593" width="14.6640625" style="24" customWidth="1"/>
    <col min="2594" max="2594" width="9.44140625" style="24" customWidth="1"/>
    <col min="2595" max="2595" width="11.33203125" style="24" customWidth="1"/>
    <col min="2596" max="2596" width="11.88671875" style="24" customWidth="1"/>
    <col min="2597" max="2597" width="11.109375" style="24" customWidth="1"/>
    <col min="2598" max="2598" width="11.88671875" style="24" customWidth="1"/>
    <col min="2599" max="2599" width="15.88671875" style="24" customWidth="1"/>
    <col min="2600" max="2600" width="9.88671875" style="24" customWidth="1"/>
    <col min="2601" max="2601" width="10.109375" style="24" customWidth="1"/>
    <col min="2602" max="2602" width="9.109375" style="24" customWidth="1"/>
    <col min="2603" max="2838" width="9" style="24"/>
    <col min="2839" max="2839" width="9" style="24" customWidth="1"/>
    <col min="2840" max="2840" width="27.88671875" style="24" customWidth="1"/>
    <col min="2841" max="2841" width="10.109375" style="24" customWidth="1"/>
    <col min="2842" max="2842" width="12.109375" style="24" customWidth="1"/>
    <col min="2843" max="2843" width="8.88671875" style="24" customWidth="1"/>
    <col min="2844" max="2845" width="13.6640625" style="24" customWidth="1"/>
    <col min="2846" max="2846" width="11.88671875" style="24" customWidth="1"/>
    <col min="2847" max="2847" width="12.6640625" style="24" customWidth="1"/>
    <col min="2848" max="2848" width="13.6640625" style="24" customWidth="1"/>
    <col min="2849" max="2849" width="14.6640625" style="24" customWidth="1"/>
    <col min="2850" max="2850" width="9.44140625" style="24" customWidth="1"/>
    <col min="2851" max="2851" width="11.33203125" style="24" customWidth="1"/>
    <col min="2852" max="2852" width="11.88671875" style="24" customWidth="1"/>
    <col min="2853" max="2853" width="11.109375" style="24" customWidth="1"/>
    <col min="2854" max="2854" width="11.88671875" style="24" customWidth="1"/>
    <col min="2855" max="2855" width="15.88671875" style="24" customWidth="1"/>
    <col min="2856" max="2856" width="9.88671875" style="24" customWidth="1"/>
    <col min="2857" max="2857" width="10.109375" style="24" customWidth="1"/>
    <col min="2858" max="2858" width="9.109375" style="24" customWidth="1"/>
    <col min="2859" max="3094" width="9" style="24"/>
    <col min="3095" max="3095" width="9" style="24" customWidth="1"/>
    <col min="3096" max="3096" width="27.88671875" style="24" customWidth="1"/>
    <col min="3097" max="3097" width="10.109375" style="24" customWidth="1"/>
    <col min="3098" max="3098" width="12.109375" style="24" customWidth="1"/>
    <col min="3099" max="3099" width="8.88671875" style="24" customWidth="1"/>
    <col min="3100" max="3101" width="13.6640625" style="24" customWidth="1"/>
    <col min="3102" max="3102" width="11.88671875" style="24" customWidth="1"/>
    <col min="3103" max="3103" width="12.6640625" style="24" customWidth="1"/>
    <col min="3104" max="3104" width="13.6640625" style="24" customWidth="1"/>
    <col min="3105" max="3105" width="14.6640625" style="24" customWidth="1"/>
    <col min="3106" max="3106" width="9.44140625" style="24" customWidth="1"/>
    <col min="3107" max="3107" width="11.33203125" style="24" customWidth="1"/>
    <col min="3108" max="3108" width="11.88671875" style="24" customWidth="1"/>
    <col min="3109" max="3109" width="11.109375" style="24" customWidth="1"/>
    <col min="3110" max="3110" width="11.88671875" style="24" customWidth="1"/>
    <col min="3111" max="3111" width="15.88671875" style="24" customWidth="1"/>
    <col min="3112" max="3112" width="9.88671875" style="24" customWidth="1"/>
    <col min="3113" max="3113" width="10.109375" style="24" customWidth="1"/>
    <col min="3114" max="3114" width="9.109375" style="24" customWidth="1"/>
    <col min="3115" max="3350" width="9" style="24"/>
    <col min="3351" max="3351" width="9" style="24" customWidth="1"/>
    <col min="3352" max="3352" width="27.88671875" style="24" customWidth="1"/>
    <col min="3353" max="3353" width="10.109375" style="24" customWidth="1"/>
    <col min="3354" max="3354" width="12.109375" style="24" customWidth="1"/>
    <col min="3355" max="3355" width="8.88671875" style="24" customWidth="1"/>
    <col min="3356" max="3357" width="13.6640625" style="24" customWidth="1"/>
    <col min="3358" max="3358" width="11.88671875" style="24" customWidth="1"/>
    <col min="3359" max="3359" width="12.6640625" style="24" customWidth="1"/>
    <col min="3360" max="3360" width="13.6640625" style="24" customWidth="1"/>
    <col min="3361" max="3361" width="14.6640625" style="24" customWidth="1"/>
    <col min="3362" max="3362" width="9.44140625" style="24" customWidth="1"/>
    <col min="3363" max="3363" width="11.33203125" style="24" customWidth="1"/>
    <col min="3364" max="3364" width="11.88671875" style="24" customWidth="1"/>
    <col min="3365" max="3365" width="11.109375" style="24" customWidth="1"/>
    <col min="3366" max="3366" width="11.88671875" style="24" customWidth="1"/>
    <col min="3367" max="3367" width="15.88671875" style="24" customWidth="1"/>
    <col min="3368" max="3368" width="9.88671875" style="24" customWidth="1"/>
    <col min="3369" max="3369" width="10.109375" style="24" customWidth="1"/>
    <col min="3370" max="3370" width="9.109375" style="24" customWidth="1"/>
    <col min="3371" max="3606" width="9" style="24"/>
    <col min="3607" max="3607" width="9" style="24" customWidth="1"/>
    <col min="3608" max="3608" width="27.88671875" style="24" customWidth="1"/>
    <col min="3609" max="3609" width="10.109375" style="24" customWidth="1"/>
    <col min="3610" max="3610" width="12.109375" style="24" customWidth="1"/>
    <col min="3611" max="3611" width="8.88671875" style="24" customWidth="1"/>
    <col min="3612" max="3613" width="13.6640625" style="24" customWidth="1"/>
    <col min="3614" max="3614" width="11.88671875" style="24" customWidth="1"/>
    <col min="3615" max="3615" width="12.6640625" style="24" customWidth="1"/>
    <col min="3616" max="3616" width="13.6640625" style="24" customWidth="1"/>
    <col min="3617" max="3617" width="14.6640625" style="24" customWidth="1"/>
    <col min="3618" max="3618" width="9.44140625" style="24" customWidth="1"/>
    <col min="3619" max="3619" width="11.33203125" style="24" customWidth="1"/>
    <col min="3620" max="3620" width="11.88671875" style="24" customWidth="1"/>
    <col min="3621" max="3621" width="11.109375" style="24" customWidth="1"/>
    <col min="3622" max="3622" width="11.88671875" style="24" customWidth="1"/>
    <col min="3623" max="3623" width="15.88671875" style="24" customWidth="1"/>
    <col min="3624" max="3624" width="9.88671875" style="24" customWidth="1"/>
    <col min="3625" max="3625" width="10.109375" style="24" customWidth="1"/>
    <col min="3626" max="3626" width="9.109375" style="24" customWidth="1"/>
    <col min="3627" max="3862" width="9" style="24"/>
    <col min="3863" max="3863" width="9" style="24" customWidth="1"/>
    <col min="3864" max="3864" width="27.88671875" style="24" customWidth="1"/>
    <col min="3865" max="3865" width="10.109375" style="24" customWidth="1"/>
    <col min="3866" max="3866" width="12.109375" style="24" customWidth="1"/>
    <col min="3867" max="3867" width="8.88671875" style="24" customWidth="1"/>
    <col min="3868" max="3869" width="13.6640625" style="24" customWidth="1"/>
    <col min="3870" max="3870" width="11.88671875" style="24" customWidth="1"/>
    <col min="3871" max="3871" width="12.6640625" style="24" customWidth="1"/>
    <col min="3872" max="3872" width="13.6640625" style="24" customWidth="1"/>
    <col min="3873" max="3873" width="14.6640625" style="24" customWidth="1"/>
    <col min="3874" max="3874" width="9.44140625" style="24" customWidth="1"/>
    <col min="3875" max="3875" width="11.33203125" style="24" customWidth="1"/>
    <col min="3876" max="3876" width="11.88671875" style="24" customWidth="1"/>
    <col min="3877" max="3877" width="11.109375" style="24" customWidth="1"/>
    <col min="3878" max="3878" width="11.88671875" style="24" customWidth="1"/>
    <col min="3879" max="3879" width="15.88671875" style="24" customWidth="1"/>
    <col min="3880" max="3880" width="9.88671875" style="24" customWidth="1"/>
    <col min="3881" max="3881" width="10.109375" style="24" customWidth="1"/>
    <col min="3882" max="3882" width="9.109375" style="24" customWidth="1"/>
    <col min="3883" max="4118" width="9" style="24"/>
    <col min="4119" max="4119" width="9" style="24" customWidth="1"/>
    <col min="4120" max="4120" width="27.88671875" style="24" customWidth="1"/>
    <col min="4121" max="4121" width="10.109375" style="24" customWidth="1"/>
    <col min="4122" max="4122" width="12.109375" style="24" customWidth="1"/>
    <col min="4123" max="4123" width="8.88671875" style="24" customWidth="1"/>
    <col min="4124" max="4125" width="13.6640625" style="24" customWidth="1"/>
    <col min="4126" max="4126" width="11.88671875" style="24" customWidth="1"/>
    <col min="4127" max="4127" width="12.6640625" style="24" customWidth="1"/>
    <col min="4128" max="4128" width="13.6640625" style="24" customWidth="1"/>
    <col min="4129" max="4129" width="14.6640625" style="24" customWidth="1"/>
    <col min="4130" max="4130" width="9.44140625" style="24" customWidth="1"/>
    <col min="4131" max="4131" width="11.33203125" style="24" customWidth="1"/>
    <col min="4132" max="4132" width="11.88671875" style="24" customWidth="1"/>
    <col min="4133" max="4133" width="11.109375" style="24" customWidth="1"/>
    <col min="4134" max="4134" width="11.88671875" style="24" customWidth="1"/>
    <col min="4135" max="4135" width="15.88671875" style="24" customWidth="1"/>
    <col min="4136" max="4136" width="9.88671875" style="24" customWidth="1"/>
    <col min="4137" max="4137" width="10.109375" style="24" customWidth="1"/>
    <col min="4138" max="4138" width="9.109375" style="24" customWidth="1"/>
    <col min="4139" max="4374" width="9" style="24"/>
    <col min="4375" max="4375" width="9" style="24" customWidth="1"/>
    <col min="4376" max="4376" width="27.88671875" style="24" customWidth="1"/>
    <col min="4377" max="4377" width="10.109375" style="24" customWidth="1"/>
    <col min="4378" max="4378" width="12.109375" style="24" customWidth="1"/>
    <col min="4379" max="4379" width="8.88671875" style="24" customWidth="1"/>
    <col min="4380" max="4381" width="13.6640625" style="24" customWidth="1"/>
    <col min="4382" max="4382" width="11.88671875" style="24" customWidth="1"/>
    <col min="4383" max="4383" width="12.6640625" style="24" customWidth="1"/>
    <col min="4384" max="4384" width="13.6640625" style="24" customWidth="1"/>
    <col min="4385" max="4385" width="14.6640625" style="24" customWidth="1"/>
    <col min="4386" max="4386" width="9.44140625" style="24" customWidth="1"/>
    <col min="4387" max="4387" width="11.33203125" style="24" customWidth="1"/>
    <col min="4388" max="4388" width="11.88671875" style="24" customWidth="1"/>
    <col min="4389" max="4389" width="11.109375" style="24" customWidth="1"/>
    <col min="4390" max="4390" width="11.88671875" style="24" customWidth="1"/>
    <col min="4391" max="4391" width="15.88671875" style="24" customWidth="1"/>
    <col min="4392" max="4392" width="9.88671875" style="24" customWidth="1"/>
    <col min="4393" max="4393" width="10.109375" style="24" customWidth="1"/>
    <col min="4394" max="4394" width="9.109375" style="24" customWidth="1"/>
    <col min="4395" max="4630" width="9" style="24"/>
    <col min="4631" max="4631" width="9" style="24" customWidth="1"/>
    <col min="4632" max="4632" width="27.88671875" style="24" customWidth="1"/>
    <col min="4633" max="4633" width="10.109375" style="24" customWidth="1"/>
    <col min="4634" max="4634" width="12.109375" style="24" customWidth="1"/>
    <col min="4635" max="4635" width="8.88671875" style="24" customWidth="1"/>
    <col min="4636" max="4637" width="13.6640625" style="24" customWidth="1"/>
    <col min="4638" max="4638" width="11.88671875" style="24" customWidth="1"/>
    <col min="4639" max="4639" width="12.6640625" style="24" customWidth="1"/>
    <col min="4640" max="4640" width="13.6640625" style="24" customWidth="1"/>
    <col min="4641" max="4641" width="14.6640625" style="24" customWidth="1"/>
    <col min="4642" max="4642" width="9.44140625" style="24" customWidth="1"/>
    <col min="4643" max="4643" width="11.33203125" style="24" customWidth="1"/>
    <col min="4644" max="4644" width="11.88671875" style="24" customWidth="1"/>
    <col min="4645" max="4645" width="11.109375" style="24" customWidth="1"/>
    <col min="4646" max="4646" width="11.88671875" style="24" customWidth="1"/>
    <col min="4647" max="4647" width="15.88671875" style="24" customWidth="1"/>
    <col min="4648" max="4648" width="9.88671875" style="24" customWidth="1"/>
    <col min="4649" max="4649" width="10.109375" style="24" customWidth="1"/>
    <col min="4650" max="4650" width="9.109375" style="24" customWidth="1"/>
    <col min="4651" max="4886" width="9" style="24"/>
    <col min="4887" max="4887" width="9" style="24" customWidth="1"/>
    <col min="4888" max="4888" width="27.88671875" style="24" customWidth="1"/>
    <col min="4889" max="4889" width="10.109375" style="24" customWidth="1"/>
    <col min="4890" max="4890" width="12.109375" style="24" customWidth="1"/>
    <col min="4891" max="4891" width="8.88671875" style="24" customWidth="1"/>
    <col min="4892" max="4893" width="13.6640625" style="24" customWidth="1"/>
    <col min="4894" max="4894" width="11.88671875" style="24" customWidth="1"/>
    <col min="4895" max="4895" width="12.6640625" style="24" customWidth="1"/>
    <col min="4896" max="4896" width="13.6640625" style="24" customWidth="1"/>
    <col min="4897" max="4897" width="14.6640625" style="24" customWidth="1"/>
    <col min="4898" max="4898" width="9.44140625" style="24" customWidth="1"/>
    <col min="4899" max="4899" width="11.33203125" style="24" customWidth="1"/>
    <col min="4900" max="4900" width="11.88671875" style="24" customWidth="1"/>
    <col min="4901" max="4901" width="11.109375" style="24" customWidth="1"/>
    <col min="4902" max="4902" width="11.88671875" style="24" customWidth="1"/>
    <col min="4903" max="4903" width="15.88671875" style="24" customWidth="1"/>
    <col min="4904" max="4904" width="9.88671875" style="24" customWidth="1"/>
    <col min="4905" max="4905" width="10.109375" style="24" customWidth="1"/>
    <col min="4906" max="4906" width="9.109375" style="24" customWidth="1"/>
    <col min="4907" max="5142" width="9" style="24"/>
    <col min="5143" max="5143" width="9" style="24" customWidth="1"/>
    <col min="5144" max="5144" width="27.88671875" style="24" customWidth="1"/>
    <col min="5145" max="5145" width="10.109375" style="24" customWidth="1"/>
    <col min="5146" max="5146" width="12.109375" style="24" customWidth="1"/>
    <col min="5147" max="5147" width="8.88671875" style="24" customWidth="1"/>
    <col min="5148" max="5149" width="13.6640625" style="24" customWidth="1"/>
    <col min="5150" max="5150" width="11.88671875" style="24" customWidth="1"/>
    <col min="5151" max="5151" width="12.6640625" style="24" customWidth="1"/>
    <col min="5152" max="5152" width="13.6640625" style="24" customWidth="1"/>
    <col min="5153" max="5153" width="14.6640625" style="24" customWidth="1"/>
    <col min="5154" max="5154" width="9.44140625" style="24" customWidth="1"/>
    <col min="5155" max="5155" width="11.33203125" style="24" customWidth="1"/>
    <col min="5156" max="5156" width="11.88671875" style="24" customWidth="1"/>
    <col min="5157" max="5157" width="11.109375" style="24" customWidth="1"/>
    <col min="5158" max="5158" width="11.88671875" style="24" customWidth="1"/>
    <col min="5159" max="5159" width="15.88671875" style="24" customWidth="1"/>
    <col min="5160" max="5160" width="9.88671875" style="24" customWidth="1"/>
    <col min="5161" max="5161" width="10.109375" style="24" customWidth="1"/>
    <col min="5162" max="5162" width="9.109375" style="24" customWidth="1"/>
    <col min="5163" max="5398" width="9" style="24"/>
    <col min="5399" max="5399" width="9" style="24" customWidth="1"/>
    <col min="5400" max="5400" width="27.88671875" style="24" customWidth="1"/>
    <col min="5401" max="5401" width="10.109375" style="24" customWidth="1"/>
    <col min="5402" max="5402" width="12.109375" style="24" customWidth="1"/>
    <col min="5403" max="5403" width="8.88671875" style="24" customWidth="1"/>
    <col min="5404" max="5405" width="13.6640625" style="24" customWidth="1"/>
    <col min="5406" max="5406" width="11.88671875" style="24" customWidth="1"/>
    <col min="5407" max="5407" width="12.6640625" style="24" customWidth="1"/>
    <col min="5408" max="5408" width="13.6640625" style="24" customWidth="1"/>
    <col min="5409" max="5409" width="14.6640625" style="24" customWidth="1"/>
    <col min="5410" max="5410" width="9.44140625" style="24" customWidth="1"/>
    <col min="5411" max="5411" width="11.33203125" style="24" customWidth="1"/>
    <col min="5412" max="5412" width="11.88671875" style="24" customWidth="1"/>
    <col min="5413" max="5413" width="11.109375" style="24" customWidth="1"/>
    <col min="5414" max="5414" width="11.88671875" style="24" customWidth="1"/>
    <col min="5415" max="5415" width="15.88671875" style="24" customWidth="1"/>
    <col min="5416" max="5416" width="9.88671875" style="24" customWidth="1"/>
    <col min="5417" max="5417" width="10.109375" style="24" customWidth="1"/>
    <col min="5418" max="5418" width="9.109375" style="24" customWidth="1"/>
    <col min="5419" max="5654" width="9" style="24"/>
    <col min="5655" max="5655" width="9" style="24" customWidth="1"/>
    <col min="5656" max="5656" width="27.88671875" style="24" customWidth="1"/>
    <col min="5657" max="5657" width="10.109375" style="24" customWidth="1"/>
    <col min="5658" max="5658" width="12.109375" style="24" customWidth="1"/>
    <col min="5659" max="5659" width="8.88671875" style="24" customWidth="1"/>
    <col min="5660" max="5661" width="13.6640625" style="24" customWidth="1"/>
    <col min="5662" max="5662" width="11.88671875" style="24" customWidth="1"/>
    <col min="5663" max="5663" width="12.6640625" style="24" customWidth="1"/>
    <col min="5664" max="5664" width="13.6640625" style="24" customWidth="1"/>
    <col min="5665" max="5665" width="14.6640625" style="24" customWidth="1"/>
    <col min="5666" max="5666" width="9.44140625" style="24" customWidth="1"/>
    <col min="5667" max="5667" width="11.33203125" style="24" customWidth="1"/>
    <col min="5668" max="5668" width="11.88671875" style="24" customWidth="1"/>
    <col min="5669" max="5669" width="11.109375" style="24" customWidth="1"/>
    <col min="5670" max="5670" width="11.88671875" style="24" customWidth="1"/>
    <col min="5671" max="5671" width="15.88671875" style="24" customWidth="1"/>
    <col min="5672" max="5672" width="9.88671875" style="24" customWidth="1"/>
    <col min="5673" max="5673" width="10.109375" style="24" customWidth="1"/>
    <col min="5674" max="5674" width="9.109375" style="24" customWidth="1"/>
    <col min="5675" max="5910" width="9" style="24"/>
    <col min="5911" max="5911" width="9" style="24" customWidth="1"/>
    <col min="5912" max="5912" width="27.88671875" style="24" customWidth="1"/>
    <col min="5913" max="5913" width="10.109375" style="24" customWidth="1"/>
    <col min="5914" max="5914" width="12.109375" style="24" customWidth="1"/>
    <col min="5915" max="5915" width="8.88671875" style="24" customWidth="1"/>
    <col min="5916" max="5917" width="13.6640625" style="24" customWidth="1"/>
    <col min="5918" max="5918" width="11.88671875" style="24" customWidth="1"/>
    <col min="5919" max="5919" width="12.6640625" style="24" customWidth="1"/>
    <col min="5920" max="5920" width="13.6640625" style="24" customWidth="1"/>
    <col min="5921" max="5921" width="14.6640625" style="24" customWidth="1"/>
    <col min="5922" max="5922" width="9.44140625" style="24" customWidth="1"/>
    <col min="5923" max="5923" width="11.33203125" style="24" customWidth="1"/>
    <col min="5924" max="5924" width="11.88671875" style="24" customWidth="1"/>
    <col min="5925" max="5925" width="11.109375" style="24" customWidth="1"/>
    <col min="5926" max="5926" width="11.88671875" style="24" customWidth="1"/>
    <col min="5927" max="5927" width="15.88671875" style="24" customWidth="1"/>
    <col min="5928" max="5928" width="9.88671875" style="24" customWidth="1"/>
    <col min="5929" max="5929" width="10.109375" style="24" customWidth="1"/>
    <col min="5930" max="5930" width="9.109375" style="24" customWidth="1"/>
    <col min="5931" max="6166" width="9" style="24"/>
    <col min="6167" max="6167" width="9" style="24" customWidth="1"/>
    <col min="6168" max="6168" width="27.88671875" style="24" customWidth="1"/>
    <col min="6169" max="6169" width="10.109375" style="24" customWidth="1"/>
    <col min="6170" max="6170" width="12.109375" style="24" customWidth="1"/>
    <col min="6171" max="6171" width="8.88671875" style="24" customWidth="1"/>
    <col min="6172" max="6173" width="13.6640625" style="24" customWidth="1"/>
    <col min="6174" max="6174" width="11.88671875" style="24" customWidth="1"/>
    <col min="6175" max="6175" width="12.6640625" style="24" customWidth="1"/>
    <col min="6176" max="6176" width="13.6640625" style="24" customWidth="1"/>
    <col min="6177" max="6177" width="14.6640625" style="24" customWidth="1"/>
    <col min="6178" max="6178" width="9.44140625" style="24" customWidth="1"/>
    <col min="6179" max="6179" width="11.33203125" style="24" customWidth="1"/>
    <col min="6180" max="6180" width="11.88671875" style="24" customWidth="1"/>
    <col min="6181" max="6181" width="11.109375" style="24" customWidth="1"/>
    <col min="6182" max="6182" width="11.88671875" style="24" customWidth="1"/>
    <col min="6183" max="6183" width="15.88671875" style="24" customWidth="1"/>
    <col min="6184" max="6184" width="9.88671875" style="24" customWidth="1"/>
    <col min="6185" max="6185" width="10.109375" style="24" customWidth="1"/>
    <col min="6186" max="6186" width="9.109375" style="24" customWidth="1"/>
    <col min="6187" max="6422" width="9" style="24"/>
    <col min="6423" max="6423" width="9" style="24" customWidth="1"/>
    <col min="6424" max="6424" width="27.88671875" style="24" customWidth="1"/>
    <col min="6425" max="6425" width="10.109375" style="24" customWidth="1"/>
    <col min="6426" max="6426" width="12.109375" style="24" customWidth="1"/>
    <col min="6427" max="6427" width="8.88671875" style="24" customWidth="1"/>
    <col min="6428" max="6429" width="13.6640625" style="24" customWidth="1"/>
    <col min="6430" max="6430" width="11.88671875" style="24" customWidth="1"/>
    <col min="6431" max="6431" width="12.6640625" style="24" customWidth="1"/>
    <col min="6432" max="6432" width="13.6640625" style="24" customWidth="1"/>
    <col min="6433" max="6433" width="14.6640625" style="24" customWidth="1"/>
    <col min="6434" max="6434" width="9.44140625" style="24" customWidth="1"/>
    <col min="6435" max="6435" width="11.33203125" style="24" customWidth="1"/>
    <col min="6436" max="6436" width="11.88671875" style="24" customWidth="1"/>
    <col min="6437" max="6437" width="11.109375" style="24" customWidth="1"/>
    <col min="6438" max="6438" width="11.88671875" style="24" customWidth="1"/>
    <col min="6439" max="6439" width="15.88671875" style="24" customWidth="1"/>
    <col min="6440" max="6440" width="9.88671875" style="24" customWidth="1"/>
    <col min="6441" max="6441" width="10.109375" style="24" customWidth="1"/>
    <col min="6442" max="6442" width="9.109375" style="24" customWidth="1"/>
    <col min="6443" max="6678" width="9" style="24"/>
    <col min="6679" max="6679" width="9" style="24" customWidth="1"/>
    <col min="6680" max="6680" width="27.88671875" style="24" customWidth="1"/>
    <col min="6681" max="6681" width="10.109375" style="24" customWidth="1"/>
    <col min="6682" max="6682" width="12.109375" style="24" customWidth="1"/>
    <col min="6683" max="6683" width="8.88671875" style="24" customWidth="1"/>
    <col min="6684" max="6685" width="13.6640625" style="24" customWidth="1"/>
    <col min="6686" max="6686" width="11.88671875" style="24" customWidth="1"/>
    <col min="6687" max="6687" width="12.6640625" style="24" customWidth="1"/>
    <col min="6688" max="6688" width="13.6640625" style="24" customWidth="1"/>
    <col min="6689" max="6689" width="14.6640625" style="24" customWidth="1"/>
    <col min="6690" max="6690" width="9.44140625" style="24" customWidth="1"/>
    <col min="6691" max="6691" width="11.33203125" style="24" customWidth="1"/>
    <col min="6692" max="6692" width="11.88671875" style="24" customWidth="1"/>
    <col min="6693" max="6693" width="11.109375" style="24" customWidth="1"/>
    <col min="6694" max="6694" width="11.88671875" style="24" customWidth="1"/>
    <col min="6695" max="6695" width="15.88671875" style="24" customWidth="1"/>
    <col min="6696" max="6696" width="9.88671875" style="24" customWidth="1"/>
    <col min="6697" max="6697" width="10.109375" style="24" customWidth="1"/>
    <col min="6698" max="6698" width="9.109375" style="24" customWidth="1"/>
    <col min="6699" max="6934" width="9" style="24"/>
    <col min="6935" max="6935" width="9" style="24" customWidth="1"/>
    <col min="6936" max="6936" width="27.88671875" style="24" customWidth="1"/>
    <col min="6937" max="6937" width="10.109375" style="24" customWidth="1"/>
    <col min="6938" max="6938" width="12.109375" style="24" customWidth="1"/>
    <col min="6939" max="6939" width="8.88671875" style="24" customWidth="1"/>
    <col min="6940" max="6941" width="13.6640625" style="24" customWidth="1"/>
    <col min="6942" max="6942" width="11.88671875" style="24" customWidth="1"/>
    <col min="6943" max="6943" width="12.6640625" style="24" customWidth="1"/>
    <col min="6944" max="6944" width="13.6640625" style="24" customWidth="1"/>
    <col min="6945" max="6945" width="14.6640625" style="24" customWidth="1"/>
    <col min="6946" max="6946" width="9.44140625" style="24" customWidth="1"/>
    <col min="6947" max="6947" width="11.33203125" style="24" customWidth="1"/>
    <col min="6948" max="6948" width="11.88671875" style="24" customWidth="1"/>
    <col min="6949" max="6949" width="11.109375" style="24" customWidth="1"/>
    <col min="6950" max="6950" width="11.88671875" style="24" customWidth="1"/>
    <col min="6951" max="6951" width="15.88671875" style="24" customWidth="1"/>
    <col min="6952" max="6952" width="9.88671875" style="24" customWidth="1"/>
    <col min="6953" max="6953" width="10.109375" style="24" customWidth="1"/>
    <col min="6954" max="6954" width="9.109375" style="24" customWidth="1"/>
    <col min="6955" max="7190" width="9" style="24"/>
    <col min="7191" max="7191" width="9" style="24" customWidth="1"/>
    <col min="7192" max="7192" width="27.88671875" style="24" customWidth="1"/>
    <col min="7193" max="7193" width="10.109375" style="24" customWidth="1"/>
    <col min="7194" max="7194" width="12.109375" style="24" customWidth="1"/>
    <col min="7195" max="7195" width="8.88671875" style="24" customWidth="1"/>
    <col min="7196" max="7197" width="13.6640625" style="24" customWidth="1"/>
    <col min="7198" max="7198" width="11.88671875" style="24" customWidth="1"/>
    <col min="7199" max="7199" width="12.6640625" style="24" customWidth="1"/>
    <col min="7200" max="7200" width="13.6640625" style="24" customWidth="1"/>
    <col min="7201" max="7201" width="14.6640625" style="24" customWidth="1"/>
    <col min="7202" max="7202" width="9.44140625" style="24" customWidth="1"/>
    <col min="7203" max="7203" width="11.33203125" style="24" customWidth="1"/>
    <col min="7204" max="7204" width="11.88671875" style="24" customWidth="1"/>
    <col min="7205" max="7205" width="11.109375" style="24" customWidth="1"/>
    <col min="7206" max="7206" width="11.88671875" style="24" customWidth="1"/>
    <col min="7207" max="7207" width="15.88671875" style="24" customWidth="1"/>
    <col min="7208" max="7208" width="9.88671875" style="24" customWidth="1"/>
    <col min="7209" max="7209" width="10.109375" style="24" customWidth="1"/>
    <col min="7210" max="7210" width="9.109375" style="24" customWidth="1"/>
    <col min="7211" max="7446" width="9" style="24"/>
    <col min="7447" max="7447" width="9" style="24" customWidth="1"/>
    <col min="7448" max="7448" width="27.88671875" style="24" customWidth="1"/>
    <col min="7449" max="7449" width="10.109375" style="24" customWidth="1"/>
    <col min="7450" max="7450" width="12.109375" style="24" customWidth="1"/>
    <col min="7451" max="7451" width="8.88671875" style="24" customWidth="1"/>
    <col min="7452" max="7453" width="13.6640625" style="24" customWidth="1"/>
    <col min="7454" max="7454" width="11.88671875" style="24" customWidth="1"/>
    <col min="7455" max="7455" width="12.6640625" style="24" customWidth="1"/>
    <col min="7456" max="7456" width="13.6640625" style="24" customWidth="1"/>
    <col min="7457" max="7457" width="14.6640625" style="24" customWidth="1"/>
    <col min="7458" max="7458" width="9.44140625" style="24" customWidth="1"/>
    <col min="7459" max="7459" width="11.33203125" style="24" customWidth="1"/>
    <col min="7460" max="7460" width="11.88671875" style="24" customWidth="1"/>
    <col min="7461" max="7461" width="11.109375" style="24" customWidth="1"/>
    <col min="7462" max="7462" width="11.88671875" style="24" customWidth="1"/>
    <col min="7463" max="7463" width="15.88671875" style="24" customWidth="1"/>
    <col min="7464" max="7464" width="9.88671875" style="24" customWidth="1"/>
    <col min="7465" max="7465" width="10.109375" style="24" customWidth="1"/>
    <col min="7466" max="7466" width="9.109375" style="24" customWidth="1"/>
    <col min="7467" max="7702" width="9" style="24"/>
    <col min="7703" max="7703" width="9" style="24" customWidth="1"/>
    <col min="7704" max="7704" width="27.88671875" style="24" customWidth="1"/>
    <col min="7705" max="7705" width="10.109375" style="24" customWidth="1"/>
    <col min="7706" max="7706" width="12.109375" style="24" customWidth="1"/>
    <col min="7707" max="7707" width="8.88671875" style="24" customWidth="1"/>
    <col min="7708" max="7709" width="13.6640625" style="24" customWidth="1"/>
    <col min="7710" max="7710" width="11.88671875" style="24" customWidth="1"/>
    <col min="7711" max="7711" width="12.6640625" style="24" customWidth="1"/>
    <col min="7712" max="7712" width="13.6640625" style="24" customWidth="1"/>
    <col min="7713" max="7713" width="14.6640625" style="24" customWidth="1"/>
    <col min="7714" max="7714" width="9.44140625" style="24" customWidth="1"/>
    <col min="7715" max="7715" width="11.33203125" style="24" customWidth="1"/>
    <col min="7716" max="7716" width="11.88671875" style="24" customWidth="1"/>
    <col min="7717" max="7717" width="11.109375" style="24" customWidth="1"/>
    <col min="7718" max="7718" width="11.88671875" style="24" customWidth="1"/>
    <col min="7719" max="7719" width="15.88671875" style="24" customWidth="1"/>
    <col min="7720" max="7720" width="9.88671875" style="24" customWidth="1"/>
    <col min="7721" max="7721" width="10.109375" style="24" customWidth="1"/>
    <col min="7722" max="7722" width="9.109375" style="24" customWidth="1"/>
    <col min="7723" max="7958" width="9" style="24"/>
    <col min="7959" max="7959" width="9" style="24" customWidth="1"/>
    <col min="7960" max="7960" width="27.88671875" style="24" customWidth="1"/>
    <col min="7961" max="7961" width="10.109375" style="24" customWidth="1"/>
    <col min="7962" max="7962" width="12.109375" style="24" customWidth="1"/>
    <col min="7963" max="7963" width="8.88671875" style="24" customWidth="1"/>
    <col min="7964" max="7965" width="13.6640625" style="24" customWidth="1"/>
    <col min="7966" max="7966" width="11.88671875" style="24" customWidth="1"/>
    <col min="7967" max="7967" width="12.6640625" style="24" customWidth="1"/>
    <col min="7968" max="7968" width="13.6640625" style="24" customWidth="1"/>
    <col min="7969" max="7969" width="14.6640625" style="24" customWidth="1"/>
    <col min="7970" max="7970" width="9.44140625" style="24" customWidth="1"/>
    <col min="7971" max="7971" width="11.33203125" style="24" customWidth="1"/>
    <col min="7972" max="7972" width="11.88671875" style="24" customWidth="1"/>
    <col min="7973" max="7973" width="11.109375" style="24" customWidth="1"/>
    <col min="7974" max="7974" width="11.88671875" style="24" customWidth="1"/>
    <col min="7975" max="7975" width="15.88671875" style="24" customWidth="1"/>
    <col min="7976" max="7976" width="9.88671875" style="24" customWidth="1"/>
    <col min="7977" max="7977" width="10.109375" style="24" customWidth="1"/>
    <col min="7978" max="7978" width="9.109375" style="24" customWidth="1"/>
    <col min="7979" max="8214" width="9" style="24"/>
    <col min="8215" max="8215" width="9" style="24" customWidth="1"/>
    <col min="8216" max="8216" width="27.88671875" style="24" customWidth="1"/>
    <col min="8217" max="8217" width="10.109375" style="24" customWidth="1"/>
    <col min="8218" max="8218" width="12.109375" style="24" customWidth="1"/>
    <col min="8219" max="8219" width="8.88671875" style="24" customWidth="1"/>
    <col min="8220" max="8221" width="13.6640625" style="24" customWidth="1"/>
    <col min="8222" max="8222" width="11.88671875" style="24" customWidth="1"/>
    <col min="8223" max="8223" width="12.6640625" style="24" customWidth="1"/>
    <col min="8224" max="8224" width="13.6640625" style="24" customWidth="1"/>
    <col min="8225" max="8225" width="14.6640625" style="24" customWidth="1"/>
    <col min="8226" max="8226" width="9.44140625" style="24" customWidth="1"/>
    <col min="8227" max="8227" width="11.33203125" style="24" customWidth="1"/>
    <col min="8228" max="8228" width="11.88671875" style="24" customWidth="1"/>
    <col min="8229" max="8229" width="11.109375" style="24" customWidth="1"/>
    <col min="8230" max="8230" width="11.88671875" style="24" customWidth="1"/>
    <col min="8231" max="8231" width="15.88671875" style="24" customWidth="1"/>
    <col min="8232" max="8232" width="9.88671875" style="24" customWidth="1"/>
    <col min="8233" max="8233" width="10.109375" style="24" customWidth="1"/>
    <col min="8234" max="8234" width="9.109375" style="24" customWidth="1"/>
    <col min="8235" max="8470" width="9" style="24"/>
    <col min="8471" max="8471" width="9" style="24" customWidth="1"/>
    <col min="8472" max="8472" width="27.88671875" style="24" customWidth="1"/>
    <col min="8473" max="8473" width="10.109375" style="24" customWidth="1"/>
    <col min="8474" max="8474" width="12.109375" style="24" customWidth="1"/>
    <col min="8475" max="8475" width="8.88671875" style="24" customWidth="1"/>
    <col min="8476" max="8477" width="13.6640625" style="24" customWidth="1"/>
    <col min="8478" max="8478" width="11.88671875" style="24" customWidth="1"/>
    <col min="8479" max="8479" width="12.6640625" style="24" customWidth="1"/>
    <col min="8480" max="8480" width="13.6640625" style="24" customWidth="1"/>
    <col min="8481" max="8481" width="14.6640625" style="24" customWidth="1"/>
    <col min="8482" max="8482" width="9.44140625" style="24" customWidth="1"/>
    <col min="8483" max="8483" width="11.33203125" style="24" customWidth="1"/>
    <col min="8484" max="8484" width="11.88671875" style="24" customWidth="1"/>
    <col min="8485" max="8485" width="11.109375" style="24" customWidth="1"/>
    <col min="8486" max="8486" width="11.88671875" style="24" customWidth="1"/>
    <col min="8487" max="8487" width="15.88671875" style="24" customWidth="1"/>
    <col min="8488" max="8488" width="9.88671875" style="24" customWidth="1"/>
    <col min="8489" max="8489" width="10.109375" style="24" customWidth="1"/>
    <col min="8490" max="8490" width="9.109375" style="24" customWidth="1"/>
    <col min="8491" max="8726" width="9" style="24"/>
    <col min="8727" max="8727" width="9" style="24" customWidth="1"/>
    <col min="8728" max="8728" width="27.88671875" style="24" customWidth="1"/>
    <col min="8729" max="8729" width="10.109375" style="24" customWidth="1"/>
    <col min="8730" max="8730" width="12.109375" style="24" customWidth="1"/>
    <col min="8731" max="8731" width="8.88671875" style="24" customWidth="1"/>
    <col min="8732" max="8733" width="13.6640625" style="24" customWidth="1"/>
    <col min="8734" max="8734" width="11.88671875" style="24" customWidth="1"/>
    <col min="8735" max="8735" width="12.6640625" style="24" customWidth="1"/>
    <col min="8736" max="8736" width="13.6640625" style="24" customWidth="1"/>
    <col min="8737" max="8737" width="14.6640625" style="24" customWidth="1"/>
    <col min="8738" max="8738" width="9.44140625" style="24" customWidth="1"/>
    <col min="8739" max="8739" width="11.33203125" style="24" customWidth="1"/>
    <col min="8740" max="8740" width="11.88671875" style="24" customWidth="1"/>
    <col min="8741" max="8741" width="11.109375" style="24" customWidth="1"/>
    <col min="8742" max="8742" width="11.88671875" style="24" customWidth="1"/>
    <col min="8743" max="8743" width="15.88671875" style="24" customWidth="1"/>
    <col min="8744" max="8744" width="9.88671875" style="24" customWidth="1"/>
    <col min="8745" max="8745" width="10.109375" style="24" customWidth="1"/>
    <col min="8746" max="8746" width="9.109375" style="24" customWidth="1"/>
    <col min="8747" max="8982" width="9" style="24"/>
    <col min="8983" max="8983" width="9" style="24" customWidth="1"/>
    <col min="8984" max="8984" width="27.88671875" style="24" customWidth="1"/>
    <col min="8985" max="8985" width="10.109375" style="24" customWidth="1"/>
    <col min="8986" max="8986" width="12.109375" style="24" customWidth="1"/>
    <col min="8987" max="8987" width="8.88671875" style="24" customWidth="1"/>
    <col min="8988" max="8989" width="13.6640625" style="24" customWidth="1"/>
    <col min="8990" max="8990" width="11.88671875" style="24" customWidth="1"/>
    <col min="8991" max="8991" width="12.6640625" style="24" customWidth="1"/>
    <col min="8992" max="8992" width="13.6640625" style="24" customWidth="1"/>
    <col min="8993" max="8993" width="14.6640625" style="24" customWidth="1"/>
    <col min="8994" max="8994" width="9.44140625" style="24" customWidth="1"/>
    <col min="8995" max="8995" width="11.33203125" style="24" customWidth="1"/>
    <col min="8996" max="8996" width="11.88671875" style="24" customWidth="1"/>
    <col min="8997" max="8997" width="11.109375" style="24" customWidth="1"/>
    <col min="8998" max="8998" width="11.88671875" style="24" customWidth="1"/>
    <col min="8999" max="8999" width="15.88671875" style="24" customWidth="1"/>
    <col min="9000" max="9000" width="9.88671875" style="24" customWidth="1"/>
    <col min="9001" max="9001" width="10.109375" style="24" customWidth="1"/>
    <col min="9002" max="9002" width="9.109375" style="24" customWidth="1"/>
    <col min="9003" max="9238" width="9" style="24"/>
    <col min="9239" max="9239" width="9" style="24" customWidth="1"/>
    <col min="9240" max="9240" width="27.88671875" style="24" customWidth="1"/>
    <col min="9241" max="9241" width="10.109375" style="24" customWidth="1"/>
    <col min="9242" max="9242" width="12.109375" style="24" customWidth="1"/>
    <col min="9243" max="9243" width="8.88671875" style="24" customWidth="1"/>
    <col min="9244" max="9245" width="13.6640625" style="24" customWidth="1"/>
    <col min="9246" max="9246" width="11.88671875" style="24" customWidth="1"/>
    <col min="9247" max="9247" width="12.6640625" style="24" customWidth="1"/>
    <col min="9248" max="9248" width="13.6640625" style="24" customWidth="1"/>
    <col min="9249" max="9249" width="14.6640625" style="24" customWidth="1"/>
    <col min="9250" max="9250" width="9.44140625" style="24" customWidth="1"/>
    <col min="9251" max="9251" width="11.33203125" style="24" customWidth="1"/>
    <col min="9252" max="9252" width="11.88671875" style="24" customWidth="1"/>
    <col min="9253" max="9253" width="11.109375" style="24" customWidth="1"/>
    <col min="9254" max="9254" width="11.88671875" style="24" customWidth="1"/>
    <col min="9255" max="9255" width="15.88671875" style="24" customWidth="1"/>
    <col min="9256" max="9256" width="9.88671875" style="24" customWidth="1"/>
    <col min="9257" max="9257" width="10.109375" style="24" customWidth="1"/>
    <col min="9258" max="9258" width="9.109375" style="24" customWidth="1"/>
    <col min="9259" max="9494" width="9" style="24"/>
    <col min="9495" max="9495" width="9" style="24" customWidth="1"/>
    <col min="9496" max="9496" width="27.88671875" style="24" customWidth="1"/>
    <col min="9497" max="9497" width="10.109375" style="24" customWidth="1"/>
    <col min="9498" max="9498" width="12.109375" style="24" customWidth="1"/>
    <col min="9499" max="9499" width="8.88671875" style="24" customWidth="1"/>
    <col min="9500" max="9501" width="13.6640625" style="24" customWidth="1"/>
    <col min="9502" max="9502" width="11.88671875" style="24" customWidth="1"/>
    <col min="9503" max="9503" width="12.6640625" style="24" customWidth="1"/>
    <col min="9504" max="9504" width="13.6640625" style="24" customWidth="1"/>
    <col min="9505" max="9505" width="14.6640625" style="24" customWidth="1"/>
    <col min="9506" max="9506" width="9.44140625" style="24" customWidth="1"/>
    <col min="9507" max="9507" width="11.33203125" style="24" customWidth="1"/>
    <col min="9508" max="9508" width="11.88671875" style="24" customWidth="1"/>
    <col min="9509" max="9509" width="11.109375" style="24" customWidth="1"/>
    <col min="9510" max="9510" width="11.88671875" style="24" customWidth="1"/>
    <col min="9511" max="9511" width="15.88671875" style="24" customWidth="1"/>
    <col min="9512" max="9512" width="9.88671875" style="24" customWidth="1"/>
    <col min="9513" max="9513" width="10.109375" style="24" customWidth="1"/>
    <col min="9514" max="9514" width="9.109375" style="24" customWidth="1"/>
    <col min="9515" max="9750" width="9" style="24"/>
    <col min="9751" max="9751" width="9" style="24" customWidth="1"/>
    <col min="9752" max="9752" width="27.88671875" style="24" customWidth="1"/>
    <col min="9753" max="9753" width="10.109375" style="24" customWidth="1"/>
    <col min="9754" max="9754" width="12.109375" style="24" customWidth="1"/>
    <col min="9755" max="9755" width="8.88671875" style="24" customWidth="1"/>
    <col min="9756" max="9757" width="13.6640625" style="24" customWidth="1"/>
    <col min="9758" max="9758" width="11.88671875" style="24" customWidth="1"/>
    <col min="9759" max="9759" width="12.6640625" style="24" customWidth="1"/>
    <col min="9760" max="9760" width="13.6640625" style="24" customWidth="1"/>
    <col min="9761" max="9761" width="14.6640625" style="24" customWidth="1"/>
    <col min="9762" max="9762" width="9.44140625" style="24" customWidth="1"/>
    <col min="9763" max="9763" width="11.33203125" style="24" customWidth="1"/>
    <col min="9764" max="9764" width="11.88671875" style="24" customWidth="1"/>
    <col min="9765" max="9765" width="11.109375" style="24" customWidth="1"/>
    <col min="9766" max="9766" width="11.88671875" style="24" customWidth="1"/>
    <col min="9767" max="9767" width="15.88671875" style="24" customWidth="1"/>
    <col min="9768" max="9768" width="9.88671875" style="24" customWidth="1"/>
    <col min="9769" max="9769" width="10.109375" style="24" customWidth="1"/>
    <col min="9770" max="9770" width="9.109375" style="24" customWidth="1"/>
    <col min="9771" max="10006" width="9" style="24"/>
    <col min="10007" max="10007" width="9" style="24" customWidth="1"/>
    <col min="10008" max="10008" width="27.88671875" style="24" customWidth="1"/>
    <col min="10009" max="10009" width="10.109375" style="24" customWidth="1"/>
    <col min="10010" max="10010" width="12.109375" style="24" customWidth="1"/>
    <col min="10011" max="10011" width="8.88671875" style="24" customWidth="1"/>
    <col min="10012" max="10013" width="13.6640625" style="24" customWidth="1"/>
    <col min="10014" max="10014" width="11.88671875" style="24" customWidth="1"/>
    <col min="10015" max="10015" width="12.6640625" style="24" customWidth="1"/>
    <col min="10016" max="10016" width="13.6640625" style="24" customWidth="1"/>
    <col min="10017" max="10017" width="14.6640625" style="24" customWidth="1"/>
    <col min="10018" max="10018" width="9.44140625" style="24" customWidth="1"/>
    <col min="10019" max="10019" width="11.33203125" style="24" customWidth="1"/>
    <col min="10020" max="10020" width="11.88671875" style="24" customWidth="1"/>
    <col min="10021" max="10021" width="11.109375" style="24" customWidth="1"/>
    <col min="10022" max="10022" width="11.88671875" style="24" customWidth="1"/>
    <col min="10023" max="10023" width="15.88671875" style="24" customWidth="1"/>
    <col min="10024" max="10024" width="9.88671875" style="24" customWidth="1"/>
    <col min="10025" max="10025" width="10.109375" style="24" customWidth="1"/>
    <col min="10026" max="10026" width="9.109375" style="24" customWidth="1"/>
    <col min="10027" max="10262" width="9" style="24"/>
    <col min="10263" max="10263" width="9" style="24" customWidth="1"/>
    <col min="10264" max="10264" width="27.88671875" style="24" customWidth="1"/>
    <col min="10265" max="10265" width="10.109375" style="24" customWidth="1"/>
    <col min="10266" max="10266" width="12.109375" style="24" customWidth="1"/>
    <col min="10267" max="10267" width="8.88671875" style="24" customWidth="1"/>
    <col min="10268" max="10269" width="13.6640625" style="24" customWidth="1"/>
    <col min="10270" max="10270" width="11.88671875" style="24" customWidth="1"/>
    <col min="10271" max="10271" width="12.6640625" style="24" customWidth="1"/>
    <col min="10272" max="10272" width="13.6640625" style="24" customWidth="1"/>
    <col min="10273" max="10273" width="14.6640625" style="24" customWidth="1"/>
    <col min="10274" max="10274" width="9.44140625" style="24" customWidth="1"/>
    <col min="10275" max="10275" width="11.33203125" style="24" customWidth="1"/>
    <col min="10276" max="10276" width="11.88671875" style="24" customWidth="1"/>
    <col min="10277" max="10277" width="11.109375" style="24" customWidth="1"/>
    <col min="10278" max="10278" width="11.88671875" style="24" customWidth="1"/>
    <col min="10279" max="10279" width="15.88671875" style="24" customWidth="1"/>
    <col min="10280" max="10280" width="9.88671875" style="24" customWidth="1"/>
    <col min="10281" max="10281" width="10.109375" style="24" customWidth="1"/>
    <col min="10282" max="10282" width="9.109375" style="24" customWidth="1"/>
    <col min="10283" max="10518" width="9" style="24"/>
    <col min="10519" max="10519" width="9" style="24" customWidth="1"/>
    <col min="10520" max="10520" width="27.88671875" style="24" customWidth="1"/>
    <col min="10521" max="10521" width="10.109375" style="24" customWidth="1"/>
    <col min="10522" max="10522" width="12.109375" style="24" customWidth="1"/>
    <col min="10523" max="10523" width="8.88671875" style="24" customWidth="1"/>
    <col min="10524" max="10525" width="13.6640625" style="24" customWidth="1"/>
    <col min="10526" max="10526" width="11.88671875" style="24" customWidth="1"/>
    <col min="10527" max="10527" width="12.6640625" style="24" customWidth="1"/>
    <col min="10528" max="10528" width="13.6640625" style="24" customWidth="1"/>
    <col min="10529" max="10529" width="14.6640625" style="24" customWidth="1"/>
    <col min="10530" max="10530" width="9.44140625" style="24" customWidth="1"/>
    <col min="10531" max="10531" width="11.33203125" style="24" customWidth="1"/>
    <col min="10532" max="10532" width="11.88671875" style="24" customWidth="1"/>
    <col min="10533" max="10533" width="11.109375" style="24" customWidth="1"/>
    <col min="10534" max="10534" width="11.88671875" style="24" customWidth="1"/>
    <col min="10535" max="10535" width="15.88671875" style="24" customWidth="1"/>
    <col min="10536" max="10536" width="9.88671875" style="24" customWidth="1"/>
    <col min="10537" max="10537" width="10.109375" style="24" customWidth="1"/>
    <col min="10538" max="10538" width="9.109375" style="24" customWidth="1"/>
    <col min="10539" max="10774" width="9" style="24"/>
    <col min="10775" max="10775" width="9" style="24" customWidth="1"/>
    <col min="10776" max="10776" width="27.88671875" style="24" customWidth="1"/>
    <col min="10777" max="10777" width="10.109375" style="24" customWidth="1"/>
    <col min="10778" max="10778" width="12.109375" style="24" customWidth="1"/>
    <col min="10779" max="10779" width="8.88671875" style="24" customWidth="1"/>
    <col min="10780" max="10781" width="13.6640625" style="24" customWidth="1"/>
    <col min="10782" max="10782" width="11.88671875" style="24" customWidth="1"/>
    <col min="10783" max="10783" width="12.6640625" style="24" customWidth="1"/>
    <col min="10784" max="10784" width="13.6640625" style="24" customWidth="1"/>
    <col min="10785" max="10785" width="14.6640625" style="24" customWidth="1"/>
    <col min="10786" max="10786" width="9.44140625" style="24" customWidth="1"/>
    <col min="10787" max="10787" width="11.33203125" style="24" customWidth="1"/>
    <col min="10788" max="10788" width="11.88671875" style="24" customWidth="1"/>
    <col min="10789" max="10789" width="11.109375" style="24" customWidth="1"/>
    <col min="10790" max="10790" width="11.88671875" style="24" customWidth="1"/>
    <col min="10791" max="10791" width="15.88671875" style="24" customWidth="1"/>
    <col min="10792" max="10792" width="9.88671875" style="24" customWidth="1"/>
    <col min="10793" max="10793" width="10.109375" style="24" customWidth="1"/>
    <col min="10794" max="10794" width="9.109375" style="24" customWidth="1"/>
    <col min="10795" max="11030" width="9" style="24"/>
    <col min="11031" max="11031" width="9" style="24" customWidth="1"/>
    <col min="11032" max="11032" width="27.88671875" style="24" customWidth="1"/>
    <col min="11033" max="11033" width="10.109375" style="24" customWidth="1"/>
    <col min="11034" max="11034" width="12.109375" style="24" customWidth="1"/>
    <col min="11035" max="11035" width="8.88671875" style="24" customWidth="1"/>
    <col min="11036" max="11037" width="13.6640625" style="24" customWidth="1"/>
    <col min="11038" max="11038" width="11.88671875" style="24" customWidth="1"/>
    <col min="11039" max="11039" width="12.6640625" style="24" customWidth="1"/>
    <col min="11040" max="11040" width="13.6640625" style="24" customWidth="1"/>
    <col min="11041" max="11041" width="14.6640625" style="24" customWidth="1"/>
    <col min="11042" max="11042" width="9.44140625" style="24" customWidth="1"/>
    <col min="11043" max="11043" width="11.33203125" style="24" customWidth="1"/>
    <col min="11044" max="11044" width="11.88671875" style="24" customWidth="1"/>
    <col min="11045" max="11045" width="11.109375" style="24" customWidth="1"/>
    <col min="11046" max="11046" width="11.88671875" style="24" customWidth="1"/>
    <col min="11047" max="11047" width="15.88671875" style="24" customWidth="1"/>
    <col min="11048" max="11048" width="9.88671875" style="24" customWidth="1"/>
    <col min="11049" max="11049" width="10.109375" style="24" customWidth="1"/>
    <col min="11050" max="11050" width="9.109375" style="24" customWidth="1"/>
    <col min="11051" max="11286" width="9" style="24"/>
    <col min="11287" max="11287" width="9" style="24" customWidth="1"/>
    <col min="11288" max="11288" width="27.88671875" style="24" customWidth="1"/>
    <col min="11289" max="11289" width="10.109375" style="24" customWidth="1"/>
    <col min="11290" max="11290" width="12.109375" style="24" customWidth="1"/>
    <col min="11291" max="11291" width="8.88671875" style="24" customWidth="1"/>
    <col min="11292" max="11293" width="13.6640625" style="24" customWidth="1"/>
    <col min="11294" max="11294" width="11.88671875" style="24" customWidth="1"/>
    <col min="11295" max="11295" width="12.6640625" style="24" customWidth="1"/>
    <col min="11296" max="11296" width="13.6640625" style="24" customWidth="1"/>
    <col min="11297" max="11297" width="14.6640625" style="24" customWidth="1"/>
    <col min="11298" max="11298" width="9.44140625" style="24" customWidth="1"/>
    <col min="11299" max="11299" width="11.33203125" style="24" customWidth="1"/>
    <col min="11300" max="11300" width="11.88671875" style="24" customWidth="1"/>
    <col min="11301" max="11301" width="11.109375" style="24" customWidth="1"/>
    <col min="11302" max="11302" width="11.88671875" style="24" customWidth="1"/>
    <col min="11303" max="11303" width="15.88671875" style="24" customWidth="1"/>
    <col min="11304" max="11304" width="9.88671875" style="24" customWidth="1"/>
    <col min="11305" max="11305" width="10.109375" style="24" customWidth="1"/>
    <col min="11306" max="11306" width="9.109375" style="24" customWidth="1"/>
    <col min="11307" max="11542" width="9" style="24"/>
    <col min="11543" max="11543" width="9" style="24" customWidth="1"/>
    <col min="11544" max="11544" width="27.88671875" style="24" customWidth="1"/>
    <col min="11545" max="11545" width="10.109375" style="24" customWidth="1"/>
    <col min="11546" max="11546" width="12.109375" style="24" customWidth="1"/>
    <col min="11547" max="11547" width="8.88671875" style="24" customWidth="1"/>
    <col min="11548" max="11549" width="13.6640625" style="24" customWidth="1"/>
    <col min="11550" max="11550" width="11.88671875" style="24" customWidth="1"/>
    <col min="11551" max="11551" width="12.6640625" style="24" customWidth="1"/>
    <col min="11552" max="11552" width="13.6640625" style="24" customWidth="1"/>
    <col min="11553" max="11553" width="14.6640625" style="24" customWidth="1"/>
    <col min="11554" max="11554" width="9.44140625" style="24" customWidth="1"/>
    <col min="11555" max="11555" width="11.33203125" style="24" customWidth="1"/>
    <col min="11556" max="11556" width="11.88671875" style="24" customWidth="1"/>
    <col min="11557" max="11557" width="11.109375" style="24" customWidth="1"/>
    <col min="11558" max="11558" width="11.88671875" style="24" customWidth="1"/>
    <col min="11559" max="11559" width="15.88671875" style="24" customWidth="1"/>
    <col min="11560" max="11560" width="9.88671875" style="24" customWidth="1"/>
    <col min="11561" max="11561" width="10.109375" style="24" customWidth="1"/>
    <col min="11562" max="11562" width="9.109375" style="24" customWidth="1"/>
    <col min="11563" max="11798" width="9" style="24"/>
    <col min="11799" max="11799" width="9" style="24" customWidth="1"/>
    <col min="11800" max="11800" width="27.88671875" style="24" customWidth="1"/>
    <col min="11801" max="11801" width="10.109375" style="24" customWidth="1"/>
    <col min="11802" max="11802" width="12.109375" style="24" customWidth="1"/>
    <col min="11803" max="11803" width="8.88671875" style="24" customWidth="1"/>
    <col min="11804" max="11805" width="13.6640625" style="24" customWidth="1"/>
    <col min="11806" max="11806" width="11.88671875" style="24" customWidth="1"/>
    <col min="11807" max="11807" width="12.6640625" style="24" customWidth="1"/>
    <col min="11808" max="11808" width="13.6640625" style="24" customWidth="1"/>
    <col min="11809" max="11809" width="14.6640625" style="24" customWidth="1"/>
    <col min="11810" max="11810" width="9.44140625" style="24" customWidth="1"/>
    <col min="11811" max="11811" width="11.33203125" style="24" customWidth="1"/>
    <col min="11812" max="11812" width="11.88671875" style="24" customWidth="1"/>
    <col min="11813" max="11813" width="11.109375" style="24" customWidth="1"/>
    <col min="11814" max="11814" width="11.88671875" style="24" customWidth="1"/>
    <col min="11815" max="11815" width="15.88671875" style="24" customWidth="1"/>
    <col min="11816" max="11816" width="9.88671875" style="24" customWidth="1"/>
    <col min="11817" max="11817" width="10.109375" style="24" customWidth="1"/>
    <col min="11818" max="11818" width="9.109375" style="24" customWidth="1"/>
    <col min="11819" max="12054" width="9" style="24"/>
    <col min="12055" max="12055" width="9" style="24" customWidth="1"/>
    <col min="12056" max="12056" width="27.88671875" style="24" customWidth="1"/>
    <col min="12057" max="12057" width="10.109375" style="24" customWidth="1"/>
    <col min="12058" max="12058" width="12.109375" style="24" customWidth="1"/>
    <col min="12059" max="12059" width="8.88671875" style="24" customWidth="1"/>
    <col min="12060" max="12061" width="13.6640625" style="24" customWidth="1"/>
    <col min="12062" max="12062" width="11.88671875" style="24" customWidth="1"/>
    <col min="12063" max="12063" width="12.6640625" style="24" customWidth="1"/>
    <col min="12064" max="12064" width="13.6640625" style="24" customWidth="1"/>
    <col min="12065" max="12065" width="14.6640625" style="24" customWidth="1"/>
    <col min="12066" max="12066" width="9.44140625" style="24" customWidth="1"/>
    <col min="12067" max="12067" width="11.33203125" style="24" customWidth="1"/>
    <col min="12068" max="12068" width="11.88671875" style="24" customWidth="1"/>
    <col min="12069" max="12069" width="11.109375" style="24" customWidth="1"/>
    <col min="12070" max="12070" width="11.88671875" style="24" customWidth="1"/>
    <col min="12071" max="12071" width="15.88671875" style="24" customWidth="1"/>
    <col min="12072" max="12072" width="9.88671875" style="24" customWidth="1"/>
    <col min="12073" max="12073" width="10.109375" style="24" customWidth="1"/>
    <col min="12074" max="12074" width="9.109375" style="24" customWidth="1"/>
    <col min="12075" max="12310" width="9" style="24"/>
    <col min="12311" max="12311" width="9" style="24" customWidth="1"/>
    <col min="12312" max="12312" width="27.88671875" style="24" customWidth="1"/>
    <col min="12313" max="12313" width="10.109375" style="24" customWidth="1"/>
    <col min="12314" max="12314" width="12.109375" style="24" customWidth="1"/>
    <col min="12315" max="12315" width="8.88671875" style="24" customWidth="1"/>
    <col min="12316" max="12317" width="13.6640625" style="24" customWidth="1"/>
    <col min="12318" max="12318" width="11.88671875" style="24" customWidth="1"/>
    <col min="12319" max="12319" width="12.6640625" style="24" customWidth="1"/>
    <col min="12320" max="12320" width="13.6640625" style="24" customWidth="1"/>
    <col min="12321" max="12321" width="14.6640625" style="24" customWidth="1"/>
    <col min="12322" max="12322" width="9.44140625" style="24" customWidth="1"/>
    <col min="12323" max="12323" width="11.33203125" style="24" customWidth="1"/>
    <col min="12324" max="12324" width="11.88671875" style="24" customWidth="1"/>
    <col min="12325" max="12325" width="11.109375" style="24" customWidth="1"/>
    <col min="12326" max="12326" width="11.88671875" style="24" customWidth="1"/>
    <col min="12327" max="12327" width="15.88671875" style="24" customWidth="1"/>
    <col min="12328" max="12328" width="9.88671875" style="24" customWidth="1"/>
    <col min="12329" max="12329" width="10.109375" style="24" customWidth="1"/>
    <col min="12330" max="12330" width="9.109375" style="24" customWidth="1"/>
    <col min="12331" max="12566" width="9" style="24"/>
    <col min="12567" max="12567" width="9" style="24" customWidth="1"/>
    <col min="12568" max="12568" width="27.88671875" style="24" customWidth="1"/>
    <col min="12569" max="12569" width="10.109375" style="24" customWidth="1"/>
    <col min="12570" max="12570" width="12.109375" style="24" customWidth="1"/>
    <col min="12571" max="12571" width="8.88671875" style="24" customWidth="1"/>
    <col min="12572" max="12573" width="13.6640625" style="24" customWidth="1"/>
    <col min="12574" max="12574" width="11.88671875" style="24" customWidth="1"/>
    <col min="12575" max="12575" width="12.6640625" style="24" customWidth="1"/>
    <col min="12576" max="12576" width="13.6640625" style="24" customWidth="1"/>
    <col min="12577" max="12577" width="14.6640625" style="24" customWidth="1"/>
    <col min="12578" max="12578" width="9.44140625" style="24" customWidth="1"/>
    <col min="12579" max="12579" width="11.33203125" style="24" customWidth="1"/>
    <col min="12580" max="12580" width="11.88671875" style="24" customWidth="1"/>
    <col min="12581" max="12581" width="11.109375" style="24" customWidth="1"/>
    <col min="12582" max="12582" width="11.88671875" style="24" customWidth="1"/>
    <col min="12583" max="12583" width="15.88671875" style="24" customWidth="1"/>
    <col min="12584" max="12584" width="9.88671875" style="24" customWidth="1"/>
    <col min="12585" max="12585" width="10.109375" style="24" customWidth="1"/>
    <col min="12586" max="12586" width="9.109375" style="24" customWidth="1"/>
    <col min="12587" max="12822" width="9" style="24"/>
    <col min="12823" max="12823" width="9" style="24" customWidth="1"/>
    <col min="12824" max="12824" width="27.88671875" style="24" customWidth="1"/>
    <col min="12825" max="12825" width="10.109375" style="24" customWidth="1"/>
    <col min="12826" max="12826" width="12.109375" style="24" customWidth="1"/>
    <col min="12827" max="12827" width="8.88671875" style="24" customWidth="1"/>
    <col min="12828" max="12829" width="13.6640625" style="24" customWidth="1"/>
    <col min="12830" max="12830" width="11.88671875" style="24" customWidth="1"/>
    <col min="12831" max="12831" width="12.6640625" style="24" customWidth="1"/>
    <col min="12832" max="12832" width="13.6640625" style="24" customWidth="1"/>
    <col min="12833" max="12833" width="14.6640625" style="24" customWidth="1"/>
    <col min="12834" max="12834" width="9.44140625" style="24" customWidth="1"/>
    <col min="12835" max="12835" width="11.33203125" style="24" customWidth="1"/>
    <col min="12836" max="12836" width="11.88671875" style="24" customWidth="1"/>
    <col min="12837" max="12837" width="11.109375" style="24" customWidth="1"/>
    <col min="12838" max="12838" width="11.88671875" style="24" customWidth="1"/>
    <col min="12839" max="12839" width="15.88671875" style="24" customWidth="1"/>
    <col min="12840" max="12840" width="9.88671875" style="24" customWidth="1"/>
    <col min="12841" max="12841" width="10.109375" style="24" customWidth="1"/>
    <col min="12842" max="12842" width="9.109375" style="24" customWidth="1"/>
    <col min="12843" max="13078" width="9" style="24"/>
    <col min="13079" max="13079" width="9" style="24" customWidth="1"/>
    <col min="13080" max="13080" width="27.88671875" style="24" customWidth="1"/>
    <col min="13081" max="13081" width="10.109375" style="24" customWidth="1"/>
    <col min="13082" max="13082" width="12.109375" style="24" customWidth="1"/>
    <col min="13083" max="13083" width="8.88671875" style="24" customWidth="1"/>
    <col min="13084" max="13085" width="13.6640625" style="24" customWidth="1"/>
    <col min="13086" max="13086" width="11.88671875" style="24" customWidth="1"/>
    <col min="13087" max="13087" width="12.6640625" style="24" customWidth="1"/>
    <col min="13088" max="13088" width="13.6640625" style="24" customWidth="1"/>
    <col min="13089" max="13089" width="14.6640625" style="24" customWidth="1"/>
    <col min="13090" max="13090" width="9.44140625" style="24" customWidth="1"/>
    <col min="13091" max="13091" width="11.33203125" style="24" customWidth="1"/>
    <col min="13092" max="13092" width="11.88671875" style="24" customWidth="1"/>
    <col min="13093" max="13093" width="11.109375" style="24" customWidth="1"/>
    <col min="13094" max="13094" width="11.88671875" style="24" customWidth="1"/>
    <col min="13095" max="13095" width="15.88671875" style="24" customWidth="1"/>
    <col min="13096" max="13096" width="9.88671875" style="24" customWidth="1"/>
    <col min="13097" max="13097" width="10.109375" style="24" customWidth="1"/>
    <col min="13098" max="13098" width="9.109375" style="24" customWidth="1"/>
    <col min="13099" max="13334" width="9" style="24"/>
    <col min="13335" max="13335" width="9" style="24" customWidth="1"/>
    <col min="13336" max="13336" width="27.88671875" style="24" customWidth="1"/>
    <col min="13337" max="13337" width="10.109375" style="24" customWidth="1"/>
    <col min="13338" max="13338" width="12.109375" style="24" customWidth="1"/>
    <col min="13339" max="13339" width="8.88671875" style="24" customWidth="1"/>
    <col min="13340" max="13341" width="13.6640625" style="24" customWidth="1"/>
    <col min="13342" max="13342" width="11.88671875" style="24" customWidth="1"/>
    <col min="13343" max="13343" width="12.6640625" style="24" customWidth="1"/>
    <col min="13344" max="13344" width="13.6640625" style="24" customWidth="1"/>
    <col min="13345" max="13345" width="14.6640625" style="24" customWidth="1"/>
    <col min="13346" max="13346" width="9.44140625" style="24" customWidth="1"/>
    <col min="13347" max="13347" width="11.33203125" style="24" customWidth="1"/>
    <col min="13348" max="13348" width="11.88671875" style="24" customWidth="1"/>
    <col min="13349" max="13349" width="11.109375" style="24" customWidth="1"/>
    <col min="13350" max="13350" width="11.88671875" style="24" customWidth="1"/>
    <col min="13351" max="13351" width="15.88671875" style="24" customWidth="1"/>
    <col min="13352" max="13352" width="9.88671875" style="24" customWidth="1"/>
    <col min="13353" max="13353" width="10.109375" style="24" customWidth="1"/>
    <col min="13354" max="13354" width="9.109375" style="24" customWidth="1"/>
    <col min="13355" max="13590" width="9" style="24"/>
    <col min="13591" max="13591" width="9" style="24" customWidth="1"/>
    <col min="13592" max="13592" width="27.88671875" style="24" customWidth="1"/>
    <col min="13593" max="13593" width="10.109375" style="24" customWidth="1"/>
    <col min="13594" max="13594" width="12.109375" style="24" customWidth="1"/>
    <col min="13595" max="13595" width="8.88671875" style="24" customWidth="1"/>
    <col min="13596" max="13597" width="13.6640625" style="24" customWidth="1"/>
    <col min="13598" max="13598" width="11.88671875" style="24" customWidth="1"/>
    <col min="13599" max="13599" width="12.6640625" style="24" customWidth="1"/>
    <col min="13600" max="13600" width="13.6640625" style="24" customWidth="1"/>
    <col min="13601" max="13601" width="14.6640625" style="24" customWidth="1"/>
    <col min="13602" max="13602" width="9.44140625" style="24" customWidth="1"/>
    <col min="13603" max="13603" width="11.33203125" style="24" customWidth="1"/>
    <col min="13604" max="13604" width="11.88671875" style="24" customWidth="1"/>
    <col min="13605" max="13605" width="11.109375" style="24" customWidth="1"/>
    <col min="13606" max="13606" width="11.88671875" style="24" customWidth="1"/>
    <col min="13607" max="13607" width="15.88671875" style="24" customWidth="1"/>
    <col min="13608" max="13608" width="9.88671875" style="24" customWidth="1"/>
    <col min="13609" max="13609" width="10.109375" style="24" customWidth="1"/>
    <col min="13610" max="13610" width="9.109375" style="24" customWidth="1"/>
    <col min="13611" max="13846" width="9" style="24"/>
    <col min="13847" max="13847" width="9" style="24" customWidth="1"/>
    <col min="13848" max="13848" width="27.88671875" style="24" customWidth="1"/>
    <col min="13849" max="13849" width="10.109375" style="24" customWidth="1"/>
    <col min="13850" max="13850" width="12.109375" style="24" customWidth="1"/>
    <col min="13851" max="13851" width="8.88671875" style="24" customWidth="1"/>
    <col min="13852" max="13853" width="13.6640625" style="24" customWidth="1"/>
    <col min="13854" max="13854" width="11.88671875" style="24" customWidth="1"/>
    <col min="13855" max="13855" width="12.6640625" style="24" customWidth="1"/>
    <col min="13856" max="13856" width="13.6640625" style="24" customWidth="1"/>
    <col min="13857" max="13857" width="14.6640625" style="24" customWidth="1"/>
    <col min="13858" max="13858" width="9.44140625" style="24" customWidth="1"/>
    <col min="13859" max="13859" width="11.33203125" style="24" customWidth="1"/>
    <col min="13860" max="13860" width="11.88671875" style="24" customWidth="1"/>
    <col min="13861" max="13861" width="11.109375" style="24" customWidth="1"/>
    <col min="13862" max="13862" width="11.88671875" style="24" customWidth="1"/>
    <col min="13863" max="13863" width="15.88671875" style="24" customWidth="1"/>
    <col min="13864" max="13864" width="9.88671875" style="24" customWidth="1"/>
    <col min="13865" max="13865" width="10.109375" style="24" customWidth="1"/>
    <col min="13866" max="13866" width="9.109375" style="24" customWidth="1"/>
    <col min="13867" max="14102" width="9" style="24"/>
    <col min="14103" max="14103" width="9" style="24" customWidth="1"/>
    <col min="14104" max="14104" width="27.88671875" style="24" customWidth="1"/>
    <col min="14105" max="14105" width="10.109375" style="24" customWidth="1"/>
    <col min="14106" max="14106" width="12.109375" style="24" customWidth="1"/>
    <col min="14107" max="14107" width="8.88671875" style="24" customWidth="1"/>
    <col min="14108" max="14109" width="13.6640625" style="24" customWidth="1"/>
    <col min="14110" max="14110" width="11.88671875" style="24" customWidth="1"/>
    <col min="14111" max="14111" width="12.6640625" style="24" customWidth="1"/>
    <col min="14112" max="14112" width="13.6640625" style="24" customWidth="1"/>
    <col min="14113" max="14113" width="14.6640625" style="24" customWidth="1"/>
    <col min="14114" max="14114" width="9.44140625" style="24" customWidth="1"/>
    <col min="14115" max="14115" width="11.33203125" style="24" customWidth="1"/>
    <col min="14116" max="14116" width="11.88671875" style="24" customWidth="1"/>
    <col min="14117" max="14117" width="11.109375" style="24" customWidth="1"/>
    <col min="14118" max="14118" width="11.88671875" style="24" customWidth="1"/>
    <col min="14119" max="14119" width="15.88671875" style="24" customWidth="1"/>
    <col min="14120" max="14120" width="9.88671875" style="24" customWidth="1"/>
    <col min="14121" max="14121" width="10.109375" style="24" customWidth="1"/>
    <col min="14122" max="14122" width="9.109375" style="24" customWidth="1"/>
    <col min="14123" max="14358" width="9" style="24"/>
    <col min="14359" max="14359" width="9" style="24" customWidth="1"/>
    <col min="14360" max="14360" width="27.88671875" style="24" customWidth="1"/>
    <col min="14361" max="14361" width="10.109375" style="24" customWidth="1"/>
    <col min="14362" max="14362" width="12.109375" style="24" customWidth="1"/>
    <col min="14363" max="14363" width="8.88671875" style="24" customWidth="1"/>
    <col min="14364" max="14365" width="13.6640625" style="24" customWidth="1"/>
    <col min="14366" max="14366" width="11.88671875" style="24" customWidth="1"/>
    <col min="14367" max="14367" width="12.6640625" style="24" customWidth="1"/>
    <col min="14368" max="14368" width="13.6640625" style="24" customWidth="1"/>
    <col min="14369" max="14369" width="14.6640625" style="24" customWidth="1"/>
    <col min="14370" max="14370" width="9.44140625" style="24" customWidth="1"/>
    <col min="14371" max="14371" width="11.33203125" style="24" customWidth="1"/>
    <col min="14372" max="14372" width="11.88671875" style="24" customWidth="1"/>
    <col min="14373" max="14373" width="11.109375" style="24" customWidth="1"/>
    <col min="14374" max="14374" width="11.88671875" style="24" customWidth="1"/>
    <col min="14375" max="14375" width="15.88671875" style="24" customWidth="1"/>
    <col min="14376" max="14376" width="9.88671875" style="24" customWidth="1"/>
    <col min="14377" max="14377" width="10.109375" style="24" customWidth="1"/>
    <col min="14378" max="14378" width="9.109375" style="24" customWidth="1"/>
    <col min="14379" max="14614" width="9" style="24"/>
    <col min="14615" max="14615" width="9" style="24" customWidth="1"/>
    <col min="14616" max="14616" width="27.88671875" style="24" customWidth="1"/>
    <col min="14617" max="14617" width="10.109375" style="24" customWidth="1"/>
    <col min="14618" max="14618" width="12.109375" style="24" customWidth="1"/>
    <col min="14619" max="14619" width="8.88671875" style="24" customWidth="1"/>
    <col min="14620" max="14621" width="13.6640625" style="24" customWidth="1"/>
    <col min="14622" max="14622" width="11.88671875" style="24" customWidth="1"/>
    <col min="14623" max="14623" width="12.6640625" style="24" customWidth="1"/>
    <col min="14624" max="14624" width="13.6640625" style="24" customWidth="1"/>
    <col min="14625" max="14625" width="14.6640625" style="24" customWidth="1"/>
    <col min="14626" max="14626" width="9.44140625" style="24" customWidth="1"/>
    <col min="14627" max="14627" width="11.33203125" style="24" customWidth="1"/>
    <col min="14628" max="14628" width="11.88671875" style="24" customWidth="1"/>
    <col min="14629" max="14629" width="11.109375" style="24" customWidth="1"/>
    <col min="14630" max="14630" width="11.88671875" style="24" customWidth="1"/>
    <col min="14631" max="14631" width="15.88671875" style="24" customWidth="1"/>
    <col min="14632" max="14632" width="9.88671875" style="24" customWidth="1"/>
    <col min="14633" max="14633" width="10.109375" style="24" customWidth="1"/>
    <col min="14634" max="14634" width="9.109375" style="24" customWidth="1"/>
    <col min="14635" max="14870" width="9" style="24"/>
    <col min="14871" max="14871" width="9" style="24" customWidth="1"/>
    <col min="14872" max="14872" width="27.88671875" style="24" customWidth="1"/>
    <col min="14873" max="14873" width="10.109375" style="24" customWidth="1"/>
    <col min="14874" max="14874" width="12.109375" style="24" customWidth="1"/>
    <col min="14875" max="14875" width="8.88671875" style="24" customWidth="1"/>
    <col min="14876" max="14877" width="13.6640625" style="24" customWidth="1"/>
    <col min="14878" max="14878" width="11.88671875" style="24" customWidth="1"/>
    <col min="14879" max="14879" width="12.6640625" style="24" customWidth="1"/>
    <col min="14880" max="14880" width="13.6640625" style="24" customWidth="1"/>
    <col min="14881" max="14881" width="14.6640625" style="24" customWidth="1"/>
    <col min="14882" max="14882" width="9.44140625" style="24" customWidth="1"/>
    <col min="14883" max="14883" width="11.33203125" style="24" customWidth="1"/>
    <col min="14884" max="14884" width="11.88671875" style="24" customWidth="1"/>
    <col min="14885" max="14885" width="11.109375" style="24" customWidth="1"/>
    <col min="14886" max="14886" width="11.88671875" style="24" customWidth="1"/>
    <col min="14887" max="14887" width="15.88671875" style="24" customWidth="1"/>
    <col min="14888" max="14888" width="9.88671875" style="24" customWidth="1"/>
    <col min="14889" max="14889" width="10.109375" style="24" customWidth="1"/>
    <col min="14890" max="14890" width="9.109375" style="24" customWidth="1"/>
    <col min="14891" max="15126" width="9" style="24"/>
    <col min="15127" max="15127" width="9" style="24" customWidth="1"/>
    <col min="15128" max="15128" width="27.88671875" style="24" customWidth="1"/>
    <col min="15129" max="15129" width="10.109375" style="24" customWidth="1"/>
    <col min="15130" max="15130" width="12.109375" style="24" customWidth="1"/>
    <col min="15131" max="15131" width="8.88671875" style="24" customWidth="1"/>
    <col min="15132" max="15133" width="13.6640625" style="24" customWidth="1"/>
    <col min="15134" max="15134" width="11.88671875" style="24" customWidth="1"/>
    <col min="15135" max="15135" width="12.6640625" style="24" customWidth="1"/>
    <col min="15136" max="15136" width="13.6640625" style="24" customWidth="1"/>
    <col min="15137" max="15137" width="14.6640625" style="24" customWidth="1"/>
    <col min="15138" max="15138" width="9.44140625" style="24" customWidth="1"/>
    <col min="15139" max="15139" width="11.33203125" style="24" customWidth="1"/>
    <col min="15140" max="15140" width="11.88671875" style="24" customWidth="1"/>
    <col min="15141" max="15141" width="11.109375" style="24" customWidth="1"/>
    <col min="15142" max="15142" width="11.88671875" style="24" customWidth="1"/>
    <col min="15143" max="15143" width="15.88671875" style="24" customWidth="1"/>
    <col min="15144" max="15144" width="9.88671875" style="24" customWidth="1"/>
    <col min="15145" max="15145" width="10.109375" style="24" customWidth="1"/>
    <col min="15146" max="15146" width="9.109375" style="24" customWidth="1"/>
    <col min="15147" max="15382" width="9" style="24"/>
    <col min="15383" max="15383" width="9" style="24" customWidth="1"/>
    <col min="15384" max="15384" width="27.88671875" style="24" customWidth="1"/>
    <col min="15385" max="15385" width="10.109375" style="24" customWidth="1"/>
    <col min="15386" max="15386" width="12.109375" style="24" customWidth="1"/>
    <col min="15387" max="15387" width="8.88671875" style="24" customWidth="1"/>
    <col min="15388" max="15389" width="13.6640625" style="24" customWidth="1"/>
    <col min="15390" max="15390" width="11.88671875" style="24" customWidth="1"/>
    <col min="15391" max="15391" width="12.6640625" style="24" customWidth="1"/>
    <col min="15392" max="15392" width="13.6640625" style="24" customWidth="1"/>
    <col min="15393" max="15393" width="14.6640625" style="24" customWidth="1"/>
    <col min="15394" max="15394" width="9.44140625" style="24" customWidth="1"/>
    <col min="15395" max="15395" width="11.33203125" style="24" customWidth="1"/>
    <col min="15396" max="15396" width="11.88671875" style="24" customWidth="1"/>
    <col min="15397" max="15397" width="11.109375" style="24" customWidth="1"/>
    <col min="15398" max="15398" width="11.88671875" style="24" customWidth="1"/>
    <col min="15399" max="15399" width="15.88671875" style="24" customWidth="1"/>
    <col min="15400" max="15400" width="9.88671875" style="24" customWidth="1"/>
    <col min="15401" max="15401" width="10.109375" style="24" customWidth="1"/>
    <col min="15402" max="15402" width="9.109375" style="24" customWidth="1"/>
    <col min="15403" max="15638" width="9" style="24"/>
    <col min="15639" max="15639" width="9" style="24" customWidth="1"/>
    <col min="15640" max="15640" width="27.88671875" style="24" customWidth="1"/>
    <col min="15641" max="15641" width="10.109375" style="24" customWidth="1"/>
    <col min="15642" max="15642" width="12.109375" style="24" customWidth="1"/>
    <col min="15643" max="15643" width="8.88671875" style="24" customWidth="1"/>
    <col min="15644" max="15645" width="13.6640625" style="24" customWidth="1"/>
    <col min="15646" max="15646" width="11.88671875" style="24" customWidth="1"/>
    <col min="15647" max="15647" width="12.6640625" style="24" customWidth="1"/>
    <col min="15648" max="15648" width="13.6640625" style="24" customWidth="1"/>
    <col min="15649" max="15649" width="14.6640625" style="24" customWidth="1"/>
    <col min="15650" max="15650" width="9.44140625" style="24" customWidth="1"/>
    <col min="15651" max="15651" width="11.33203125" style="24" customWidth="1"/>
    <col min="15652" max="15652" width="11.88671875" style="24" customWidth="1"/>
    <col min="15653" max="15653" width="11.109375" style="24" customWidth="1"/>
    <col min="15654" max="15654" width="11.88671875" style="24" customWidth="1"/>
    <col min="15655" max="15655" width="15.88671875" style="24" customWidth="1"/>
    <col min="15656" max="15656" width="9.88671875" style="24" customWidth="1"/>
    <col min="15657" max="15657" width="10.109375" style="24" customWidth="1"/>
    <col min="15658" max="15658" width="9.109375" style="24" customWidth="1"/>
    <col min="15659" max="15894" width="9" style="24"/>
    <col min="15895" max="15895" width="9" style="24" customWidth="1"/>
    <col min="15896" max="15896" width="27.88671875" style="24" customWidth="1"/>
    <col min="15897" max="15897" width="10.109375" style="24" customWidth="1"/>
    <col min="15898" max="15898" width="12.109375" style="24" customWidth="1"/>
    <col min="15899" max="15899" width="8.88671875" style="24" customWidth="1"/>
    <col min="15900" max="15901" width="13.6640625" style="24" customWidth="1"/>
    <col min="15902" max="15902" width="11.88671875" style="24" customWidth="1"/>
    <col min="15903" max="15903" width="12.6640625" style="24" customWidth="1"/>
    <col min="15904" max="15904" width="13.6640625" style="24" customWidth="1"/>
    <col min="15905" max="15905" width="14.6640625" style="24" customWidth="1"/>
    <col min="15906" max="15906" width="9.44140625" style="24" customWidth="1"/>
    <col min="15907" max="15907" width="11.33203125" style="24" customWidth="1"/>
    <col min="15908" max="15908" width="11.88671875" style="24" customWidth="1"/>
    <col min="15909" max="15909" width="11.109375" style="24" customWidth="1"/>
    <col min="15910" max="15910" width="11.88671875" style="24" customWidth="1"/>
    <col min="15911" max="15911" width="15.88671875" style="24" customWidth="1"/>
    <col min="15912" max="15912" width="9.88671875" style="24" customWidth="1"/>
    <col min="15913" max="15913" width="10.109375" style="24" customWidth="1"/>
    <col min="15914" max="15914" width="9.109375" style="24" customWidth="1"/>
    <col min="15915" max="16150" width="9" style="24"/>
    <col min="16151" max="16151" width="9" style="24" customWidth="1"/>
    <col min="16152" max="16152" width="27.88671875" style="24" customWidth="1"/>
    <col min="16153" max="16153" width="10.109375" style="24" customWidth="1"/>
    <col min="16154" max="16154" width="12.109375" style="24" customWidth="1"/>
    <col min="16155" max="16155" width="8.88671875" style="24" customWidth="1"/>
    <col min="16156" max="16157" width="13.6640625" style="24" customWidth="1"/>
    <col min="16158" max="16158" width="11.88671875" style="24" customWidth="1"/>
    <col min="16159" max="16159" width="12.6640625" style="24" customWidth="1"/>
    <col min="16160" max="16160" width="13.6640625" style="24" customWidth="1"/>
    <col min="16161" max="16161" width="14.6640625" style="24" customWidth="1"/>
    <col min="16162" max="16162" width="9.44140625" style="24" customWidth="1"/>
    <col min="16163" max="16163" width="11.33203125" style="24" customWidth="1"/>
    <col min="16164" max="16164" width="11.88671875" style="24" customWidth="1"/>
    <col min="16165" max="16165" width="11.109375" style="24" customWidth="1"/>
    <col min="16166" max="16166" width="11.88671875" style="24" customWidth="1"/>
    <col min="16167" max="16167" width="15.88671875" style="24" customWidth="1"/>
    <col min="16168" max="16168" width="9.88671875" style="24" customWidth="1"/>
    <col min="16169" max="16169" width="10.109375" style="24" customWidth="1"/>
    <col min="16170" max="16170" width="9.109375" style="24" customWidth="1"/>
    <col min="16171" max="16384" width="9" style="24"/>
  </cols>
  <sheetData>
    <row r="1" spans="1:63" s="162" customFormat="1" ht="16.149999999999999" customHeight="1">
      <c r="A1" s="161"/>
      <c r="B1" s="173" t="s">
        <v>79</v>
      </c>
      <c r="C1" s="18"/>
      <c r="D1" s="18"/>
      <c r="E1" s="15"/>
      <c r="F1" s="15"/>
      <c r="G1" s="15"/>
      <c r="H1" s="120"/>
      <c r="I1" s="18"/>
      <c r="J1" s="120"/>
      <c r="K1" s="120"/>
      <c r="L1" s="120"/>
      <c r="M1" s="15"/>
      <c r="N1" s="15"/>
      <c r="O1" s="15"/>
      <c r="P1" s="15"/>
      <c r="Q1" s="120"/>
      <c r="R1" s="15"/>
      <c r="S1" s="15"/>
      <c r="T1" s="15"/>
      <c r="U1" s="15"/>
      <c r="V1" s="218"/>
      <c r="W1" s="219"/>
      <c r="X1" s="193"/>
      <c r="Y1" s="193"/>
      <c r="Z1" s="120"/>
      <c r="AA1" s="120"/>
      <c r="AB1" s="120"/>
      <c r="AC1" s="120"/>
      <c r="AD1" s="120"/>
      <c r="AE1" s="120"/>
      <c r="AF1" s="15"/>
      <c r="AG1" s="15"/>
      <c r="AH1" s="15"/>
      <c r="AI1" s="120"/>
      <c r="AJ1" s="15"/>
      <c r="AK1" s="214"/>
      <c r="AL1" s="120"/>
      <c r="AM1" s="15"/>
      <c r="AN1" s="15"/>
      <c r="AO1" s="15"/>
      <c r="AP1" s="107"/>
      <c r="AQ1" s="107"/>
      <c r="AR1" s="15"/>
      <c r="AS1" s="120"/>
      <c r="AT1" s="161"/>
      <c r="AU1" s="161"/>
      <c r="AZ1" s="163"/>
      <c r="BA1" s="164"/>
      <c r="BB1" s="164"/>
      <c r="BC1" s="164"/>
      <c r="BD1" s="164"/>
      <c r="BE1" s="164"/>
      <c r="BF1" s="164"/>
      <c r="BG1" s="164"/>
      <c r="BK1" s="163"/>
    </row>
    <row r="2" spans="1:63" s="162" customFormat="1" ht="16.149999999999999" customHeight="1">
      <c r="A2" s="161"/>
      <c r="B2" s="173" t="s">
        <v>20</v>
      </c>
      <c r="C2" s="18"/>
      <c r="D2" s="18"/>
      <c r="E2" s="15"/>
      <c r="F2" s="15"/>
      <c r="G2" s="15"/>
      <c r="H2" s="120"/>
      <c r="I2" s="18"/>
      <c r="J2" s="120"/>
      <c r="K2" s="120"/>
      <c r="L2" s="120"/>
      <c r="M2" s="15"/>
      <c r="N2" s="15"/>
      <c r="O2" s="15"/>
      <c r="P2" s="15"/>
      <c r="Q2" s="120"/>
      <c r="R2" s="15"/>
      <c r="S2" s="15"/>
      <c r="T2" s="15"/>
      <c r="U2" s="15"/>
      <c r="V2" s="218"/>
      <c r="W2" s="219"/>
      <c r="X2" s="193"/>
      <c r="Y2" s="193"/>
      <c r="Z2" s="120"/>
      <c r="AA2" s="120"/>
      <c r="AB2" s="120"/>
      <c r="AC2" s="120"/>
      <c r="AD2" s="120"/>
      <c r="AE2" s="120"/>
      <c r="AF2" s="15"/>
      <c r="AG2" s="15"/>
      <c r="AH2" s="15"/>
      <c r="AI2" s="120"/>
      <c r="AJ2" s="15"/>
      <c r="AK2" s="214"/>
      <c r="AL2" s="120"/>
      <c r="AM2" s="15"/>
      <c r="AN2" s="15"/>
      <c r="AO2" s="15"/>
      <c r="AP2" s="107"/>
      <c r="AQ2" s="107"/>
      <c r="AR2" s="15"/>
      <c r="AS2" s="120"/>
      <c r="AT2" s="161"/>
      <c r="AU2" s="161"/>
      <c r="AZ2" s="163"/>
      <c r="BA2" s="164"/>
      <c r="BB2" s="164"/>
      <c r="BC2" s="164"/>
      <c r="BD2" s="164"/>
      <c r="BE2" s="164"/>
      <c r="BF2" s="164"/>
      <c r="BG2" s="164"/>
      <c r="BK2" s="163"/>
    </row>
    <row r="3" spans="1:63" s="162" customFormat="1" ht="16.149999999999999" customHeight="1">
      <c r="A3" s="161"/>
      <c r="B3" s="174" t="s">
        <v>119</v>
      </c>
      <c r="C3" s="19"/>
      <c r="D3" s="19"/>
      <c r="E3" s="165"/>
      <c r="F3" s="167"/>
      <c r="G3" s="167"/>
      <c r="H3" s="168"/>
      <c r="I3" s="23"/>
      <c r="J3" s="168"/>
      <c r="K3" s="168"/>
      <c r="L3" s="168"/>
      <c r="M3" s="167"/>
      <c r="N3" s="167"/>
      <c r="O3" s="169"/>
      <c r="P3" s="167"/>
      <c r="Q3" s="168"/>
      <c r="R3" s="169"/>
      <c r="S3" s="167"/>
      <c r="T3" s="167"/>
      <c r="U3" s="167"/>
      <c r="V3" s="220"/>
      <c r="W3" s="221"/>
      <c r="X3" s="194"/>
      <c r="Y3" s="194"/>
      <c r="Z3" s="168"/>
      <c r="AA3" s="168"/>
      <c r="AB3" s="168"/>
      <c r="AC3" s="168"/>
      <c r="AD3" s="168"/>
      <c r="AE3" s="168"/>
      <c r="AF3" s="167"/>
      <c r="AG3" s="170"/>
      <c r="AH3" s="167"/>
      <c r="AI3" s="168"/>
      <c r="AJ3" s="167"/>
      <c r="AK3" s="215"/>
      <c r="AL3" s="168"/>
      <c r="AM3" s="169"/>
      <c r="AN3" s="169"/>
      <c r="AO3" s="171"/>
      <c r="AP3" s="172"/>
      <c r="AQ3" s="166"/>
      <c r="AS3" s="164"/>
      <c r="AT3" s="161"/>
      <c r="AU3" s="161"/>
      <c r="AZ3" s="163"/>
      <c r="BA3" s="164"/>
      <c r="BB3" s="164"/>
      <c r="BC3" s="164"/>
      <c r="BD3" s="164"/>
      <c r="BE3" s="164"/>
      <c r="BF3" s="164"/>
      <c r="BG3" s="164"/>
      <c r="BK3" s="163"/>
    </row>
    <row r="4" spans="1:63" s="162" customFormat="1" ht="16.149999999999999" customHeight="1">
      <c r="A4" s="161"/>
      <c r="B4" s="173" t="s">
        <v>146</v>
      </c>
      <c r="C4" s="19"/>
      <c r="D4" s="19"/>
      <c r="E4" s="19"/>
      <c r="F4" s="21"/>
      <c r="G4" s="21"/>
      <c r="H4" s="122"/>
      <c r="I4" s="23"/>
      <c r="J4" s="122"/>
      <c r="K4" s="122"/>
      <c r="L4" s="122"/>
      <c r="M4" s="21"/>
      <c r="N4" s="21"/>
      <c r="O4" s="5"/>
      <c r="P4" s="21"/>
      <c r="Q4" s="122"/>
      <c r="R4" s="5"/>
      <c r="S4" s="21"/>
      <c r="T4" s="21"/>
      <c r="U4" s="21"/>
      <c r="V4" s="222"/>
      <c r="W4" s="199"/>
      <c r="X4" s="195"/>
      <c r="Y4" s="195"/>
      <c r="Z4" s="122"/>
      <c r="AA4" s="122"/>
      <c r="AB4" s="122"/>
      <c r="AC4" s="122"/>
      <c r="AD4" s="122"/>
      <c r="AE4" s="122"/>
      <c r="AF4" s="21"/>
      <c r="AG4" s="26"/>
      <c r="AH4" s="21"/>
      <c r="AI4" s="122"/>
      <c r="AJ4" s="21"/>
      <c r="AK4" s="216"/>
      <c r="AL4" s="122"/>
      <c r="AM4" s="5"/>
      <c r="AN4" s="5"/>
      <c r="AO4" s="171"/>
      <c r="AP4" s="172"/>
      <c r="AQ4" s="132"/>
      <c r="AS4" s="164"/>
      <c r="AT4" s="161"/>
      <c r="AU4" s="161"/>
      <c r="AZ4" s="163"/>
      <c r="BA4" s="164"/>
      <c r="BB4" s="164"/>
      <c r="BC4" s="164"/>
      <c r="BD4" s="164"/>
      <c r="BE4" s="164"/>
      <c r="BF4" s="164"/>
      <c r="BG4" s="164"/>
      <c r="BK4" s="163"/>
    </row>
    <row r="5" spans="1:63" s="162" customFormat="1" ht="16.149999999999999" customHeight="1">
      <c r="A5" s="161"/>
      <c r="B5" s="173" t="s">
        <v>170</v>
      </c>
      <c r="C5" s="19"/>
      <c r="D5" s="19"/>
      <c r="E5" s="19"/>
      <c r="F5" s="21"/>
      <c r="G5" s="21"/>
      <c r="H5" s="122"/>
      <c r="I5" s="23"/>
      <c r="J5" s="122"/>
      <c r="K5" s="122"/>
      <c r="L5" s="122"/>
      <c r="M5" s="21"/>
      <c r="N5" s="21"/>
      <c r="O5" s="5"/>
      <c r="P5" s="21"/>
      <c r="Q5" s="122"/>
      <c r="R5" s="5"/>
      <c r="S5" s="21"/>
      <c r="T5" s="21"/>
      <c r="U5" s="21"/>
      <c r="V5" s="222"/>
      <c r="W5" s="199"/>
      <c r="X5" s="195"/>
      <c r="Y5" s="195"/>
      <c r="Z5" s="122"/>
      <c r="AA5" s="122"/>
      <c r="AB5" s="122"/>
      <c r="AC5" s="122"/>
      <c r="AD5" s="122"/>
      <c r="AE5" s="122"/>
      <c r="AF5" s="21"/>
      <c r="AG5" s="26"/>
      <c r="AH5" s="21"/>
      <c r="AI5" s="122"/>
      <c r="AJ5" s="21"/>
      <c r="AK5" s="216"/>
      <c r="AL5" s="122"/>
      <c r="AM5" s="5"/>
      <c r="AN5" s="5"/>
      <c r="AO5" s="171"/>
      <c r="AP5" s="172"/>
      <c r="AQ5" s="132"/>
      <c r="AS5" s="164"/>
      <c r="AT5" s="161"/>
      <c r="AU5" s="161"/>
      <c r="AZ5" s="163"/>
      <c r="BA5" s="164"/>
      <c r="BB5" s="164"/>
      <c r="BC5" s="164"/>
      <c r="BD5" s="164"/>
      <c r="BE5" s="164"/>
      <c r="BF5" s="164"/>
      <c r="BG5" s="164"/>
      <c r="BK5" s="163"/>
    </row>
    <row r="6" spans="1:63" ht="16.149999999999999" customHeight="1">
      <c r="B6" s="32"/>
      <c r="C6" s="19"/>
      <c r="D6" s="19"/>
      <c r="E6" s="19"/>
      <c r="F6" s="21"/>
      <c r="G6" s="21"/>
      <c r="H6" s="122"/>
      <c r="I6" s="23"/>
      <c r="J6" s="122"/>
      <c r="K6" s="122"/>
      <c r="L6" s="122"/>
      <c r="M6" s="21"/>
      <c r="N6" s="21"/>
      <c r="O6" s="5"/>
      <c r="P6" s="21"/>
      <c r="Q6" s="122"/>
      <c r="R6" s="5"/>
      <c r="S6" s="21"/>
      <c r="T6" s="21"/>
      <c r="U6" s="21"/>
      <c r="V6" s="222"/>
      <c r="W6" s="199"/>
      <c r="X6" s="195"/>
      <c r="Y6" s="195"/>
      <c r="Z6" s="122"/>
      <c r="AA6" s="122"/>
      <c r="AB6" s="122"/>
      <c r="AC6" s="122"/>
      <c r="AD6" s="122"/>
      <c r="AE6" s="122"/>
      <c r="AF6" s="21"/>
      <c r="AG6" s="26"/>
      <c r="AH6" s="21"/>
      <c r="AI6" s="122"/>
      <c r="AJ6" s="21"/>
      <c r="AK6" s="216"/>
      <c r="AL6" s="122"/>
      <c r="AM6" s="5"/>
      <c r="AN6" s="5"/>
      <c r="AQ6" s="132"/>
    </row>
    <row r="7" spans="1:63" ht="16.149999999999999" customHeight="1" thickBot="1">
      <c r="B7" s="32"/>
      <c r="C7" s="19"/>
      <c r="D7" s="19"/>
      <c r="E7" s="19"/>
      <c r="F7" s="21"/>
      <c r="G7" s="21"/>
      <c r="H7" s="122"/>
      <c r="I7" s="23"/>
      <c r="J7" s="122"/>
      <c r="K7" s="122"/>
      <c r="L7" s="122"/>
      <c r="M7" s="21"/>
      <c r="N7" s="21"/>
      <c r="O7" s="5"/>
      <c r="P7" s="21"/>
      <c r="Q7" s="122"/>
      <c r="R7" s="5"/>
      <c r="S7" s="21"/>
      <c r="T7" s="21"/>
      <c r="U7" s="21"/>
      <c r="V7" s="222"/>
      <c r="W7" s="199"/>
      <c r="X7" s="195"/>
      <c r="Y7" s="195"/>
      <c r="Z7" s="122"/>
      <c r="AA7" s="122"/>
      <c r="AB7" s="122"/>
      <c r="AC7" s="122"/>
      <c r="AD7" s="122"/>
      <c r="AE7" s="122"/>
      <c r="AF7" s="21"/>
      <c r="AG7" s="26"/>
      <c r="AH7" s="21"/>
      <c r="AI7" s="122"/>
      <c r="AJ7" s="21"/>
      <c r="AK7" s="216"/>
      <c r="AL7" s="122"/>
      <c r="AM7" s="5"/>
      <c r="AN7" s="5"/>
      <c r="AQ7" s="132"/>
    </row>
    <row r="8" spans="1:63" ht="16.149999999999999" customHeight="1" thickBot="1">
      <c r="B8" s="27"/>
      <c r="C8" s="20"/>
      <c r="D8" s="20"/>
      <c r="E8" s="16"/>
      <c r="F8" s="653" t="s">
        <v>8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5"/>
      <c r="T8" s="656" t="s">
        <v>4</v>
      </c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8"/>
      <c r="AK8" s="230"/>
      <c r="AL8" s="234"/>
      <c r="AM8" s="8"/>
      <c r="AN8" s="8"/>
      <c r="AQ8" s="133"/>
      <c r="AR8" s="659" t="s">
        <v>25</v>
      </c>
      <c r="AS8" s="660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2"/>
      <c r="BK8" s="663"/>
    </row>
    <row r="9" spans="1:63" s="6" customFormat="1" ht="51">
      <c r="A9" s="134" t="s">
        <v>40</v>
      </c>
      <c r="B9" s="63" t="s">
        <v>15</v>
      </c>
      <c r="C9" s="64" t="s">
        <v>0</v>
      </c>
      <c r="D9" s="64" t="s">
        <v>7</v>
      </c>
      <c r="E9" s="65" t="s">
        <v>9</v>
      </c>
      <c r="F9" s="43" t="s">
        <v>47</v>
      </c>
      <c r="G9" s="38" t="s">
        <v>16</v>
      </c>
      <c r="H9" s="126" t="s">
        <v>49</v>
      </c>
      <c r="I9" s="39" t="s">
        <v>1</v>
      </c>
      <c r="J9" s="126" t="s">
        <v>132</v>
      </c>
      <c r="K9" s="126" t="s">
        <v>24</v>
      </c>
      <c r="L9" s="126" t="s">
        <v>13</v>
      </c>
      <c r="M9" s="38" t="s">
        <v>17</v>
      </c>
      <c r="N9" s="38" t="s">
        <v>26</v>
      </c>
      <c r="O9" s="38" t="s">
        <v>11</v>
      </c>
      <c r="P9" s="38" t="s">
        <v>18</v>
      </c>
      <c r="Q9" s="126" t="s">
        <v>42</v>
      </c>
      <c r="R9" s="38" t="s">
        <v>48</v>
      </c>
      <c r="S9" s="40" t="s">
        <v>21</v>
      </c>
      <c r="T9" s="41" t="s">
        <v>23</v>
      </c>
      <c r="U9" s="38" t="s">
        <v>10</v>
      </c>
      <c r="V9" s="223" t="s">
        <v>106</v>
      </c>
      <c r="W9" s="262" t="s">
        <v>107</v>
      </c>
      <c r="X9" s="201" t="s">
        <v>95</v>
      </c>
      <c r="Y9" s="267" t="s">
        <v>96</v>
      </c>
      <c r="Z9" s="126" t="s">
        <v>97</v>
      </c>
      <c r="AA9" s="269" t="s">
        <v>98</v>
      </c>
      <c r="AB9" s="207" t="s">
        <v>99</v>
      </c>
      <c r="AC9" s="269" t="s">
        <v>100</v>
      </c>
      <c r="AD9" s="207" t="s">
        <v>102</v>
      </c>
      <c r="AE9" s="269" t="s">
        <v>103</v>
      </c>
      <c r="AF9" s="38" t="s">
        <v>4</v>
      </c>
      <c r="AG9" s="42" t="s">
        <v>19</v>
      </c>
      <c r="AH9" s="38" t="s">
        <v>14</v>
      </c>
      <c r="AI9" s="123" t="s">
        <v>43</v>
      </c>
      <c r="AJ9" s="40" t="s">
        <v>22</v>
      </c>
      <c r="AK9" s="212" t="s">
        <v>104</v>
      </c>
      <c r="AL9" s="213" t="s">
        <v>105</v>
      </c>
      <c r="AM9" s="37" t="s">
        <v>45</v>
      </c>
      <c r="AN9" s="37" t="s">
        <v>46</v>
      </c>
      <c r="AO9" s="12"/>
      <c r="AP9" s="175" t="s">
        <v>52</v>
      </c>
      <c r="AQ9" s="183" t="s">
        <v>50</v>
      </c>
      <c r="AR9" s="189" t="s">
        <v>16</v>
      </c>
      <c r="AS9" s="110" t="s">
        <v>51</v>
      </c>
      <c r="AT9" s="111" t="s">
        <v>24</v>
      </c>
      <c r="AU9" s="111" t="s">
        <v>13</v>
      </c>
      <c r="AV9" s="61" t="s">
        <v>17</v>
      </c>
      <c r="AW9" s="61" t="s">
        <v>26</v>
      </c>
      <c r="AX9" s="61" t="s">
        <v>11</v>
      </c>
      <c r="AY9" s="61" t="s">
        <v>18</v>
      </c>
      <c r="AZ9" s="61" t="s">
        <v>44</v>
      </c>
      <c r="BA9" s="111" t="s">
        <v>53</v>
      </c>
      <c r="BB9" s="111" t="s">
        <v>97</v>
      </c>
      <c r="BC9" s="111" t="s">
        <v>101</v>
      </c>
      <c r="BD9" s="274" t="s">
        <v>99</v>
      </c>
      <c r="BE9" s="278" t="s">
        <v>100</v>
      </c>
      <c r="BF9" s="274" t="s">
        <v>102</v>
      </c>
      <c r="BG9" s="278" t="s">
        <v>103</v>
      </c>
      <c r="BH9" s="87" t="s">
        <v>4</v>
      </c>
      <c r="BI9" s="88" t="s">
        <v>19</v>
      </c>
      <c r="BJ9" s="88" t="s">
        <v>14</v>
      </c>
      <c r="BK9" s="89" t="s">
        <v>43</v>
      </c>
    </row>
    <row r="10" spans="1:63" s="90" customFormat="1" ht="37.15" hidden="1" customHeight="1">
      <c r="A10" s="90" t="s">
        <v>41</v>
      </c>
      <c r="B10" s="91" t="s">
        <v>27</v>
      </c>
      <c r="C10" s="92" t="s">
        <v>28</v>
      </c>
      <c r="D10" s="93" t="s">
        <v>29</v>
      </c>
      <c r="E10" s="94" t="s">
        <v>30</v>
      </c>
      <c r="F10" s="95"/>
      <c r="H10" s="96"/>
      <c r="I10" s="97"/>
      <c r="J10" s="96"/>
      <c r="K10" s="96"/>
      <c r="L10" s="96"/>
      <c r="M10" s="96"/>
      <c r="N10" s="96"/>
      <c r="O10" s="96"/>
      <c r="P10" s="92"/>
      <c r="Q10" s="98"/>
      <c r="R10" s="96"/>
      <c r="S10" s="99"/>
      <c r="T10" s="100"/>
      <c r="U10" s="96"/>
      <c r="V10" s="202"/>
      <c r="W10" s="263"/>
      <c r="X10" s="202"/>
      <c r="Y10" s="263"/>
      <c r="Z10" s="96"/>
      <c r="AA10" s="270"/>
      <c r="AB10" s="208"/>
      <c r="AC10" s="270"/>
      <c r="AD10" s="208"/>
      <c r="AE10" s="270"/>
      <c r="AF10" s="96"/>
      <c r="AG10" s="101"/>
      <c r="AH10" s="96"/>
      <c r="AI10" s="102"/>
      <c r="AJ10" s="103"/>
      <c r="AK10" s="231"/>
      <c r="AL10" s="103"/>
      <c r="AM10" s="104"/>
      <c r="AN10" s="104"/>
      <c r="AP10" s="105" t="s">
        <v>31</v>
      </c>
      <c r="AQ10" s="184"/>
      <c r="AR10" s="190" t="s">
        <v>32</v>
      </c>
      <c r="AS10" s="96" t="s">
        <v>33</v>
      </c>
      <c r="AT10" s="96"/>
      <c r="AU10" s="96"/>
      <c r="AV10" s="96" t="s">
        <v>34</v>
      </c>
      <c r="AW10" s="96" t="s">
        <v>35</v>
      </c>
      <c r="AX10" s="96"/>
      <c r="AY10" s="93"/>
      <c r="AZ10" s="96" t="s">
        <v>36</v>
      </c>
      <c r="BA10" s="96" t="s">
        <v>37</v>
      </c>
      <c r="BB10" s="96"/>
      <c r="BC10" s="96"/>
      <c r="BD10" s="208"/>
      <c r="BE10" s="270"/>
      <c r="BF10" s="208"/>
      <c r="BG10" s="270"/>
      <c r="BH10" s="106" t="s">
        <v>38</v>
      </c>
      <c r="BI10" s="106"/>
      <c r="BJ10" s="106"/>
      <c r="BK10" s="99" t="s">
        <v>39</v>
      </c>
    </row>
    <row r="11" spans="1:63" ht="16.149999999999999" customHeight="1">
      <c r="B11" s="66"/>
      <c r="C11" s="179"/>
      <c r="D11" s="20"/>
      <c r="E11" s="74"/>
      <c r="F11" s="44"/>
      <c r="G11" s="7"/>
      <c r="H11" s="124"/>
      <c r="I11" s="75"/>
      <c r="J11" s="124"/>
      <c r="K11" s="124"/>
      <c r="L11" s="124"/>
      <c r="M11" s="7"/>
      <c r="N11" s="7"/>
      <c r="O11" s="7"/>
      <c r="P11" s="7"/>
      <c r="Q11" s="124"/>
      <c r="R11" s="7"/>
      <c r="S11" s="31"/>
      <c r="T11" s="85"/>
      <c r="U11" s="7"/>
      <c r="V11" s="203"/>
      <c r="W11" s="264"/>
      <c r="X11" s="203"/>
      <c r="Y11" s="264"/>
      <c r="Z11" s="124"/>
      <c r="AA11" s="268"/>
      <c r="AB11" s="204"/>
      <c r="AC11" s="268"/>
      <c r="AD11" s="204"/>
      <c r="AE11" s="268"/>
      <c r="AF11" s="7"/>
      <c r="AG11" s="17"/>
      <c r="AH11" s="7"/>
      <c r="AI11" s="124"/>
      <c r="AJ11" s="31"/>
      <c r="AK11" s="232"/>
      <c r="AL11" s="235"/>
      <c r="AM11" s="34"/>
      <c r="AN11" s="34"/>
      <c r="AP11" s="176"/>
      <c r="AQ11" s="185"/>
      <c r="AR11" s="191"/>
      <c r="AS11" s="112"/>
      <c r="AT11" s="113"/>
      <c r="AU11" s="113"/>
      <c r="AV11" s="28"/>
      <c r="AW11" s="28"/>
      <c r="AX11" s="28"/>
      <c r="AY11" s="28"/>
      <c r="AZ11" s="36"/>
      <c r="BA11" s="112"/>
      <c r="BB11" s="112"/>
      <c r="BC11" s="112"/>
      <c r="BD11" s="275"/>
      <c r="BE11" s="279"/>
      <c r="BF11" s="275"/>
      <c r="BG11" s="279"/>
      <c r="BH11" s="28"/>
      <c r="BI11" s="28"/>
      <c r="BJ11" s="28"/>
      <c r="BK11" s="62"/>
    </row>
    <row r="12" spans="1:63" s="82" customFormat="1" ht="16.149999999999999" customHeight="1">
      <c r="A12" s="159" t="s">
        <v>80</v>
      </c>
      <c r="B12" s="67" t="s">
        <v>148</v>
      </c>
      <c r="C12" s="179" t="s">
        <v>62</v>
      </c>
      <c r="D12" s="20" t="s">
        <v>12</v>
      </c>
      <c r="E12" s="314">
        <v>20455</v>
      </c>
      <c r="F12" s="45">
        <v>67488.789999999994</v>
      </c>
      <c r="G12" s="9">
        <v>0</v>
      </c>
      <c r="H12" s="129">
        <f t="shared" ref="H12:H28" si="0">F12+G12+P12</f>
        <v>67488.789999999994</v>
      </c>
      <c r="I12" s="76">
        <f t="shared" ref="I12:I23" si="1">H12/(H$31-1575)</f>
        <v>1.7592139999999999E-2</v>
      </c>
      <c r="J12" s="128"/>
      <c r="K12" s="128">
        <f t="shared" ref="K12:L23" si="2">$I12*K$31</f>
        <v>0</v>
      </c>
      <c r="L12" s="128">
        <f t="shared" si="2"/>
        <v>0</v>
      </c>
      <c r="M12" s="9">
        <f t="shared" ref="M12:M28" si="3">K12+L12</f>
        <v>0</v>
      </c>
      <c r="N12" s="9">
        <f t="shared" ref="N12:O28" si="4">$I12*N$31</f>
        <v>0</v>
      </c>
      <c r="O12" s="9">
        <f t="shared" si="4"/>
        <v>0</v>
      </c>
      <c r="P12" s="9">
        <v>0</v>
      </c>
      <c r="Q12" s="128">
        <f t="shared" ref="Q12:Q28" si="5">O12+P12</f>
        <v>0</v>
      </c>
      <c r="R12" s="9">
        <f t="shared" ref="R12:R28" si="6">F12+G12+M12+Q12</f>
        <v>67488.789999999994</v>
      </c>
      <c r="S12" s="14">
        <f t="shared" ref="S12:S23" si="7">(R12/(R$31-1575)*(S$31-1575))</f>
        <v>80088.75</v>
      </c>
      <c r="T12" s="86">
        <v>24507.73</v>
      </c>
      <c r="U12" s="79">
        <f t="shared" ref="U12:U28" si="8">I12</f>
        <v>1.7592139999999999E-2</v>
      </c>
      <c r="V12" s="203"/>
      <c r="W12" s="264"/>
      <c r="X12" s="204">
        <f>$U12*X$31</f>
        <v>81.849999999999994</v>
      </c>
      <c r="Y12" s="268">
        <f>$U12*Y$31</f>
        <v>64.42</v>
      </c>
      <c r="Z12" s="124">
        <f t="shared" ref="Z12:Z28" si="9">X12+Y12</f>
        <v>146.27000000000001</v>
      </c>
      <c r="AA12" s="268">
        <f t="shared" ref="AA12:AE23" si="10">$U12*AA$31</f>
        <v>602.59</v>
      </c>
      <c r="AB12" s="204">
        <f t="shared" si="10"/>
        <v>0</v>
      </c>
      <c r="AC12" s="268">
        <f t="shared" si="10"/>
        <v>0</v>
      </c>
      <c r="AD12" s="204">
        <f t="shared" si="10"/>
        <v>0</v>
      </c>
      <c r="AE12" s="268">
        <f t="shared" si="10"/>
        <v>-0.37</v>
      </c>
      <c r="AF12" s="7">
        <f t="shared" ref="AF12:AF28" si="11">SUM(Z12:AE12)</f>
        <v>748.49</v>
      </c>
      <c r="AG12" s="7">
        <f t="shared" ref="AG12:AG23" si="12">U12*AG$31</f>
        <v>-86.22</v>
      </c>
      <c r="AH12" s="7">
        <v>0</v>
      </c>
      <c r="AI12" s="124">
        <f t="shared" ref="AI12:AI28" si="13">AG12+AH12</f>
        <v>-86.22</v>
      </c>
      <c r="AJ12" s="14">
        <f t="shared" ref="AJ12:AJ28" si="14">T12+AF12+AI12</f>
        <v>25170</v>
      </c>
      <c r="AK12" s="233"/>
      <c r="AL12" s="236"/>
      <c r="AM12" s="33">
        <f t="shared" ref="AM12:AM28" si="15">R12+AJ12</f>
        <v>92658.79</v>
      </c>
      <c r="AN12" s="33">
        <f t="shared" ref="AN12:AN23" si="16">(S12+AJ12)+((AJ12/AJ$31)*AO$49)</f>
        <v>108893.08</v>
      </c>
      <c r="AO12" s="83"/>
      <c r="AP12" s="114">
        <v>62445.99</v>
      </c>
      <c r="AQ12" s="186">
        <v>74329.64</v>
      </c>
      <c r="AR12" s="192">
        <f>G12+'01.31.20'!AR12</f>
        <v>0</v>
      </c>
      <c r="AS12" s="114">
        <f t="shared" ref="AS12:AS17" si="17">AN12-AM12</f>
        <v>16234.29</v>
      </c>
      <c r="AT12" s="137">
        <f>K12+'01.31.20'!AT12</f>
        <v>0</v>
      </c>
      <c r="AU12" s="137">
        <f>L12+'01.31.20'!AU12</f>
        <v>2351.56</v>
      </c>
      <c r="AV12" s="84">
        <f t="shared" ref="AV12:AV17" si="18">AT12+AU12</f>
        <v>2351.56</v>
      </c>
      <c r="AW12" s="84">
        <f>N12+'01.31.20'!AW12</f>
        <v>0</v>
      </c>
      <c r="AX12" s="84">
        <f>O12+'01.31.20'!AX12</f>
        <v>0</v>
      </c>
      <c r="AY12" s="84">
        <f>P12+'01.31.20'!AY12</f>
        <v>0</v>
      </c>
      <c r="AZ12" s="84">
        <f t="shared" ref="AZ12:AZ17" si="19">AX12+AY12</f>
        <v>0</v>
      </c>
      <c r="BA12" s="224">
        <v>27434.37</v>
      </c>
      <c r="BB12" s="137">
        <f>Z12+'01.31.20'!BB12</f>
        <v>2139.4499999999998</v>
      </c>
      <c r="BC12" s="137">
        <f>AA12+'01.31.20'!BC12</f>
        <v>2951.09</v>
      </c>
      <c r="BD12" s="276">
        <f>AB12+'01.31.20'!BD12</f>
        <v>-15.82</v>
      </c>
      <c r="BE12" s="280">
        <f>AC12+'01.31.20'!BE12</f>
        <v>-71.77</v>
      </c>
      <c r="BF12" s="276">
        <f>AD12+'01.31.20'!BF12</f>
        <v>-2.68</v>
      </c>
      <c r="BG12" s="280">
        <f>AE12+'01.31.20'!BG12</f>
        <v>-7.14</v>
      </c>
      <c r="BH12" s="84">
        <f t="shared" ref="BH12:BH17" si="20">SUM(BB12:BG12)</f>
        <v>4993.13</v>
      </c>
      <c r="BI12" s="84">
        <f>AG12+'01.31.20'!BI12</f>
        <v>-657.66</v>
      </c>
      <c r="BJ12" s="84">
        <f>AH12+'01.31.20'!BJ12</f>
        <v>-6599.84</v>
      </c>
      <c r="BK12" s="116">
        <f t="shared" ref="BK12:BK17" si="21">BI12+BJ12</f>
        <v>-7257.5</v>
      </c>
    </row>
    <row r="13" spans="1:63" s="82" customFormat="1" ht="16.149999999999999" customHeight="1">
      <c r="A13" s="159" t="s">
        <v>80</v>
      </c>
      <c r="B13" s="67" t="s">
        <v>149</v>
      </c>
      <c r="C13" s="179" t="s">
        <v>63</v>
      </c>
      <c r="D13" s="20" t="s">
        <v>12</v>
      </c>
      <c r="E13" s="314">
        <v>25204</v>
      </c>
      <c r="F13" s="45">
        <v>5333.08</v>
      </c>
      <c r="G13" s="9">
        <v>0</v>
      </c>
      <c r="H13" s="129">
        <f t="shared" si="0"/>
        <v>5333.08</v>
      </c>
      <c r="I13" s="76">
        <f t="shared" si="1"/>
        <v>1.3901600000000001E-3</v>
      </c>
      <c r="J13" s="128"/>
      <c r="K13" s="128">
        <f t="shared" si="2"/>
        <v>0</v>
      </c>
      <c r="L13" s="128">
        <f t="shared" si="2"/>
        <v>0</v>
      </c>
      <c r="M13" s="9">
        <f t="shared" si="3"/>
        <v>0</v>
      </c>
      <c r="N13" s="9">
        <f t="shared" si="4"/>
        <v>0</v>
      </c>
      <c r="O13" s="9">
        <f t="shared" si="4"/>
        <v>0</v>
      </c>
      <c r="P13" s="9">
        <v>0</v>
      </c>
      <c r="Q13" s="128">
        <f t="shared" si="5"/>
        <v>0</v>
      </c>
      <c r="R13" s="9">
        <f t="shared" si="6"/>
        <v>5333.08</v>
      </c>
      <c r="S13" s="14">
        <f t="shared" si="7"/>
        <v>6328.75</v>
      </c>
      <c r="T13" s="86">
        <v>4016.94</v>
      </c>
      <c r="U13" s="79">
        <f t="shared" si="8"/>
        <v>1.3901600000000001E-3</v>
      </c>
      <c r="V13" s="203"/>
      <c r="W13" s="264"/>
      <c r="X13" s="204">
        <f>$U13*X$31</f>
        <v>6.47</v>
      </c>
      <c r="Y13" s="268">
        <f>$U13*Y$31</f>
        <v>5.09</v>
      </c>
      <c r="Z13" s="124">
        <f t="shared" si="9"/>
        <v>11.56</v>
      </c>
      <c r="AA13" s="268">
        <f t="shared" si="10"/>
        <v>47.62</v>
      </c>
      <c r="AB13" s="204">
        <f t="shared" si="10"/>
        <v>0</v>
      </c>
      <c r="AC13" s="268">
        <f t="shared" si="10"/>
        <v>0</v>
      </c>
      <c r="AD13" s="204">
        <f t="shared" si="10"/>
        <v>0</v>
      </c>
      <c r="AE13" s="268">
        <f t="shared" si="10"/>
        <v>-0.03</v>
      </c>
      <c r="AF13" s="7">
        <f t="shared" si="11"/>
        <v>59.15</v>
      </c>
      <c r="AG13" s="7">
        <f t="shared" si="12"/>
        <v>-6.81</v>
      </c>
      <c r="AH13" s="7">
        <v>0</v>
      </c>
      <c r="AI13" s="124">
        <f t="shared" si="13"/>
        <v>-6.81</v>
      </c>
      <c r="AJ13" s="14">
        <f t="shared" si="14"/>
        <v>4069.28</v>
      </c>
      <c r="AK13" s="233"/>
      <c r="AL13" s="236"/>
      <c r="AM13" s="33">
        <f t="shared" si="15"/>
        <v>9402.36</v>
      </c>
      <c r="AN13" s="33">
        <f t="shared" si="16"/>
        <v>10985.6</v>
      </c>
      <c r="AO13" s="83"/>
      <c r="AP13" s="114">
        <v>4934.59</v>
      </c>
      <c r="AQ13" s="186">
        <v>5873.66</v>
      </c>
      <c r="AR13" s="192">
        <f>G13+'01.31.20'!AR13</f>
        <v>0</v>
      </c>
      <c r="AS13" s="114">
        <f t="shared" si="17"/>
        <v>1583.24</v>
      </c>
      <c r="AT13" s="137">
        <f>K13+'01.31.20'!AT13</f>
        <v>0</v>
      </c>
      <c r="AU13" s="137">
        <f>L13+'01.31.20'!AU13</f>
        <v>185.82</v>
      </c>
      <c r="AV13" s="84">
        <f t="shared" si="18"/>
        <v>185.82</v>
      </c>
      <c r="AW13" s="84">
        <f>N13+'01.31.20'!AW13</f>
        <v>0</v>
      </c>
      <c r="AX13" s="84">
        <f>O13+'01.31.20'!AX13</f>
        <v>0</v>
      </c>
      <c r="AY13" s="84">
        <f>P13+'01.31.20'!AY13</f>
        <v>0</v>
      </c>
      <c r="AZ13" s="84">
        <f t="shared" si="19"/>
        <v>0</v>
      </c>
      <c r="BA13" s="224">
        <v>3726.67</v>
      </c>
      <c r="BB13" s="137">
        <f>Z13+'01.31.20'!BB13</f>
        <v>169.06</v>
      </c>
      <c r="BC13" s="137">
        <f>AA13+'01.31.20'!BC13</f>
        <v>233.21</v>
      </c>
      <c r="BD13" s="276">
        <f>AB13+'01.31.20'!BD13</f>
        <v>-1.25</v>
      </c>
      <c r="BE13" s="280">
        <f>AC13+'01.31.20'!BE13</f>
        <v>-5.67</v>
      </c>
      <c r="BF13" s="276">
        <f>AD13+'01.31.20'!BF13</f>
        <v>-0.21</v>
      </c>
      <c r="BG13" s="280">
        <f>AE13+'01.31.20'!BG13</f>
        <v>-0.56000000000000005</v>
      </c>
      <c r="BH13" s="84">
        <f t="shared" si="20"/>
        <v>394.58</v>
      </c>
      <c r="BI13" s="84">
        <f>AG13+'01.31.20'!BI13</f>
        <v>-51.97</v>
      </c>
      <c r="BJ13" s="84">
        <f>AH13+'01.31.20'!BJ13</f>
        <v>0</v>
      </c>
      <c r="BK13" s="116">
        <f t="shared" si="21"/>
        <v>-51.97</v>
      </c>
    </row>
    <row r="14" spans="1:63" s="82" customFormat="1" ht="16.149999999999999" customHeight="1">
      <c r="A14" s="159" t="s">
        <v>80</v>
      </c>
      <c r="B14" s="67" t="s">
        <v>150</v>
      </c>
      <c r="C14" s="179" t="s">
        <v>64</v>
      </c>
      <c r="D14" s="20" t="s">
        <v>12</v>
      </c>
      <c r="E14" s="158" t="s">
        <v>143</v>
      </c>
      <c r="F14" s="45">
        <v>392459.36</v>
      </c>
      <c r="G14" s="9">
        <v>0</v>
      </c>
      <c r="H14" s="129">
        <f t="shared" si="0"/>
        <v>392459.36</v>
      </c>
      <c r="I14" s="76">
        <f t="shared" si="1"/>
        <v>0.10230141</v>
      </c>
      <c r="J14" s="128"/>
      <c r="K14" s="128">
        <f t="shared" si="2"/>
        <v>0</v>
      </c>
      <c r="L14" s="128">
        <f t="shared" si="2"/>
        <v>0</v>
      </c>
      <c r="M14" s="9">
        <f t="shared" si="3"/>
        <v>0</v>
      </c>
      <c r="N14" s="9">
        <f t="shared" si="4"/>
        <v>0</v>
      </c>
      <c r="O14" s="9">
        <f t="shared" si="4"/>
        <v>0</v>
      </c>
      <c r="P14" s="9">
        <v>0</v>
      </c>
      <c r="Q14" s="128">
        <f t="shared" si="5"/>
        <v>0</v>
      </c>
      <c r="R14" s="9">
        <f t="shared" si="6"/>
        <v>392459.36</v>
      </c>
      <c r="S14" s="14">
        <f t="shared" si="7"/>
        <v>465730.4</v>
      </c>
      <c r="T14" s="86">
        <v>343000.22</v>
      </c>
      <c r="U14" s="79">
        <f t="shared" si="8"/>
        <v>0.10230141</v>
      </c>
      <c r="V14" s="304"/>
      <c r="W14" s="304"/>
      <c r="X14" s="204">
        <f>($U14*X$31)</f>
        <v>476</v>
      </c>
      <c r="Y14" s="268">
        <f>($U14*Y$31)</f>
        <v>374.6</v>
      </c>
      <c r="Z14" s="124">
        <f t="shared" si="9"/>
        <v>850.6</v>
      </c>
      <c r="AA14" s="268">
        <f t="shared" si="10"/>
        <v>3504.15</v>
      </c>
      <c r="AB14" s="204">
        <f t="shared" si="10"/>
        <v>0</v>
      </c>
      <c r="AC14" s="268">
        <f t="shared" si="10"/>
        <v>0</v>
      </c>
      <c r="AD14" s="204">
        <f t="shared" si="10"/>
        <v>0</v>
      </c>
      <c r="AE14" s="268">
        <f t="shared" si="10"/>
        <v>-2.15</v>
      </c>
      <c r="AF14" s="7">
        <f t="shared" si="11"/>
        <v>4352.6000000000004</v>
      </c>
      <c r="AG14" s="7">
        <f t="shared" si="12"/>
        <v>-501.36</v>
      </c>
      <c r="AH14" s="7">
        <v>0</v>
      </c>
      <c r="AI14" s="124">
        <f t="shared" si="13"/>
        <v>-501.36</v>
      </c>
      <c r="AJ14" s="14">
        <f t="shared" si="14"/>
        <v>346851.46</v>
      </c>
      <c r="AK14" s="233"/>
      <c r="AL14" s="236"/>
      <c r="AM14" s="33">
        <f t="shared" si="15"/>
        <v>739310.82</v>
      </c>
      <c r="AN14" s="33">
        <f t="shared" si="16"/>
        <v>862664.18</v>
      </c>
      <c r="AO14" s="83"/>
      <c r="AP14" s="114">
        <v>363134.62</v>
      </c>
      <c r="AQ14" s="186">
        <v>432240.15</v>
      </c>
      <c r="AR14" s="192">
        <f>G14+'01.31.20'!AR14</f>
        <v>0</v>
      </c>
      <c r="AS14" s="114">
        <f t="shared" si="17"/>
        <v>123353.36</v>
      </c>
      <c r="AT14" s="137">
        <f>K14+'01.31.20'!AT14</f>
        <v>0</v>
      </c>
      <c r="AU14" s="137">
        <f>L14+'01.31.20'!AU14</f>
        <v>13674.74</v>
      </c>
      <c r="AV14" s="84">
        <f t="shared" si="18"/>
        <v>13674.74</v>
      </c>
      <c r="AW14" s="84">
        <f>N14+'01.31.20'!AW14</f>
        <v>0</v>
      </c>
      <c r="AX14" s="84">
        <f>O14+'01.31.20'!AX14</f>
        <v>0</v>
      </c>
      <c r="AY14" s="84">
        <f>P14+'01.31.20'!AY14</f>
        <v>0</v>
      </c>
      <c r="AZ14" s="84">
        <f t="shared" si="19"/>
        <v>0</v>
      </c>
      <c r="BA14" s="224">
        <v>321639.82</v>
      </c>
      <c r="BB14" s="137">
        <f>Z14+'01.31.20'!BB14</f>
        <v>12441.3</v>
      </c>
      <c r="BC14" s="137">
        <f>AA14+'01.31.20'!BC14</f>
        <v>17161.099999999999</v>
      </c>
      <c r="BD14" s="276">
        <f>AB14+'01.31.20'!BD14</f>
        <v>-91.98</v>
      </c>
      <c r="BE14" s="280">
        <f>AC14+'01.31.20'!BE14</f>
        <v>-417.35</v>
      </c>
      <c r="BF14" s="276">
        <f>AD14+'01.31.20'!BF14</f>
        <v>-15.57</v>
      </c>
      <c r="BG14" s="280">
        <f>AE14+'01.31.20'!BG14</f>
        <v>-41.48</v>
      </c>
      <c r="BH14" s="84">
        <f t="shared" si="20"/>
        <v>29036.02</v>
      </c>
      <c r="BI14" s="84">
        <f>AG14+'01.31.20'!BI14</f>
        <v>-3824.38</v>
      </c>
      <c r="BJ14" s="84">
        <f>AH14+'01.31.20'!BJ14</f>
        <v>0</v>
      </c>
      <c r="BK14" s="116">
        <f t="shared" si="21"/>
        <v>-3824.38</v>
      </c>
    </row>
    <row r="15" spans="1:63" s="82" customFormat="1" ht="16.149999999999999" customHeight="1">
      <c r="A15" s="159" t="s">
        <v>80</v>
      </c>
      <c r="B15" s="67" t="s">
        <v>151</v>
      </c>
      <c r="C15" s="179" t="s">
        <v>66</v>
      </c>
      <c r="D15" s="20" t="s">
        <v>12</v>
      </c>
      <c r="E15" s="314">
        <v>18629</v>
      </c>
      <c r="F15" s="45">
        <v>169971.92</v>
      </c>
      <c r="G15" s="9">
        <v>0</v>
      </c>
      <c r="H15" s="129">
        <f t="shared" si="0"/>
        <v>169971.92</v>
      </c>
      <c r="I15" s="76">
        <f t="shared" si="1"/>
        <v>4.4306159999999997E-2</v>
      </c>
      <c r="J15" s="128"/>
      <c r="K15" s="128">
        <f t="shared" si="2"/>
        <v>0</v>
      </c>
      <c r="L15" s="128">
        <f t="shared" si="2"/>
        <v>0</v>
      </c>
      <c r="M15" s="9">
        <f t="shared" si="3"/>
        <v>0</v>
      </c>
      <c r="N15" s="9">
        <f t="shared" si="4"/>
        <v>0</v>
      </c>
      <c r="O15" s="9">
        <f t="shared" si="4"/>
        <v>0</v>
      </c>
      <c r="P15" s="9">
        <v>0</v>
      </c>
      <c r="Q15" s="128">
        <f t="shared" si="5"/>
        <v>0</v>
      </c>
      <c r="R15" s="9">
        <f t="shared" si="6"/>
        <v>169971.92</v>
      </c>
      <c r="S15" s="14">
        <f t="shared" si="7"/>
        <v>201705.19</v>
      </c>
      <c r="T15" s="86">
        <v>181974.7</v>
      </c>
      <c r="U15" s="79">
        <f t="shared" si="8"/>
        <v>4.4306159999999997E-2</v>
      </c>
      <c r="V15" s="203"/>
      <c r="W15" s="264"/>
      <c r="X15" s="204">
        <f t="shared" ref="X15:Y23" si="22">$U15*X$31</f>
        <v>206.15</v>
      </c>
      <c r="Y15" s="268">
        <f t="shared" si="22"/>
        <v>162.24</v>
      </c>
      <c r="Z15" s="124">
        <f t="shared" si="9"/>
        <v>368.39</v>
      </c>
      <c r="AA15" s="268">
        <f t="shared" si="10"/>
        <v>1517.63</v>
      </c>
      <c r="AB15" s="204">
        <f t="shared" si="10"/>
        <v>0</v>
      </c>
      <c r="AC15" s="268">
        <f t="shared" si="10"/>
        <v>0</v>
      </c>
      <c r="AD15" s="204">
        <f t="shared" si="10"/>
        <v>0</v>
      </c>
      <c r="AE15" s="268">
        <f t="shared" si="10"/>
        <v>-0.93</v>
      </c>
      <c r="AF15" s="7">
        <f t="shared" si="11"/>
        <v>1885.09</v>
      </c>
      <c r="AG15" s="7">
        <f t="shared" si="12"/>
        <v>-217.13</v>
      </c>
      <c r="AH15" s="7">
        <v>0</v>
      </c>
      <c r="AI15" s="124">
        <f t="shared" si="13"/>
        <v>-217.13</v>
      </c>
      <c r="AJ15" s="14">
        <f t="shared" si="14"/>
        <v>183642.66</v>
      </c>
      <c r="AK15" s="233"/>
      <c r="AL15" s="236"/>
      <c r="AM15" s="33">
        <f t="shared" si="15"/>
        <v>353614.58</v>
      </c>
      <c r="AN15" s="33">
        <f t="shared" si="16"/>
        <v>411864.25</v>
      </c>
      <c r="AO15" s="83"/>
      <c r="AP15" s="114">
        <v>157271.56</v>
      </c>
      <c r="AQ15" s="186">
        <v>187200.78</v>
      </c>
      <c r="AR15" s="192">
        <f>G15+'01.31.20'!AR15</f>
        <v>0</v>
      </c>
      <c r="AS15" s="114">
        <f t="shared" si="17"/>
        <v>58249.67</v>
      </c>
      <c r="AT15" s="137">
        <f>K15+'01.31.20'!AT15</f>
        <v>0</v>
      </c>
      <c r="AU15" s="137">
        <f>L15+'01.31.20'!AU15</f>
        <v>5922.45</v>
      </c>
      <c r="AV15" s="84">
        <f t="shared" si="18"/>
        <v>5922.45</v>
      </c>
      <c r="AW15" s="84">
        <f>N15+'01.31.20'!AW15</f>
        <v>0</v>
      </c>
      <c r="AX15" s="84">
        <f>O15+'01.31.20'!AX15</f>
        <v>0</v>
      </c>
      <c r="AY15" s="84">
        <f>P15+'01.31.20'!AY15</f>
        <v>0</v>
      </c>
      <c r="AZ15" s="84">
        <f t="shared" si="19"/>
        <v>0</v>
      </c>
      <c r="BA15" s="224">
        <v>172723.67</v>
      </c>
      <c r="BB15" s="137">
        <f>Z15+'01.31.20'!BB15</f>
        <v>5388.23</v>
      </c>
      <c r="BC15" s="137">
        <f>AA15+'01.31.20'!BC15</f>
        <v>7432.38</v>
      </c>
      <c r="BD15" s="276">
        <f>AB15+'01.31.20'!BD15</f>
        <v>-39.840000000000003</v>
      </c>
      <c r="BE15" s="280">
        <f>AC15+'01.31.20'!BE15</f>
        <v>-180.76</v>
      </c>
      <c r="BF15" s="276">
        <f>AD15+'01.31.20'!BF15</f>
        <v>-6.75</v>
      </c>
      <c r="BG15" s="280">
        <f>AE15+'01.31.20'!BG15</f>
        <v>-17.96</v>
      </c>
      <c r="BH15" s="84">
        <f t="shared" si="20"/>
        <v>12575.3</v>
      </c>
      <c r="BI15" s="84">
        <f>AG15+'01.31.20'!BI15</f>
        <v>-1656.31</v>
      </c>
      <c r="BJ15" s="84">
        <f>AH15+'01.31.20'!BJ15</f>
        <v>0</v>
      </c>
      <c r="BK15" s="116">
        <f t="shared" si="21"/>
        <v>-1656.31</v>
      </c>
    </row>
    <row r="16" spans="1:63" s="82" customFormat="1" ht="16.149999999999999" customHeight="1">
      <c r="A16" s="159" t="s">
        <v>80</v>
      </c>
      <c r="B16" s="67" t="s">
        <v>152</v>
      </c>
      <c r="C16" s="179" t="s">
        <v>62</v>
      </c>
      <c r="D16" s="20" t="s">
        <v>12</v>
      </c>
      <c r="E16" s="314">
        <v>25569</v>
      </c>
      <c r="F16" s="45">
        <v>10469.68</v>
      </c>
      <c r="G16" s="9">
        <v>0</v>
      </c>
      <c r="H16" s="129">
        <f t="shared" si="0"/>
        <v>10469.68</v>
      </c>
      <c r="I16" s="76">
        <f t="shared" si="1"/>
        <v>2.7291099999999999E-3</v>
      </c>
      <c r="J16" s="128"/>
      <c r="K16" s="128">
        <f t="shared" si="2"/>
        <v>0</v>
      </c>
      <c r="L16" s="128">
        <f t="shared" si="2"/>
        <v>0</v>
      </c>
      <c r="M16" s="9">
        <f t="shared" si="3"/>
        <v>0</v>
      </c>
      <c r="N16" s="9">
        <f t="shared" si="4"/>
        <v>0</v>
      </c>
      <c r="O16" s="9">
        <f t="shared" si="4"/>
        <v>0</v>
      </c>
      <c r="P16" s="9">
        <v>0</v>
      </c>
      <c r="Q16" s="128">
        <f t="shared" si="5"/>
        <v>0</v>
      </c>
      <c r="R16" s="9">
        <f t="shared" si="6"/>
        <v>10469.68</v>
      </c>
      <c r="S16" s="14">
        <f t="shared" si="7"/>
        <v>12424.34</v>
      </c>
      <c r="T16" s="86">
        <v>7901.37</v>
      </c>
      <c r="U16" s="79">
        <f t="shared" si="8"/>
        <v>2.7291099999999999E-3</v>
      </c>
      <c r="V16" s="203" t="s">
        <v>108</v>
      </c>
      <c r="W16" s="264" t="s">
        <v>108</v>
      </c>
      <c r="X16" s="204">
        <f t="shared" si="22"/>
        <v>12.7</v>
      </c>
      <c r="Y16" s="268">
        <f t="shared" si="22"/>
        <v>9.99</v>
      </c>
      <c r="Z16" s="124">
        <f t="shared" si="9"/>
        <v>22.69</v>
      </c>
      <c r="AA16" s="268">
        <f t="shared" si="10"/>
        <v>93.48</v>
      </c>
      <c r="AB16" s="204">
        <f t="shared" si="10"/>
        <v>0</v>
      </c>
      <c r="AC16" s="268">
        <f t="shared" si="10"/>
        <v>0</v>
      </c>
      <c r="AD16" s="204">
        <f t="shared" si="10"/>
        <v>0</v>
      </c>
      <c r="AE16" s="268">
        <f t="shared" si="10"/>
        <v>-0.06</v>
      </c>
      <c r="AF16" s="7">
        <f t="shared" si="11"/>
        <v>116.11</v>
      </c>
      <c r="AG16" s="7">
        <f t="shared" si="12"/>
        <v>-13.37</v>
      </c>
      <c r="AH16" s="7">
        <v>0</v>
      </c>
      <c r="AI16" s="124">
        <f t="shared" si="13"/>
        <v>-13.37</v>
      </c>
      <c r="AJ16" s="14">
        <f t="shared" si="14"/>
        <v>8004.11</v>
      </c>
      <c r="AK16" s="233" t="s">
        <v>118</v>
      </c>
      <c r="AL16" s="236" t="s">
        <v>114</v>
      </c>
      <c r="AM16" s="33">
        <f t="shared" si="15"/>
        <v>18473.79</v>
      </c>
      <c r="AN16" s="33">
        <f t="shared" si="16"/>
        <v>21584.17</v>
      </c>
      <c r="AO16" s="83"/>
      <c r="AP16" s="114">
        <v>9687.4</v>
      </c>
      <c r="AQ16" s="186">
        <v>11530.94</v>
      </c>
      <c r="AR16" s="192">
        <f>G16+'01.31.20'!AR16</f>
        <v>0</v>
      </c>
      <c r="AS16" s="114">
        <f t="shared" si="17"/>
        <v>3110.38</v>
      </c>
      <c r="AT16" s="137">
        <f>K16+'01.31.20'!AT16</f>
        <v>0</v>
      </c>
      <c r="AU16" s="137">
        <f>L16+'01.31.20'!AU16</f>
        <v>364.79</v>
      </c>
      <c r="AV16" s="84">
        <f t="shared" si="18"/>
        <v>364.79</v>
      </c>
      <c r="AW16" s="84">
        <f>N16+'01.31.20'!AW16</f>
        <v>0</v>
      </c>
      <c r="AX16" s="84">
        <f>O16+'01.31.20'!AX16</f>
        <v>0</v>
      </c>
      <c r="AY16" s="84">
        <f>P16+'01.31.20'!AY16</f>
        <v>0</v>
      </c>
      <c r="AZ16" s="84">
        <f t="shared" si="19"/>
        <v>0</v>
      </c>
      <c r="BA16" s="224">
        <v>7331.55</v>
      </c>
      <c r="BB16" s="137">
        <f>Z16+'01.31.20'!BB16</f>
        <v>331.9</v>
      </c>
      <c r="BC16" s="137">
        <f>AA16+'01.31.20'!BC16</f>
        <v>457.81</v>
      </c>
      <c r="BD16" s="276">
        <f>AB16+'01.31.20'!BD16</f>
        <v>-2.46</v>
      </c>
      <c r="BE16" s="280">
        <f>AC16+'01.31.20'!BE16</f>
        <v>-11.13</v>
      </c>
      <c r="BF16" s="276">
        <f>AD16+'01.31.20'!BF16</f>
        <v>-0.42</v>
      </c>
      <c r="BG16" s="280">
        <f>AE16+'01.31.20'!BG16</f>
        <v>-1.1100000000000001</v>
      </c>
      <c r="BH16" s="84">
        <f t="shared" si="20"/>
        <v>774.59</v>
      </c>
      <c r="BI16" s="84">
        <f>AG16+'01.31.20'!BI16</f>
        <v>-102.03</v>
      </c>
      <c r="BJ16" s="84">
        <f>AH16+'01.31.20'!BJ16</f>
        <v>0</v>
      </c>
      <c r="BK16" s="116">
        <f t="shared" si="21"/>
        <v>-102.03</v>
      </c>
    </row>
    <row r="17" spans="1:63" s="82" customFormat="1" ht="16.149999999999999" customHeight="1">
      <c r="A17" s="159" t="s">
        <v>80</v>
      </c>
      <c r="B17" s="67" t="s">
        <v>153</v>
      </c>
      <c r="C17" s="179" t="s">
        <v>62</v>
      </c>
      <c r="D17" s="20" t="s">
        <v>12</v>
      </c>
      <c r="E17" s="314">
        <v>25569</v>
      </c>
      <c r="F17" s="45">
        <v>912.39</v>
      </c>
      <c r="G17" s="9">
        <v>0</v>
      </c>
      <c r="H17" s="129">
        <f t="shared" si="0"/>
        <v>912.39</v>
      </c>
      <c r="I17" s="76">
        <f t="shared" si="1"/>
        <v>2.3782999999999999E-4</v>
      </c>
      <c r="J17" s="128"/>
      <c r="K17" s="128">
        <f t="shared" si="2"/>
        <v>0</v>
      </c>
      <c r="L17" s="128">
        <f t="shared" si="2"/>
        <v>0</v>
      </c>
      <c r="M17" s="9">
        <f t="shared" si="3"/>
        <v>0</v>
      </c>
      <c r="N17" s="9">
        <f t="shared" si="4"/>
        <v>0</v>
      </c>
      <c r="O17" s="9">
        <f t="shared" si="4"/>
        <v>0</v>
      </c>
      <c r="P17" s="9">
        <v>0</v>
      </c>
      <c r="Q17" s="128">
        <f t="shared" si="5"/>
        <v>0</v>
      </c>
      <c r="R17" s="9">
        <f t="shared" si="6"/>
        <v>912.39</v>
      </c>
      <c r="S17" s="14">
        <f t="shared" si="7"/>
        <v>1082.73</v>
      </c>
      <c r="T17" s="86">
        <v>699.89</v>
      </c>
      <c r="U17" s="79">
        <f t="shared" si="8"/>
        <v>2.3782999999999999E-4</v>
      </c>
      <c r="V17" s="203" t="s">
        <v>112</v>
      </c>
      <c r="W17" s="264" t="s">
        <v>112</v>
      </c>
      <c r="X17" s="204">
        <f t="shared" si="22"/>
        <v>1.1100000000000001</v>
      </c>
      <c r="Y17" s="268">
        <f t="shared" si="22"/>
        <v>0.87</v>
      </c>
      <c r="Z17" s="124">
        <f t="shared" si="9"/>
        <v>1.98</v>
      </c>
      <c r="AA17" s="268">
        <f t="shared" si="10"/>
        <v>8.15</v>
      </c>
      <c r="AB17" s="204">
        <f t="shared" si="10"/>
        <v>0</v>
      </c>
      <c r="AC17" s="268">
        <f t="shared" si="10"/>
        <v>0</v>
      </c>
      <c r="AD17" s="204">
        <f t="shared" si="10"/>
        <v>0</v>
      </c>
      <c r="AE17" s="268">
        <f t="shared" si="10"/>
        <v>0</v>
      </c>
      <c r="AF17" s="7">
        <f t="shared" si="11"/>
        <v>10.130000000000001</v>
      </c>
      <c r="AG17" s="7">
        <f t="shared" si="12"/>
        <v>-1.17</v>
      </c>
      <c r="AH17" s="7">
        <v>0</v>
      </c>
      <c r="AI17" s="124">
        <f t="shared" si="13"/>
        <v>-1.17</v>
      </c>
      <c r="AJ17" s="14">
        <f t="shared" si="14"/>
        <v>708.85</v>
      </c>
      <c r="AK17" s="233" t="s">
        <v>129</v>
      </c>
      <c r="AL17" s="282" t="s">
        <v>128</v>
      </c>
      <c r="AM17" s="33">
        <f t="shared" si="15"/>
        <v>1621.24</v>
      </c>
      <c r="AN17" s="33">
        <f t="shared" si="16"/>
        <v>1893.93</v>
      </c>
      <c r="AO17" s="83"/>
      <c r="AP17" s="114">
        <v>844.21</v>
      </c>
      <c r="AQ17" s="186">
        <v>1004.87</v>
      </c>
      <c r="AR17" s="192">
        <f>G17+'01.31.20'!AR17</f>
        <v>0</v>
      </c>
      <c r="AS17" s="114">
        <f t="shared" si="17"/>
        <v>272.69</v>
      </c>
      <c r="AT17" s="137">
        <f>K17+'01.31.20'!AT17</f>
        <v>0</v>
      </c>
      <c r="AU17" s="137">
        <f>L17+'01.31.20'!AU17</f>
        <v>31.8</v>
      </c>
      <c r="AV17" s="84">
        <f t="shared" si="18"/>
        <v>31.8</v>
      </c>
      <c r="AW17" s="84">
        <f>N17+'01.31.20'!AW17</f>
        <v>0</v>
      </c>
      <c r="AX17" s="84">
        <f>O17+'01.31.20'!AX17</f>
        <v>0</v>
      </c>
      <c r="AY17" s="84">
        <f>P17+'01.31.20'!AY17</f>
        <v>0</v>
      </c>
      <c r="AZ17" s="84">
        <f t="shared" si="19"/>
        <v>0</v>
      </c>
      <c r="BA17" s="224">
        <v>650.23</v>
      </c>
      <c r="BB17" s="137">
        <f>Z17+'01.31.20'!BB17</f>
        <v>28.93</v>
      </c>
      <c r="BC17" s="137">
        <f>AA17+'01.31.20'!BC17</f>
        <v>39.9</v>
      </c>
      <c r="BD17" s="276">
        <f>AB17+'01.31.20'!BD17</f>
        <v>-0.21</v>
      </c>
      <c r="BE17" s="280">
        <f>AC17+'01.31.20'!BE17</f>
        <v>-0.97</v>
      </c>
      <c r="BF17" s="276">
        <f>AD17+'01.31.20'!BF17</f>
        <v>-0.04</v>
      </c>
      <c r="BG17" s="280">
        <f>AE17+'01.31.20'!BG17</f>
        <v>-0.09</v>
      </c>
      <c r="BH17" s="84">
        <f t="shared" si="20"/>
        <v>67.52</v>
      </c>
      <c r="BI17" s="84">
        <f>AG17+'01.31.20'!BI17</f>
        <v>-8.9</v>
      </c>
      <c r="BJ17" s="84">
        <f>AH17+'01.31.20'!BJ17</f>
        <v>0</v>
      </c>
      <c r="BK17" s="116">
        <f t="shared" si="21"/>
        <v>-8.9</v>
      </c>
    </row>
    <row r="18" spans="1:63" s="82" customFormat="1" ht="16.149999999999999" customHeight="1">
      <c r="A18" s="159" t="s">
        <v>80</v>
      </c>
      <c r="B18" s="67" t="s">
        <v>154</v>
      </c>
      <c r="C18" s="179" t="s">
        <v>58</v>
      </c>
      <c r="D18" s="20" t="s">
        <v>12</v>
      </c>
      <c r="E18" s="314">
        <v>23377</v>
      </c>
      <c r="F18" s="45">
        <v>28759.51</v>
      </c>
      <c r="G18" s="9">
        <v>0</v>
      </c>
      <c r="H18" s="129">
        <f t="shared" si="0"/>
        <v>28759.51</v>
      </c>
      <c r="I18" s="76">
        <f t="shared" si="1"/>
        <v>7.4966700000000004E-3</v>
      </c>
      <c r="J18" s="128"/>
      <c r="K18" s="128">
        <f t="shared" si="2"/>
        <v>0</v>
      </c>
      <c r="L18" s="128">
        <f t="shared" si="2"/>
        <v>0</v>
      </c>
      <c r="M18" s="9">
        <f t="shared" si="3"/>
        <v>0</v>
      </c>
      <c r="N18" s="9">
        <f t="shared" si="4"/>
        <v>0</v>
      </c>
      <c r="O18" s="9">
        <f t="shared" si="4"/>
        <v>0</v>
      </c>
      <c r="P18" s="9">
        <v>0</v>
      </c>
      <c r="Q18" s="128">
        <f t="shared" si="5"/>
        <v>0</v>
      </c>
      <c r="R18" s="9">
        <f t="shared" si="6"/>
        <v>28759.51</v>
      </c>
      <c r="S18" s="14">
        <f t="shared" si="7"/>
        <v>34128.83</v>
      </c>
      <c r="T18" s="86">
        <v>8810.1</v>
      </c>
      <c r="U18" s="79">
        <f t="shared" si="8"/>
        <v>7.4966700000000004E-3</v>
      </c>
      <c r="V18" s="203" t="s">
        <v>109</v>
      </c>
      <c r="W18" s="264" t="s">
        <v>109</v>
      </c>
      <c r="X18" s="204">
        <f t="shared" si="22"/>
        <v>34.880000000000003</v>
      </c>
      <c r="Y18" s="268">
        <f t="shared" si="22"/>
        <v>27.45</v>
      </c>
      <c r="Z18" s="124">
        <f t="shared" si="9"/>
        <v>62.33</v>
      </c>
      <c r="AA18" s="268">
        <f t="shared" si="10"/>
        <v>256.79000000000002</v>
      </c>
      <c r="AB18" s="204">
        <f t="shared" si="10"/>
        <v>0</v>
      </c>
      <c r="AC18" s="268">
        <f t="shared" si="10"/>
        <v>0</v>
      </c>
      <c r="AD18" s="204">
        <f t="shared" si="10"/>
        <v>0</v>
      </c>
      <c r="AE18" s="268">
        <f t="shared" si="10"/>
        <v>-0.16</v>
      </c>
      <c r="AF18" s="7">
        <f t="shared" si="11"/>
        <v>318.95999999999998</v>
      </c>
      <c r="AG18" s="7">
        <f t="shared" si="12"/>
        <v>-36.74</v>
      </c>
      <c r="AH18" s="7">
        <v>0</v>
      </c>
      <c r="AI18" s="124">
        <f t="shared" si="13"/>
        <v>-36.74</v>
      </c>
      <c r="AJ18" s="14">
        <f t="shared" si="14"/>
        <v>9092.32</v>
      </c>
      <c r="AK18" s="281"/>
      <c r="AL18" s="281"/>
      <c r="AM18" s="33">
        <f t="shared" si="15"/>
        <v>37851.83</v>
      </c>
      <c r="AN18" s="33">
        <f t="shared" si="16"/>
        <v>44534</v>
      </c>
      <c r="AO18" s="83"/>
      <c r="AP18" s="114">
        <v>26610.59</v>
      </c>
      <c r="AQ18" s="186">
        <v>31674.66</v>
      </c>
      <c r="AR18" s="192">
        <f>G18+'01.31.20'!AR18</f>
        <v>0</v>
      </c>
      <c r="AS18" s="114">
        <f t="shared" ref="AS18:AS28" si="23">AN18-AM18</f>
        <v>6682.17</v>
      </c>
      <c r="AT18" s="137">
        <f>K18+'01.31.20'!AT18</f>
        <v>0</v>
      </c>
      <c r="AU18" s="137">
        <f>L18+'01.31.20'!AU18</f>
        <v>1002.08</v>
      </c>
      <c r="AV18" s="84">
        <f t="shared" ref="AV18:AV28" si="24">AT18+AU18</f>
        <v>1002.08</v>
      </c>
      <c r="AW18" s="84">
        <f>N18+'01.31.20'!AW18</f>
        <v>0</v>
      </c>
      <c r="AX18" s="84">
        <f>O18+'01.31.20'!AX18</f>
        <v>0</v>
      </c>
      <c r="AY18" s="84">
        <f>P18+'01.31.20'!AY18</f>
        <v>0</v>
      </c>
      <c r="AZ18" s="84">
        <f t="shared" ref="AZ18:AZ28" si="25">AX18+AY18</f>
        <v>0</v>
      </c>
      <c r="BA18" s="224">
        <v>7244.82</v>
      </c>
      <c r="BB18" s="137">
        <f>Z18+'01.31.20'!BB18</f>
        <v>911.7</v>
      </c>
      <c r="BC18" s="137">
        <f>AA18+'01.31.20'!BC18</f>
        <v>1257.58</v>
      </c>
      <c r="BD18" s="276">
        <f>AB18+'01.31.20'!BD18</f>
        <v>-6.75</v>
      </c>
      <c r="BE18" s="280">
        <f>AC18+'01.31.20'!BE18</f>
        <v>-30.59</v>
      </c>
      <c r="BF18" s="276">
        <f>AD18+'01.31.20'!BF18</f>
        <v>-1.1399999999999999</v>
      </c>
      <c r="BG18" s="280">
        <f>AE18+'01.31.20'!BG18</f>
        <v>-3.05</v>
      </c>
      <c r="BH18" s="84">
        <f t="shared" ref="BH18:BH28" si="26">SUM(BB18:BG18)</f>
        <v>2127.75</v>
      </c>
      <c r="BI18" s="84">
        <f>AG18+'01.31.20'!BI18</f>
        <v>-280.25</v>
      </c>
      <c r="BJ18" s="84">
        <f>AH18+'01.31.20'!BJ18</f>
        <v>0</v>
      </c>
      <c r="BK18" s="116">
        <f t="shared" ref="BK18:BK28" si="27">BI18+BJ18</f>
        <v>-280.25</v>
      </c>
    </row>
    <row r="19" spans="1:63" s="82" customFormat="1" ht="16.149999999999999" customHeight="1">
      <c r="A19" s="159" t="s">
        <v>80</v>
      </c>
      <c r="B19" s="67" t="s">
        <v>155</v>
      </c>
      <c r="C19" s="179" t="s">
        <v>64</v>
      </c>
      <c r="D19" s="20" t="s">
        <v>12</v>
      </c>
      <c r="E19" s="314">
        <v>18264</v>
      </c>
      <c r="F19" s="45">
        <v>97142.44</v>
      </c>
      <c r="G19" s="9">
        <v>0</v>
      </c>
      <c r="H19" s="129">
        <f t="shared" si="0"/>
        <v>97142.44</v>
      </c>
      <c r="I19" s="76">
        <f t="shared" si="1"/>
        <v>2.5321880000000001E-2</v>
      </c>
      <c r="J19" s="128"/>
      <c r="K19" s="128">
        <f t="shared" si="2"/>
        <v>0</v>
      </c>
      <c r="L19" s="128">
        <f t="shared" si="2"/>
        <v>0</v>
      </c>
      <c r="M19" s="9">
        <f t="shared" si="3"/>
        <v>0</v>
      </c>
      <c r="N19" s="9">
        <f t="shared" si="4"/>
        <v>0</v>
      </c>
      <c r="O19" s="9">
        <f t="shared" si="4"/>
        <v>0</v>
      </c>
      <c r="P19" s="9">
        <v>0</v>
      </c>
      <c r="Q19" s="128">
        <f t="shared" si="5"/>
        <v>0</v>
      </c>
      <c r="R19" s="9">
        <f t="shared" si="6"/>
        <v>97142.44</v>
      </c>
      <c r="S19" s="14">
        <f t="shared" si="7"/>
        <v>115278.66</v>
      </c>
      <c r="T19" s="86">
        <v>73230.42</v>
      </c>
      <c r="U19" s="79">
        <f t="shared" si="8"/>
        <v>2.5321880000000001E-2</v>
      </c>
      <c r="V19" s="203"/>
      <c r="W19" s="264"/>
      <c r="X19" s="204">
        <f t="shared" si="22"/>
        <v>117.82</v>
      </c>
      <c r="Y19" s="268">
        <f t="shared" si="22"/>
        <v>92.72</v>
      </c>
      <c r="Z19" s="124">
        <f t="shared" si="9"/>
        <v>210.54</v>
      </c>
      <c r="AA19" s="268">
        <f t="shared" si="10"/>
        <v>867.36</v>
      </c>
      <c r="AB19" s="204">
        <f t="shared" si="10"/>
        <v>0</v>
      </c>
      <c r="AC19" s="268">
        <f t="shared" si="10"/>
        <v>0</v>
      </c>
      <c r="AD19" s="204">
        <f t="shared" si="10"/>
        <v>0</v>
      </c>
      <c r="AE19" s="268">
        <f t="shared" si="10"/>
        <v>-0.53</v>
      </c>
      <c r="AF19" s="7">
        <f t="shared" si="11"/>
        <v>1077.3699999999999</v>
      </c>
      <c r="AG19" s="7">
        <f t="shared" si="12"/>
        <v>-124.1</v>
      </c>
      <c r="AH19" s="7">
        <v>0</v>
      </c>
      <c r="AI19" s="124">
        <f t="shared" si="13"/>
        <v>-124.1</v>
      </c>
      <c r="AJ19" s="14">
        <f t="shared" si="14"/>
        <v>74183.69</v>
      </c>
      <c r="AK19" s="233"/>
      <c r="AL19" s="237"/>
      <c r="AM19" s="33">
        <f t="shared" si="15"/>
        <v>171326.13</v>
      </c>
      <c r="AN19" s="33">
        <f t="shared" si="16"/>
        <v>200173.83</v>
      </c>
      <c r="AO19" s="83"/>
      <c r="AP19" s="114">
        <v>89883.9</v>
      </c>
      <c r="AQ19" s="186">
        <v>106989.06</v>
      </c>
      <c r="AR19" s="192">
        <f>G19+'01.31.20'!AR19</f>
        <v>0</v>
      </c>
      <c r="AS19" s="114">
        <f t="shared" si="23"/>
        <v>28847.7</v>
      </c>
      <c r="AT19" s="137">
        <f>K19+'01.31.20'!AT19</f>
        <v>0</v>
      </c>
      <c r="AU19" s="137">
        <f>L19+'01.31.20'!AU19</f>
        <v>3384.81</v>
      </c>
      <c r="AV19" s="84">
        <f t="shared" si="24"/>
        <v>3384.81</v>
      </c>
      <c r="AW19" s="84">
        <f>N19+'01.31.20'!AW19</f>
        <v>0</v>
      </c>
      <c r="AX19" s="84">
        <f>O19+'01.31.20'!AX19</f>
        <v>0</v>
      </c>
      <c r="AY19" s="84">
        <f>P19+'01.31.20'!AY19</f>
        <v>0</v>
      </c>
      <c r="AZ19" s="84">
        <f t="shared" si="25"/>
        <v>0</v>
      </c>
      <c r="BA19" s="224">
        <v>67943.259999999995</v>
      </c>
      <c r="BB19" s="137">
        <f>Z19+'01.31.20'!BB19</f>
        <v>3079.5</v>
      </c>
      <c r="BC19" s="137">
        <f>AA19+'01.31.20'!BC19</f>
        <v>4247.76</v>
      </c>
      <c r="BD19" s="276">
        <f>AB19+'01.31.20'!BD19</f>
        <v>-22.77</v>
      </c>
      <c r="BE19" s="280">
        <f>AC19+'01.31.20'!BE19</f>
        <v>-103.31</v>
      </c>
      <c r="BF19" s="276">
        <f>AD19+'01.31.20'!BF19</f>
        <v>-3.85</v>
      </c>
      <c r="BG19" s="280">
        <f>AE19+'01.31.20'!BG19</f>
        <v>-10.28</v>
      </c>
      <c r="BH19" s="84">
        <f t="shared" si="26"/>
        <v>7187.05</v>
      </c>
      <c r="BI19" s="84">
        <f>AG19+'01.31.20'!BI19</f>
        <v>-946.62</v>
      </c>
      <c r="BJ19" s="84">
        <f>AH19+'01.31.20'!BJ19</f>
        <v>0</v>
      </c>
      <c r="BK19" s="116">
        <f t="shared" si="27"/>
        <v>-946.62</v>
      </c>
    </row>
    <row r="20" spans="1:63" s="82" customFormat="1" ht="16.149999999999999" customHeight="1">
      <c r="A20" s="159" t="s">
        <v>80</v>
      </c>
      <c r="B20" s="67" t="s">
        <v>156</v>
      </c>
      <c r="C20" s="179" t="s">
        <v>58</v>
      </c>
      <c r="D20" s="20" t="s">
        <v>12</v>
      </c>
      <c r="E20" s="314">
        <v>6211</v>
      </c>
      <c r="F20" s="45">
        <v>35951.370000000003</v>
      </c>
      <c r="G20" s="9">
        <v>0</v>
      </c>
      <c r="H20" s="129">
        <f t="shared" si="0"/>
        <v>35951.370000000003</v>
      </c>
      <c r="I20" s="76">
        <f t="shared" si="1"/>
        <v>9.3713500000000005E-3</v>
      </c>
      <c r="J20" s="128"/>
      <c r="K20" s="128">
        <f t="shared" si="2"/>
        <v>0</v>
      </c>
      <c r="L20" s="128">
        <f t="shared" si="2"/>
        <v>0</v>
      </c>
      <c r="M20" s="9">
        <f t="shared" si="3"/>
        <v>0</v>
      </c>
      <c r="N20" s="9">
        <f t="shared" si="4"/>
        <v>0</v>
      </c>
      <c r="O20" s="9">
        <f t="shared" si="4"/>
        <v>0</v>
      </c>
      <c r="P20" s="9">
        <v>0</v>
      </c>
      <c r="Q20" s="128">
        <f t="shared" si="5"/>
        <v>0</v>
      </c>
      <c r="R20" s="9">
        <f t="shared" si="6"/>
        <v>35951.370000000003</v>
      </c>
      <c r="S20" s="14">
        <f t="shared" si="7"/>
        <v>42663.39</v>
      </c>
      <c r="T20" s="86">
        <v>20373.86</v>
      </c>
      <c r="U20" s="79">
        <f t="shared" si="8"/>
        <v>9.3713500000000005E-3</v>
      </c>
      <c r="V20" s="315"/>
      <c r="W20" s="315"/>
      <c r="X20" s="204">
        <f t="shared" si="22"/>
        <v>43.6</v>
      </c>
      <c r="Y20" s="268">
        <f t="shared" si="22"/>
        <v>34.32</v>
      </c>
      <c r="Z20" s="124">
        <f t="shared" si="9"/>
        <v>77.92</v>
      </c>
      <c r="AA20" s="268">
        <f t="shared" si="10"/>
        <v>321</v>
      </c>
      <c r="AB20" s="204">
        <f t="shared" si="10"/>
        <v>0</v>
      </c>
      <c r="AC20" s="268">
        <f t="shared" si="10"/>
        <v>0</v>
      </c>
      <c r="AD20" s="204">
        <f t="shared" si="10"/>
        <v>0</v>
      </c>
      <c r="AE20" s="268">
        <f t="shared" si="10"/>
        <v>-0.2</v>
      </c>
      <c r="AF20" s="7">
        <f t="shared" si="11"/>
        <v>398.72</v>
      </c>
      <c r="AG20" s="7">
        <f t="shared" si="12"/>
        <v>-45.93</v>
      </c>
      <c r="AH20" s="7">
        <v>0</v>
      </c>
      <c r="AI20" s="124">
        <f t="shared" si="13"/>
        <v>-45.93</v>
      </c>
      <c r="AJ20" s="14">
        <f t="shared" si="14"/>
        <v>20726.650000000001</v>
      </c>
      <c r="AK20" s="283"/>
      <c r="AL20" s="284"/>
      <c r="AM20" s="33">
        <f t="shared" si="15"/>
        <v>56678.02</v>
      </c>
      <c r="AN20" s="33">
        <f t="shared" si="16"/>
        <v>66382.789999999994</v>
      </c>
      <c r="AO20" s="83"/>
      <c r="AP20" s="114">
        <v>33265.06</v>
      </c>
      <c r="AQ20" s="186">
        <v>39595.49</v>
      </c>
      <c r="AR20" s="192">
        <f>G20+'01.31.20'!AR20</f>
        <v>0</v>
      </c>
      <c r="AS20" s="114">
        <f t="shared" si="23"/>
        <v>9704.77</v>
      </c>
      <c r="AT20" s="137">
        <f>K20+'01.31.20'!AT20</f>
        <v>0</v>
      </c>
      <c r="AU20" s="137">
        <f>L20+'01.31.20'!AU20</f>
        <v>1252.69</v>
      </c>
      <c r="AV20" s="84">
        <f t="shared" si="24"/>
        <v>1252.69</v>
      </c>
      <c r="AW20" s="84">
        <f>N20+'01.31.20'!AW20</f>
        <v>0</v>
      </c>
      <c r="AX20" s="84">
        <f>O20+'01.31.20'!AX20</f>
        <v>0</v>
      </c>
      <c r="AY20" s="84">
        <f>P20+'01.31.20'!AY20</f>
        <v>0</v>
      </c>
      <c r="AZ20" s="84">
        <f t="shared" si="25"/>
        <v>0</v>
      </c>
      <c r="BA20" s="224">
        <v>18417.12</v>
      </c>
      <c r="BB20" s="137">
        <f>Z20+'01.31.20'!BB20</f>
        <v>1139.68</v>
      </c>
      <c r="BC20" s="137">
        <f>AA20+'01.31.20'!BC20</f>
        <v>1572.06</v>
      </c>
      <c r="BD20" s="276">
        <f>AB20+'01.31.20'!BD20</f>
        <v>-8.42</v>
      </c>
      <c r="BE20" s="280">
        <f>AC20+'01.31.20'!BE20</f>
        <v>-38.229999999999997</v>
      </c>
      <c r="BF20" s="276">
        <f>AD20+'01.31.20'!BF20</f>
        <v>-1.43</v>
      </c>
      <c r="BG20" s="280">
        <f>AE20+'01.31.20'!BG20</f>
        <v>-3.8</v>
      </c>
      <c r="BH20" s="84">
        <f t="shared" si="26"/>
        <v>2659.86</v>
      </c>
      <c r="BI20" s="84">
        <f>AG20+'01.31.20'!BI20</f>
        <v>-350.33</v>
      </c>
      <c r="BJ20" s="84">
        <f>AH20+'01.31.20'!BJ20</f>
        <v>0</v>
      </c>
      <c r="BK20" s="116">
        <f t="shared" si="27"/>
        <v>-350.33</v>
      </c>
    </row>
    <row r="21" spans="1:63" s="82" customFormat="1" ht="16.149999999999999" customHeight="1">
      <c r="A21" s="159" t="s">
        <v>80</v>
      </c>
      <c r="B21" s="67" t="s">
        <v>157</v>
      </c>
      <c r="C21" s="179" t="s">
        <v>62</v>
      </c>
      <c r="D21" s="20" t="s">
        <v>12</v>
      </c>
      <c r="E21" s="314">
        <v>1</v>
      </c>
      <c r="F21" s="45">
        <v>554294.94999999995</v>
      </c>
      <c r="G21" s="9">
        <v>0</v>
      </c>
      <c r="H21" s="129">
        <f t="shared" si="0"/>
        <v>554294.94999999995</v>
      </c>
      <c r="I21" s="76">
        <f t="shared" si="1"/>
        <v>0.1444867</v>
      </c>
      <c r="J21" s="128"/>
      <c r="K21" s="128">
        <f t="shared" si="2"/>
        <v>0</v>
      </c>
      <c r="L21" s="128">
        <f t="shared" si="2"/>
        <v>0</v>
      </c>
      <c r="M21" s="9">
        <f t="shared" si="3"/>
        <v>0</v>
      </c>
      <c r="N21" s="9">
        <f t="shared" si="4"/>
        <v>0</v>
      </c>
      <c r="O21" s="9">
        <f t="shared" si="4"/>
        <v>0</v>
      </c>
      <c r="P21" s="9">
        <v>0</v>
      </c>
      <c r="Q21" s="128">
        <f t="shared" si="5"/>
        <v>0</v>
      </c>
      <c r="R21" s="9">
        <f t="shared" si="6"/>
        <v>554294.94999999995</v>
      </c>
      <c r="S21" s="14">
        <f t="shared" si="7"/>
        <v>657780.23</v>
      </c>
      <c r="T21" s="86">
        <v>517876.91</v>
      </c>
      <c r="U21" s="79">
        <f t="shared" si="8"/>
        <v>0.1444867</v>
      </c>
      <c r="V21" s="203"/>
      <c r="W21" s="264"/>
      <c r="X21" s="204">
        <f t="shared" si="22"/>
        <v>672.29</v>
      </c>
      <c r="Y21" s="268">
        <f t="shared" si="22"/>
        <v>529.08000000000004</v>
      </c>
      <c r="Z21" s="124">
        <f t="shared" si="9"/>
        <v>1201.3699999999999</v>
      </c>
      <c r="AA21" s="268">
        <f t="shared" si="10"/>
        <v>4949.13</v>
      </c>
      <c r="AB21" s="204">
        <f t="shared" si="10"/>
        <v>0</v>
      </c>
      <c r="AC21" s="268">
        <f t="shared" si="10"/>
        <v>0</v>
      </c>
      <c r="AD21" s="204">
        <f t="shared" si="10"/>
        <v>0</v>
      </c>
      <c r="AE21" s="268">
        <f t="shared" si="10"/>
        <v>-3.03</v>
      </c>
      <c r="AF21" s="7">
        <f t="shared" si="11"/>
        <v>6147.47</v>
      </c>
      <c r="AG21" s="7">
        <f t="shared" si="12"/>
        <v>-708.1</v>
      </c>
      <c r="AH21" s="7">
        <v>0</v>
      </c>
      <c r="AI21" s="124">
        <f t="shared" si="13"/>
        <v>-708.1</v>
      </c>
      <c r="AJ21" s="14">
        <f t="shared" si="14"/>
        <v>523316.28</v>
      </c>
      <c r="AK21" s="285"/>
      <c r="AL21" s="236"/>
      <c r="AM21" s="33">
        <f t="shared" si="15"/>
        <v>1077611.23</v>
      </c>
      <c r="AN21" s="33">
        <f t="shared" si="16"/>
        <v>1256658.81</v>
      </c>
      <c r="AO21" s="83"/>
      <c r="AP21" s="114">
        <v>512877.8</v>
      </c>
      <c r="AQ21" s="186">
        <v>610479.87</v>
      </c>
      <c r="AR21" s="192">
        <f>G21+'01.31.20'!AR21</f>
        <v>0</v>
      </c>
      <c r="AS21" s="114">
        <f t="shared" si="23"/>
        <v>179047.58</v>
      </c>
      <c r="AT21" s="137">
        <f>K21+'01.31.20'!AT21</f>
        <v>0</v>
      </c>
      <c r="AU21" s="137">
        <f>L21+'01.31.20'!AU21</f>
        <v>19313.71</v>
      </c>
      <c r="AV21" s="84">
        <f t="shared" si="24"/>
        <v>19313.71</v>
      </c>
      <c r="AW21" s="84">
        <f>N21+'01.31.20'!AW21</f>
        <v>0</v>
      </c>
      <c r="AX21" s="84">
        <f>O21+'01.31.20'!AX21</f>
        <v>0</v>
      </c>
      <c r="AY21" s="84">
        <f>P21+'01.31.20'!AY21</f>
        <v>0</v>
      </c>
      <c r="AZ21" s="84">
        <f t="shared" si="25"/>
        <v>0</v>
      </c>
      <c r="BA21" s="224">
        <v>492992.17</v>
      </c>
      <c r="BB21" s="137">
        <f>Z21+'01.31.20'!BB21</f>
        <v>17571.63</v>
      </c>
      <c r="BC21" s="137">
        <f>AA21+'01.31.20'!BC21</f>
        <v>24237.69</v>
      </c>
      <c r="BD21" s="276">
        <f>AB21+'01.31.20'!BD21</f>
        <v>-129.91999999999999</v>
      </c>
      <c r="BE21" s="280">
        <f>AC21+'01.31.20'!BE21</f>
        <v>-589.45000000000005</v>
      </c>
      <c r="BF21" s="276">
        <f>AD21+'01.31.20'!BF21</f>
        <v>-21.99</v>
      </c>
      <c r="BG21" s="280">
        <f>AE21+'01.31.20'!BG21</f>
        <v>-58.57</v>
      </c>
      <c r="BH21" s="84">
        <f t="shared" si="26"/>
        <v>41009.39</v>
      </c>
      <c r="BI21" s="84">
        <f>AG21+'01.31.20'!BI21</f>
        <v>-5401.4</v>
      </c>
      <c r="BJ21" s="84">
        <f>AH21+'01.31.20'!BJ21</f>
        <v>-5283.88</v>
      </c>
      <c r="BK21" s="116">
        <f t="shared" si="27"/>
        <v>-10685.28</v>
      </c>
    </row>
    <row r="22" spans="1:63" s="82" customFormat="1" ht="16.149999999999999" customHeight="1">
      <c r="A22" s="159" t="s">
        <v>80</v>
      </c>
      <c r="B22" s="67" t="s">
        <v>158</v>
      </c>
      <c r="C22" s="179" t="s">
        <v>66</v>
      </c>
      <c r="D22" s="20" t="s">
        <v>12</v>
      </c>
      <c r="E22" s="314">
        <v>9133</v>
      </c>
      <c r="F22" s="45">
        <v>567315.81000000006</v>
      </c>
      <c r="G22" s="9">
        <v>0</v>
      </c>
      <c r="H22" s="129">
        <f t="shared" si="0"/>
        <v>567315.81000000006</v>
      </c>
      <c r="I22" s="76">
        <f t="shared" si="1"/>
        <v>0.14788081</v>
      </c>
      <c r="J22" s="128"/>
      <c r="K22" s="128">
        <f t="shared" si="2"/>
        <v>0</v>
      </c>
      <c r="L22" s="128">
        <f t="shared" si="2"/>
        <v>0</v>
      </c>
      <c r="M22" s="9">
        <f t="shared" si="3"/>
        <v>0</v>
      </c>
      <c r="N22" s="9">
        <f t="shared" si="4"/>
        <v>0</v>
      </c>
      <c r="O22" s="9">
        <f t="shared" si="4"/>
        <v>0</v>
      </c>
      <c r="P22" s="9">
        <v>0</v>
      </c>
      <c r="Q22" s="128">
        <f t="shared" si="5"/>
        <v>0</v>
      </c>
      <c r="R22" s="9">
        <f t="shared" si="6"/>
        <v>567315.81000000006</v>
      </c>
      <c r="S22" s="14">
        <f t="shared" si="7"/>
        <v>673232.05</v>
      </c>
      <c r="T22" s="86">
        <v>452166.13</v>
      </c>
      <c r="U22" s="79">
        <f t="shared" si="8"/>
        <v>0.14788081</v>
      </c>
      <c r="V22" s="316"/>
      <c r="W22" s="317"/>
      <c r="X22" s="204">
        <f t="shared" si="22"/>
        <v>688.08</v>
      </c>
      <c r="Y22" s="268">
        <f t="shared" si="22"/>
        <v>541.51</v>
      </c>
      <c r="Z22" s="124">
        <f t="shared" si="9"/>
        <v>1229.5899999999999</v>
      </c>
      <c r="AA22" s="268">
        <f t="shared" si="10"/>
        <v>5065.3900000000003</v>
      </c>
      <c r="AB22" s="204">
        <f t="shared" si="10"/>
        <v>0</v>
      </c>
      <c r="AC22" s="268">
        <f t="shared" si="10"/>
        <v>0</v>
      </c>
      <c r="AD22" s="204">
        <f t="shared" si="10"/>
        <v>0</v>
      </c>
      <c r="AE22" s="268">
        <f t="shared" si="10"/>
        <v>-3.11</v>
      </c>
      <c r="AF22" s="7">
        <f t="shared" si="11"/>
        <v>6291.87</v>
      </c>
      <c r="AG22" s="7">
        <f t="shared" si="12"/>
        <v>-724.73</v>
      </c>
      <c r="AH22" s="7">
        <v>0</v>
      </c>
      <c r="AI22" s="124">
        <f t="shared" si="13"/>
        <v>-724.73</v>
      </c>
      <c r="AJ22" s="14">
        <f t="shared" si="14"/>
        <v>457733.27</v>
      </c>
      <c r="AK22" s="283"/>
      <c r="AL22" s="284"/>
      <c r="AM22" s="33">
        <f t="shared" si="15"/>
        <v>1025049.08</v>
      </c>
      <c r="AN22" s="33">
        <f t="shared" si="16"/>
        <v>1197058</v>
      </c>
      <c r="AO22" s="83"/>
      <c r="AP22" s="114">
        <v>524925.73</v>
      </c>
      <c r="AQ22" s="186">
        <v>624820.56000000006</v>
      </c>
      <c r="AR22" s="192">
        <f>G22+'01.31.20'!AR22</f>
        <v>0</v>
      </c>
      <c r="AS22" s="114">
        <f t="shared" si="23"/>
        <v>172008.92</v>
      </c>
      <c r="AT22" s="137">
        <f>K22+'01.31.20'!AT22</f>
        <v>0</v>
      </c>
      <c r="AU22" s="137">
        <f>L22+'01.31.20'!AU22</f>
        <v>19767.400000000001</v>
      </c>
      <c r="AV22" s="84">
        <f t="shared" si="24"/>
        <v>19767.400000000001</v>
      </c>
      <c r="AW22" s="84">
        <f>N22+'01.31.20'!AW22</f>
        <v>0</v>
      </c>
      <c r="AX22" s="84">
        <f>O22+'01.31.20'!AX22</f>
        <v>0</v>
      </c>
      <c r="AY22" s="84">
        <f>P22+'01.31.20'!AY22</f>
        <v>0</v>
      </c>
      <c r="AZ22" s="84">
        <f t="shared" si="25"/>
        <v>0</v>
      </c>
      <c r="BA22" s="224">
        <v>421288.81</v>
      </c>
      <c r="BB22" s="137">
        <f>Z22+'01.31.20'!BB22</f>
        <v>17984.39</v>
      </c>
      <c r="BC22" s="137">
        <f>AA22+'01.31.20'!BC22</f>
        <v>24807.06</v>
      </c>
      <c r="BD22" s="276">
        <f>AB22+'01.31.20'!BD22</f>
        <v>-132.97</v>
      </c>
      <c r="BE22" s="280">
        <f>AC22+'01.31.20'!BE22</f>
        <v>-603.28</v>
      </c>
      <c r="BF22" s="276">
        <f>AD22+'01.31.20'!BF22</f>
        <v>-22.51</v>
      </c>
      <c r="BG22" s="280">
        <f>AE22+'01.31.20'!BG22</f>
        <v>-59.95</v>
      </c>
      <c r="BH22" s="84">
        <f t="shared" si="26"/>
        <v>41972.74</v>
      </c>
      <c r="BI22" s="84">
        <f>AG22+'01.31.20'!BI22</f>
        <v>-5528.28</v>
      </c>
      <c r="BJ22" s="84">
        <f>AH22+'01.31.20'!BJ22</f>
        <v>0</v>
      </c>
      <c r="BK22" s="116">
        <f t="shared" si="27"/>
        <v>-5528.28</v>
      </c>
    </row>
    <row r="23" spans="1:63" s="82" customFormat="1" ht="16.149999999999999" customHeight="1">
      <c r="A23" s="159" t="s">
        <v>80</v>
      </c>
      <c r="B23" s="67" t="s">
        <v>159</v>
      </c>
      <c r="C23" s="179" t="s">
        <v>64</v>
      </c>
      <c r="D23" s="20" t="s">
        <v>12</v>
      </c>
      <c r="E23" s="314">
        <v>21916</v>
      </c>
      <c r="F23" s="45">
        <v>2934.23</v>
      </c>
      <c r="G23" s="9">
        <v>0</v>
      </c>
      <c r="H23" s="129">
        <f t="shared" si="0"/>
        <v>2934.23</v>
      </c>
      <c r="I23" s="76">
        <f t="shared" si="1"/>
        <v>7.6486000000000002E-4</v>
      </c>
      <c r="J23" s="128"/>
      <c r="K23" s="128">
        <f t="shared" si="2"/>
        <v>0</v>
      </c>
      <c r="L23" s="128">
        <f t="shared" si="2"/>
        <v>0</v>
      </c>
      <c r="M23" s="9">
        <f t="shared" si="3"/>
        <v>0</v>
      </c>
      <c r="N23" s="9">
        <f t="shared" si="4"/>
        <v>0</v>
      </c>
      <c r="O23" s="9">
        <f t="shared" si="4"/>
        <v>0</v>
      </c>
      <c r="P23" s="9">
        <v>0</v>
      </c>
      <c r="Q23" s="128">
        <f t="shared" si="5"/>
        <v>0</v>
      </c>
      <c r="R23" s="9">
        <f t="shared" si="6"/>
        <v>2934.23</v>
      </c>
      <c r="S23" s="14">
        <f t="shared" si="7"/>
        <v>3482.04</v>
      </c>
      <c r="T23" s="86">
        <v>2170.87</v>
      </c>
      <c r="U23" s="79">
        <f t="shared" si="8"/>
        <v>7.6486000000000002E-4</v>
      </c>
      <c r="V23" s="203"/>
      <c r="W23" s="264"/>
      <c r="X23" s="204">
        <f t="shared" si="22"/>
        <v>3.56</v>
      </c>
      <c r="Y23" s="268">
        <f t="shared" si="22"/>
        <v>2.8</v>
      </c>
      <c r="Z23" s="124">
        <f t="shared" si="9"/>
        <v>6.36</v>
      </c>
      <c r="AA23" s="268">
        <f t="shared" si="10"/>
        <v>26.2</v>
      </c>
      <c r="AB23" s="204">
        <f t="shared" si="10"/>
        <v>0</v>
      </c>
      <c r="AC23" s="268">
        <f t="shared" si="10"/>
        <v>0</v>
      </c>
      <c r="AD23" s="204">
        <f t="shared" si="10"/>
        <v>0</v>
      </c>
      <c r="AE23" s="268">
        <f t="shared" si="10"/>
        <v>-0.02</v>
      </c>
      <c r="AF23" s="7">
        <f t="shared" si="11"/>
        <v>32.54</v>
      </c>
      <c r="AG23" s="7">
        <f t="shared" si="12"/>
        <v>-3.75</v>
      </c>
      <c r="AH23" s="7">
        <v>0</v>
      </c>
      <c r="AI23" s="124">
        <f t="shared" si="13"/>
        <v>-3.75</v>
      </c>
      <c r="AJ23" s="14">
        <f t="shared" si="14"/>
        <v>2199.66</v>
      </c>
      <c r="AK23" s="285"/>
      <c r="AL23" s="236"/>
      <c r="AM23" s="33">
        <f t="shared" si="15"/>
        <v>5133.8900000000003</v>
      </c>
      <c r="AN23" s="33">
        <f t="shared" si="16"/>
        <v>5999.31</v>
      </c>
      <c r="AO23" s="83"/>
      <c r="AP23" s="114">
        <v>2714.97</v>
      </c>
      <c r="AQ23" s="186">
        <v>3231.64</v>
      </c>
      <c r="AR23" s="192">
        <f>G23+'01.31.20'!AR23</f>
        <v>0</v>
      </c>
      <c r="AS23" s="114">
        <f t="shared" si="23"/>
        <v>865.42</v>
      </c>
      <c r="AT23" s="137">
        <f>K23+'01.31.20'!AT23</f>
        <v>0</v>
      </c>
      <c r="AU23" s="137">
        <f>L23+'01.31.20'!AU23</f>
        <v>102.24</v>
      </c>
      <c r="AV23" s="84">
        <f t="shared" si="24"/>
        <v>102.24</v>
      </c>
      <c r="AW23" s="84">
        <f>N23+'01.31.20'!AW23</f>
        <v>0</v>
      </c>
      <c r="AX23" s="84">
        <f>O23+'01.31.20'!AX23</f>
        <v>0</v>
      </c>
      <c r="AY23" s="84">
        <f>P23+'01.31.20'!AY23</f>
        <v>0</v>
      </c>
      <c r="AZ23" s="84">
        <f t="shared" si="25"/>
        <v>0</v>
      </c>
      <c r="BA23" s="224">
        <v>2011.18</v>
      </c>
      <c r="BB23" s="137">
        <f>Z23+'01.31.20'!BB23</f>
        <v>93.01</v>
      </c>
      <c r="BC23" s="137">
        <f>AA23+'01.31.20'!BC23</f>
        <v>128.31</v>
      </c>
      <c r="BD23" s="276">
        <f>AB23+'01.31.20'!BD23</f>
        <v>-0.69</v>
      </c>
      <c r="BE23" s="280">
        <f>AC23+'01.31.20'!BE23</f>
        <v>-3.12</v>
      </c>
      <c r="BF23" s="276">
        <f>AD23+'01.31.20'!BF23</f>
        <v>-0.12</v>
      </c>
      <c r="BG23" s="280">
        <f>AE23+'01.31.20'!BG23</f>
        <v>-0.31</v>
      </c>
      <c r="BH23" s="84">
        <f t="shared" si="26"/>
        <v>217.08</v>
      </c>
      <c r="BI23" s="84">
        <f>AG23+'01.31.20'!BI23</f>
        <v>-28.6</v>
      </c>
      <c r="BJ23" s="84">
        <f>AH23+'01.31.20'!BJ23</f>
        <v>0</v>
      </c>
      <c r="BK23" s="116">
        <f t="shared" si="27"/>
        <v>-28.6</v>
      </c>
    </row>
    <row r="24" spans="1:63" s="82" customFormat="1" ht="16.149999999999999" customHeight="1">
      <c r="A24" s="159" t="s">
        <v>80</v>
      </c>
      <c r="B24" s="67" t="s">
        <v>160</v>
      </c>
      <c r="C24" s="179" t="s">
        <v>64</v>
      </c>
      <c r="D24" s="20" t="s">
        <v>12</v>
      </c>
      <c r="E24" s="314">
        <v>23743</v>
      </c>
      <c r="F24" s="45">
        <v>1539963.24</v>
      </c>
      <c r="G24" s="9">
        <v>0</v>
      </c>
      <c r="H24" s="129">
        <f t="shared" si="0"/>
        <v>1539963.24</v>
      </c>
      <c r="I24" s="76">
        <f>H24/(H$31-1575)</f>
        <v>0.40141841</v>
      </c>
      <c r="J24" s="128"/>
      <c r="K24" s="128">
        <f>$I24*K$31</f>
        <v>0</v>
      </c>
      <c r="L24" s="318">
        <f>($I24*L$31)</f>
        <v>0</v>
      </c>
      <c r="M24" s="9">
        <f t="shared" si="3"/>
        <v>0</v>
      </c>
      <c r="N24" s="9">
        <f t="shared" si="4"/>
        <v>0</v>
      </c>
      <c r="O24" s="9">
        <f t="shared" si="4"/>
        <v>0</v>
      </c>
      <c r="P24" s="9">
        <v>0</v>
      </c>
      <c r="Q24" s="128">
        <f t="shared" si="5"/>
        <v>0</v>
      </c>
      <c r="R24" s="9">
        <f t="shared" si="6"/>
        <v>1539963.24</v>
      </c>
      <c r="S24" s="14">
        <f>(R24/(R$31-1575)*(S$31-1575))-0.01</f>
        <v>1827469.95</v>
      </c>
      <c r="T24" s="86">
        <v>782106.44</v>
      </c>
      <c r="U24" s="79">
        <f t="shared" si="8"/>
        <v>0.40141841</v>
      </c>
      <c r="V24" s="203"/>
      <c r="W24" s="264"/>
      <c r="X24" s="320">
        <f>($U24*X$31)+0.01</f>
        <v>1867.78</v>
      </c>
      <c r="Y24" s="321">
        <f>($U24*Y$31)+0.01</f>
        <v>1469.91</v>
      </c>
      <c r="Z24" s="319">
        <f t="shared" si="9"/>
        <v>3337.69</v>
      </c>
      <c r="AA24" s="321">
        <f>($U24*AA$31)</f>
        <v>13749.87</v>
      </c>
      <c r="AB24" s="320">
        <f>($U24*AB$31)</f>
        <v>0</v>
      </c>
      <c r="AC24" s="321">
        <f>($U24*AC$31)</f>
        <v>0</v>
      </c>
      <c r="AD24" s="320">
        <f>($U24*AD$31)</f>
        <v>0</v>
      </c>
      <c r="AE24" s="321">
        <f>($U24*AE$31)+0.02</f>
        <v>-8.41</v>
      </c>
      <c r="AF24" s="7">
        <f t="shared" si="11"/>
        <v>17079.150000000001</v>
      </c>
      <c r="AG24" s="7">
        <f>(U24*AG$31)</f>
        <v>-1967.26</v>
      </c>
      <c r="AH24" s="7">
        <v>-350</v>
      </c>
      <c r="AI24" s="319">
        <f t="shared" si="13"/>
        <v>-2317.2600000000002</v>
      </c>
      <c r="AJ24" s="14">
        <f t="shared" si="14"/>
        <v>796868.33</v>
      </c>
      <c r="AK24" s="285"/>
      <c r="AL24" s="236"/>
      <c r="AM24" s="33">
        <f t="shared" si="15"/>
        <v>2336831.5699999998</v>
      </c>
      <c r="AN24" s="33">
        <f>((S24+AJ24)+((AJ24/AJ$31)*AO$49))</f>
        <v>2739399.1</v>
      </c>
      <c r="AO24" s="83"/>
      <c r="AP24" s="114">
        <v>1424896.51</v>
      </c>
      <c r="AQ24" s="186">
        <v>1696058.26</v>
      </c>
      <c r="AR24" s="192">
        <f>G24+'01.31.20'!AR24</f>
        <v>0</v>
      </c>
      <c r="AS24" s="114">
        <f t="shared" si="23"/>
        <v>402567.53</v>
      </c>
      <c r="AT24" s="137">
        <f>K24+'01.31.20'!AT24</f>
        <v>0</v>
      </c>
      <c r="AU24" s="137">
        <f>L24+'01.31.20'!AU24</f>
        <v>53658.1</v>
      </c>
      <c r="AV24" s="84">
        <f t="shared" si="24"/>
        <v>53658.1</v>
      </c>
      <c r="AW24" s="84">
        <f>N24+'01.31.20'!AW24</f>
        <v>0</v>
      </c>
      <c r="AX24" s="84">
        <f>O24+'01.31.20'!AX24</f>
        <v>0</v>
      </c>
      <c r="AY24" s="84">
        <f>P24+'01.31.20'!AY24</f>
        <v>0</v>
      </c>
      <c r="AZ24" s="84">
        <f t="shared" si="25"/>
        <v>0</v>
      </c>
      <c r="BA24" s="224">
        <v>698290.76</v>
      </c>
      <c r="BB24" s="137">
        <f>Z24+'01.31.20'!BB24</f>
        <v>48818.18</v>
      </c>
      <c r="BC24" s="137">
        <f>AA24+'01.31.20'!BC24</f>
        <v>67338.03</v>
      </c>
      <c r="BD24" s="276">
        <f>AB24+'01.31.20'!BD24</f>
        <v>-360.95</v>
      </c>
      <c r="BE24" s="280">
        <f>AC24+'01.31.20'!BE24</f>
        <v>-1637.61</v>
      </c>
      <c r="BF24" s="276">
        <f>AD24+'01.31.20'!BF24</f>
        <v>-61.09</v>
      </c>
      <c r="BG24" s="280">
        <f>AE24+'01.31.20'!BG24</f>
        <v>-162.66999999999999</v>
      </c>
      <c r="BH24" s="84">
        <f t="shared" si="26"/>
        <v>113933.89</v>
      </c>
      <c r="BI24" s="84">
        <f>AG24+'01.31.20'!BI24</f>
        <v>-15006.32</v>
      </c>
      <c r="BJ24" s="84">
        <f>AH24+'01.31.20'!BJ24</f>
        <v>-350</v>
      </c>
      <c r="BK24" s="116">
        <f t="shared" si="27"/>
        <v>-15356.32</v>
      </c>
    </row>
    <row r="25" spans="1:63" s="82" customFormat="1" ht="16.149999999999999" customHeight="1">
      <c r="A25" s="159" t="s">
        <v>80</v>
      </c>
      <c r="B25" s="67" t="s">
        <v>161</v>
      </c>
      <c r="C25" s="179" t="s">
        <v>64</v>
      </c>
      <c r="D25" s="20" t="s">
        <v>12</v>
      </c>
      <c r="E25" s="314">
        <v>23743</v>
      </c>
      <c r="F25" s="45">
        <v>335391.68</v>
      </c>
      <c r="G25" s="9">
        <v>0</v>
      </c>
      <c r="H25" s="129">
        <f t="shared" si="0"/>
        <v>335391.68</v>
      </c>
      <c r="I25" s="76">
        <f>H25/(H$31-1575)</f>
        <v>8.7425719999999998E-2</v>
      </c>
      <c r="J25" s="128"/>
      <c r="K25" s="128">
        <f>$I25*K$31</f>
        <v>0</v>
      </c>
      <c r="L25" s="128">
        <f>$I25*L$31</f>
        <v>0</v>
      </c>
      <c r="M25" s="9">
        <f t="shared" si="3"/>
        <v>0</v>
      </c>
      <c r="N25" s="9">
        <f t="shared" si="4"/>
        <v>0</v>
      </c>
      <c r="O25" s="9">
        <f t="shared" si="4"/>
        <v>0</v>
      </c>
      <c r="P25" s="9">
        <v>0</v>
      </c>
      <c r="Q25" s="128">
        <f t="shared" si="5"/>
        <v>0</v>
      </c>
      <c r="R25" s="9">
        <f t="shared" si="6"/>
        <v>335391.68</v>
      </c>
      <c r="S25" s="14">
        <f>(R25/(R$31-1575)*(S$31-1575))</f>
        <v>398008.35</v>
      </c>
      <c r="T25" s="86">
        <v>201977.11</v>
      </c>
      <c r="U25" s="79">
        <f t="shared" si="8"/>
        <v>8.7425719999999998E-2</v>
      </c>
      <c r="V25" s="203"/>
      <c r="W25" s="264"/>
      <c r="X25" s="204">
        <f t="shared" ref="X25:Y28" si="28">$U25*X$31</f>
        <v>406.78</v>
      </c>
      <c r="Y25" s="268">
        <f t="shared" si="28"/>
        <v>320.13</v>
      </c>
      <c r="Z25" s="124">
        <f t="shared" si="9"/>
        <v>726.91</v>
      </c>
      <c r="AA25" s="268">
        <f t="shared" ref="AA25:AE28" si="29">$U25*AA$31</f>
        <v>2994.61</v>
      </c>
      <c r="AB25" s="204">
        <f t="shared" si="29"/>
        <v>0</v>
      </c>
      <c r="AC25" s="268">
        <f t="shared" si="29"/>
        <v>0</v>
      </c>
      <c r="AD25" s="204">
        <f t="shared" si="29"/>
        <v>0</v>
      </c>
      <c r="AE25" s="268">
        <f t="shared" si="29"/>
        <v>-1.84</v>
      </c>
      <c r="AF25" s="7">
        <f t="shared" si="11"/>
        <v>3719.68</v>
      </c>
      <c r="AG25" s="7">
        <f>U25*AG$31</f>
        <v>-428.45</v>
      </c>
      <c r="AH25" s="7">
        <v>0</v>
      </c>
      <c r="AI25" s="124">
        <f t="shared" si="13"/>
        <v>-428.45</v>
      </c>
      <c r="AJ25" s="14">
        <f t="shared" si="14"/>
        <v>205268.34</v>
      </c>
      <c r="AK25" s="285"/>
      <c r="AL25" s="236"/>
      <c r="AM25" s="33">
        <f t="shared" si="15"/>
        <v>540660.02</v>
      </c>
      <c r="AN25" s="33">
        <f>(S25+AJ25)+((AJ25/AJ$31)*AO$49)</f>
        <v>632915.64</v>
      </c>
      <c r="AO25" s="83"/>
      <c r="AP25" s="114">
        <v>310331.06</v>
      </c>
      <c r="AQ25" s="186">
        <v>369387.93</v>
      </c>
      <c r="AR25" s="192">
        <f>G25+'01.31.20'!AR25</f>
        <v>0</v>
      </c>
      <c r="AS25" s="114">
        <f t="shared" si="23"/>
        <v>92255.62</v>
      </c>
      <c r="AT25" s="137">
        <f>K25+'01.31.20'!AT25</f>
        <v>0</v>
      </c>
      <c r="AU25" s="137">
        <f>L25+'01.31.20'!AU25</f>
        <v>11686.3</v>
      </c>
      <c r="AV25" s="84">
        <f t="shared" si="24"/>
        <v>11686.3</v>
      </c>
      <c r="AW25" s="84">
        <f>N25+'01.31.20'!AW25</f>
        <v>0</v>
      </c>
      <c r="AX25" s="84">
        <f>O25+'01.31.20'!AX25</f>
        <v>0</v>
      </c>
      <c r="AY25" s="84">
        <f>P25+'01.31.20'!AY25</f>
        <v>0</v>
      </c>
      <c r="AZ25" s="84">
        <f t="shared" si="25"/>
        <v>0</v>
      </c>
      <c r="BA25" s="224">
        <v>183722.72</v>
      </c>
      <c r="BB25" s="137">
        <f>Z25+'01.31.20'!BB25</f>
        <v>10632.19</v>
      </c>
      <c r="BC25" s="137">
        <f>AA25+'01.31.20'!BC25</f>
        <v>14665.71</v>
      </c>
      <c r="BD25" s="276">
        <f>AB25+'01.31.20'!BD25</f>
        <v>-78.61</v>
      </c>
      <c r="BE25" s="280">
        <f>AC25+'01.31.20'!BE25</f>
        <v>-356.66</v>
      </c>
      <c r="BF25" s="276">
        <f>AD25+'01.31.20'!BF25</f>
        <v>-13.3</v>
      </c>
      <c r="BG25" s="280">
        <f>AE25+'01.31.20'!BG25</f>
        <v>-35.450000000000003</v>
      </c>
      <c r="BH25" s="84">
        <f t="shared" si="26"/>
        <v>24813.88</v>
      </c>
      <c r="BI25" s="84">
        <f>AG25+'01.31.20'!BI25</f>
        <v>-3268.26</v>
      </c>
      <c r="BJ25" s="84">
        <f>AH25+'01.31.20'!BJ25</f>
        <v>0</v>
      </c>
      <c r="BK25" s="116">
        <f t="shared" si="27"/>
        <v>-3268.26</v>
      </c>
    </row>
    <row r="26" spans="1:63" s="82" customFormat="1" ht="16.149999999999999" customHeight="1">
      <c r="A26" s="159" t="s">
        <v>80</v>
      </c>
      <c r="B26" s="67" t="s">
        <v>162</v>
      </c>
      <c r="C26" s="179" t="s">
        <v>64</v>
      </c>
      <c r="D26" s="20" t="s">
        <v>12</v>
      </c>
      <c r="E26" s="314">
        <v>16438</v>
      </c>
      <c r="F26" s="45">
        <v>14052.28</v>
      </c>
      <c r="G26" s="9">
        <v>0</v>
      </c>
      <c r="H26" s="129">
        <f t="shared" si="0"/>
        <v>14052.28</v>
      </c>
      <c r="I26" s="76">
        <f>H26/(H$31-1575)</f>
        <v>3.6629700000000002E-3</v>
      </c>
      <c r="J26" s="128"/>
      <c r="K26" s="128">
        <f>$I26*K$31</f>
        <v>0</v>
      </c>
      <c r="L26" s="128">
        <f>$I26*L$31</f>
        <v>0</v>
      </c>
      <c r="M26" s="9">
        <f t="shared" si="3"/>
        <v>0</v>
      </c>
      <c r="N26" s="9">
        <f t="shared" si="4"/>
        <v>0</v>
      </c>
      <c r="O26" s="9">
        <f t="shared" si="4"/>
        <v>0</v>
      </c>
      <c r="P26" s="9">
        <v>0</v>
      </c>
      <c r="Q26" s="128">
        <f t="shared" si="5"/>
        <v>0</v>
      </c>
      <c r="R26" s="9">
        <f t="shared" si="6"/>
        <v>14052.28</v>
      </c>
      <c r="S26" s="14">
        <f>(R26/(R$31-1575)*(S$31-1575))</f>
        <v>16675.8</v>
      </c>
      <c r="T26" s="86">
        <v>10199.23</v>
      </c>
      <c r="U26" s="79">
        <f t="shared" si="8"/>
        <v>3.6629700000000002E-3</v>
      </c>
      <c r="V26" s="203" t="s">
        <v>113</v>
      </c>
      <c r="W26" s="264" t="s">
        <v>111</v>
      </c>
      <c r="X26" s="204">
        <f t="shared" si="28"/>
        <v>17.04</v>
      </c>
      <c r="Y26" s="268">
        <f t="shared" si="28"/>
        <v>13.41</v>
      </c>
      <c r="Z26" s="124">
        <f t="shared" si="9"/>
        <v>30.45</v>
      </c>
      <c r="AA26" s="268">
        <f t="shared" si="29"/>
        <v>125.47</v>
      </c>
      <c r="AB26" s="204">
        <f t="shared" si="29"/>
        <v>0</v>
      </c>
      <c r="AC26" s="268">
        <f t="shared" si="29"/>
        <v>0</v>
      </c>
      <c r="AD26" s="204">
        <f t="shared" si="29"/>
        <v>0</v>
      </c>
      <c r="AE26" s="268">
        <f t="shared" si="29"/>
        <v>-0.08</v>
      </c>
      <c r="AF26" s="7">
        <f t="shared" si="11"/>
        <v>155.84</v>
      </c>
      <c r="AG26" s="7">
        <f>U26*AG$31</f>
        <v>-17.95</v>
      </c>
      <c r="AH26" s="7">
        <v>0</v>
      </c>
      <c r="AI26" s="124">
        <f t="shared" si="13"/>
        <v>-17.95</v>
      </c>
      <c r="AJ26" s="14">
        <f t="shared" si="14"/>
        <v>10337.120000000001</v>
      </c>
      <c r="AK26" s="233"/>
      <c r="AL26" s="284"/>
      <c r="AM26" s="33">
        <f t="shared" si="15"/>
        <v>24389.4</v>
      </c>
      <c r="AN26" s="33">
        <f>(S26+AJ26)+((AJ26/AJ$31)*AO$49)</f>
        <v>28505.51</v>
      </c>
      <c r="AO26" s="83"/>
      <c r="AP26" s="114">
        <v>13002.29</v>
      </c>
      <c r="AQ26" s="186">
        <v>15476.66</v>
      </c>
      <c r="AR26" s="192">
        <f>G26+'01.31.20'!AR26</f>
        <v>0</v>
      </c>
      <c r="AS26" s="114">
        <f t="shared" si="23"/>
        <v>4116.1099999999997</v>
      </c>
      <c r="AT26" s="137">
        <f>K26+'01.31.20'!AT26</f>
        <v>0</v>
      </c>
      <c r="AU26" s="137">
        <f>L26+'01.31.20'!AU26</f>
        <v>489.64</v>
      </c>
      <c r="AV26" s="84">
        <f t="shared" si="24"/>
        <v>489.64</v>
      </c>
      <c r="AW26" s="84">
        <f>N26+'01.31.20'!AW26</f>
        <v>0</v>
      </c>
      <c r="AX26" s="84">
        <f>O26+'01.31.20'!AX26</f>
        <v>0</v>
      </c>
      <c r="AY26" s="84">
        <f>P26+'01.31.20'!AY26</f>
        <v>0</v>
      </c>
      <c r="AZ26" s="84">
        <f t="shared" si="25"/>
        <v>0</v>
      </c>
      <c r="BA26" s="224">
        <v>9815.51</v>
      </c>
      <c r="BB26" s="137">
        <f>Z26+'01.31.20'!BB26</f>
        <v>445.45</v>
      </c>
      <c r="BC26" s="137">
        <f>AA26+'01.31.20'!BC26</f>
        <v>614.48</v>
      </c>
      <c r="BD26" s="276">
        <f>AB26+'01.31.20'!BD26</f>
        <v>-3.3</v>
      </c>
      <c r="BE26" s="280">
        <f>AC26+'01.31.20'!BE26</f>
        <v>-14.94</v>
      </c>
      <c r="BF26" s="276">
        <f>AD26+'01.31.20'!BF26</f>
        <v>-0.56000000000000005</v>
      </c>
      <c r="BG26" s="280">
        <f>AE26+'01.31.20'!BG26</f>
        <v>-1.48</v>
      </c>
      <c r="BH26" s="84">
        <f t="shared" si="26"/>
        <v>1039.6500000000001</v>
      </c>
      <c r="BI26" s="84">
        <f>AG26+'01.31.20'!BI26</f>
        <v>-136.93</v>
      </c>
      <c r="BJ26" s="84">
        <f>AH26+'01.31.20'!BJ26</f>
        <v>-381.11</v>
      </c>
      <c r="BK26" s="116">
        <f t="shared" si="27"/>
        <v>-518.04</v>
      </c>
    </row>
    <row r="27" spans="1:63" s="82" customFormat="1" ht="16.149999999999999" customHeight="1">
      <c r="A27" s="159" t="s">
        <v>80</v>
      </c>
      <c r="B27" s="67" t="s">
        <v>163</v>
      </c>
      <c r="C27" s="179" t="s">
        <v>64</v>
      </c>
      <c r="D27" s="20" t="s">
        <v>12</v>
      </c>
      <c r="E27" s="314">
        <v>16438</v>
      </c>
      <c r="F27" s="45">
        <v>13863.71</v>
      </c>
      <c r="G27" s="9">
        <v>0</v>
      </c>
      <c r="H27" s="129">
        <f t="shared" si="0"/>
        <v>13863.71</v>
      </c>
      <c r="I27" s="76">
        <f>H27/(H$31-1575)</f>
        <v>3.6138199999999998E-3</v>
      </c>
      <c r="J27" s="128"/>
      <c r="K27" s="128">
        <f>$I27*K$31</f>
        <v>0</v>
      </c>
      <c r="L27" s="128">
        <f>$I27*L$31</f>
        <v>0</v>
      </c>
      <c r="M27" s="9">
        <f t="shared" si="3"/>
        <v>0</v>
      </c>
      <c r="N27" s="9">
        <f t="shared" si="4"/>
        <v>0</v>
      </c>
      <c r="O27" s="9">
        <f t="shared" si="4"/>
        <v>0</v>
      </c>
      <c r="P27" s="9">
        <v>0</v>
      </c>
      <c r="Q27" s="128">
        <f t="shared" si="5"/>
        <v>0</v>
      </c>
      <c r="R27" s="9">
        <f t="shared" si="6"/>
        <v>13863.71</v>
      </c>
      <c r="S27" s="14">
        <f>(R27/(R$31-1575)*(S$31-1575))</f>
        <v>16452.02</v>
      </c>
      <c r="T27" s="86">
        <v>7894.09</v>
      </c>
      <c r="U27" s="79">
        <f t="shared" si="8"/>
        <v>3.6138199999999998E-3</v>
      </c>
      <c r="V27" s="203" t="s">
        <v>110</v>
      </c>
      <c r="W27" s="264" t="s">
        <v>110</v>
      </c>
      <c r="X27" s="204">
        <f t="shared" si="28"/>
        <v>16.809999999999999</v>
      </c>
      <c r="Y27" s="268">
        <f t="shared" si="28"/>
        <v>13.23</v>
      </c>
      <c r="Z27" s="124">
        <f t="shared" si="9"/>
        <v>30.04</v>
      </c>
      <c r="AA27" s="268">
        <f t="shared" si="29"/>
        <v>123.78</v>
      </c>
      <c r="AB27" s="204">
        <f t="shared" si="29"/>
        <v>0</v>
      </c>
      <c r="AC27" s="268">
        <f t="shared" si="29"/>
        <v>0</v>
      </c>
      <c r="AD27" s="204">
        <f t="shared" si="29"/>
        <v>0</v>
      </c>
      <c r="AE27" s="268">
        <f t="shared" si="29"/>
        <v>-0.08</v>
      </c>
      <c r="AF27" s="7">
        <f t="shared" si="11"/>
        <v>153.74</v>
      </c>
      <c r="AG27" s="7">
        <f>U27*AG$31</f>
        <v>-17.71</v>
      </c>
      <c r="AH27" s="7">
        <v>0</v>
      </c>
      <c r="AI27" s="124">
        <f t="shared" si="13"/>
        <v>-17.71</v>
      </c>
      <c r="AJ27" s="14">
        <f t="shared" si="14"/>
        <v>8030.12</v>
      </c>
      <c r="AK27" s="233" t="s">
        <v>120</v>
      </c>
      <c r="AL27" s="236" t="s">
        <v>115</v>
      </c>
      <c r="AM27" s="33">
        <f t="shared" si="15"/>
        <v>21893.83</v>
      </c>
      <c r="AN27" s="33">
        <f>(S27+AJ27)+((AJ27/AJ$31)*AO$49)</f>
        <v>25641.62</v>
      </c>
      <c r="AO27" s="83"/>
      <c r="AP27" s="114">
        <v>12827.82</v>
      </c>
      <c r="AQ27" s="186">
        <v>15268.99</v>
      </c>
      <c r="AR27" s="192">
        <f>G27+'01.31.20'!AR27</f>
        <v>0</v>
      </c>
      <c r="AS27" s="114">
        <f t="shared" si="23"/>
        <v>3747.79</v>
      </c>
      <c r="AT27" s="137">
        <f>K27+'01.31.20'!AT27</f>
        <v>0</v>
      </c>
      <c r="AU27" s="137">
        <f>L27+'01.31.20'!AU27</f>
        <v>483.06</v>
      </c>
      <c r="AV27" s="84">
        <f t="shared" si="24"/>
        <v>483.06</v>
      </c>
      <c r="AW27" s="84">
        <f>N27+'01.31.20'!AW27</f>
        <v>0</v>
      </c>
      <c r="AX27" s="84">
        <f>O27+'01.31.20'!AX27</f>
        <v>0</v>
      </c>
      <c r="AY27" s="84">
        <f>P27+'01.31.20'!AY27</f>
        <v>0</v>
      </c>
      <c r="AZ27" s="84">
        <f t="shared" si="25"/>
        <v>0</v>
      </c>
      <c r="BA27" s="224">
        <v>7139.55</v>
      </c>
      <c r="BB27" s="137">
        <f>Z27+'01.31.20'!BB27</f>
        <v>439.49</v>
      </c>
      <c r="BC27" s="137">
        <f>AA27+'01.31.20'!BC27</f>
        <v>606.21</v>
      </c>
      <c r="BD27" s="276">
        <f>AB27+'01.31.20'!BD27</f>
        <v>-3.25</v>
      </c>
      <c r="BE27" s="280">
        <f>AC27+'01.31.20'!BE27</f>
        <v>-14.75</v>
      </c>
      <c r="BF27" s="276">
        <f>AD27+'01.31.20'!BF27</f>
        <v>-0.55000000000000004</v>
      </c>
      <c r="BG27" s="280">
        <f>AE27+'01.31.20'!BG27</f>
        <v>-1.48</v>
      </c>
      <c r="BH27" s="84">
        <f t="shared" si="26"/>
        <v>1025.67</v>
      </c>
      <c r="BI27" s="84">
        <f>AG27+'01.31.20'!BI27</f>
        <v>-135.1</v>
      </c>
      <c r="BJ27" s="84">
        <f>AH27+'01.31.20'!BJ27</f>
        <v>0</v>
      </c>
      <c r="BK27" s="116">
        <f t="shared" si="27"/>
        <v>-135.1</v>
      </c>
    </row>
    <row r="28" spans="1:63" s="82" customFormat="1" ht="16.149999999999999" customHeight="1">
      <c r="A28" s="159" t="s">
        <v>80</v>
      </c>
      <c r="B28" s="67" t="s">
        <v>164</v>
      </c>
      <c r="C28" s="179" t="s">
        <v>64</v>
      </c>
      <c r="D28" s="20" t="s">
        <v>144</v>
      </c>
      <c r="E28" s="314">
        <v>23743</v>
      </c>
      <c r="F28" s="45">
        <v>1575</v>
      </c>
      <c r="G28" s="9">
        <v>0</v>
      </c>
      <c r="H28" s="129">
        <f t="shared" si="0"/>
        <v>1575</v>
      </c>
      <c r="I28" s="76">
        <v>0</v>
      </c>
      <c r="J28" s="128"/>
      <c r="K28" s="128">
        <f>$I28*K$31</f>
        <v>0</v>
      </c>
      <c r="L28" s="128">
        <f>$I28*L$31</f>
        <v>0</v>
      </c>
      <c r="M28" s="9">
        <f t="shared" si="3"/>
        <v>0</v>
      </c>
      <c r="N28" s="9">
        <f t="shared" si="4"/>
        <v>0</v>
      </c>
      <c r="O28" s="9">
        <f t="shared" si="4"/>
        <v>0</v>
      </c>
      <c r="P28" s="9">
        <v>0</v>
      </c>
      <c r="Q28" s="128">
        <f t="shared" si="5"/>
        <v>0</v>
      </c>
      <c r="R28" s="9">
        <f t="shared" si="6"/>
        <v>1575</v>
      </c>
      <c r="S28" s="14">
        <v>1575</v>
      </c>
      <c r="T28" s="86">
        <v>0</v>
      </c>
      <c r="U28" s="79">
        <f t="shared" si="8"/>
        <v>0</v>
      </c>
      <c r="V28" s="203"/>
      <c r="W28" s="264"/>
      <c r="X28" s="204">
        <f t="shared" si="28"/>
        <v>0</v>
      </c>
      <c r="Y28" s="268">
        <f t="shared" si="28"/>
        <v>0</v>
      </c>
      <c r="Z28" s="124">
        <f t="shared" si="9"/>
        <v>0</v>
      </c>
      <c r="AA28" s="268">
        <f t="shared" si="29"/>
        <v>0</v>
      </c>
      <c r="AB28" s="204">
        <f t="shared" si="29"/>
        <v>0</v>
      </c>
      <c r="AC28" s="268">
        <f t="shared" si="29"/>
        <v>0</v>
      </c>
      <c r="AD28" s="204">
        <f t="shared" si="29"/>
        <v>0</v>
      </c>
      <c r="AE28" s="268">
        <f t="shared" si="29"/>
        <v>0</v>
      </c>
      <c r="AF28" s="7">
        <f t="shared" si="11"/>
        <v>0</v>
      </c>
      <c r="AG28" s="7">
        <f>U28*AG$31</f>
        <v>0</v>
      </c>
      <c r="AH28" s="7">
        <v>0</v>
      </c>
      <c r="AI28" s="124">
        <f t="shared" si="13"/>
        <v>0</v>
      </c>
      <c r="AJ28" s="14">
        <f t="shared" si="14"/>
        <v>0</v>
      </c>
      <c r="AK28" s="233"/>
      <c r="AL28" s="236"/>
      <c r="AM28" s="33">
        <f t="shared" si="15"/>
        <v>1575</v>
      </c>
      <c r="AN28" s="33">
        <f>(S28+AJ28)+((AJ28/AJ$31)*AO$49)</f>
        <v>1575</v>
      </c>
      <c r="AO28" s="83"/>
      <c r="AP28" s="114">
        <v>1575</v>
      </c>
      <c r="AQ28" s="186">
        <v>1874.73</v>
      </c>
      <c r="AR28" s="192">
        <f>G28+'01.31.20'!AR28</f>
        <v>0</v>
      </c>
      <c r="AS28" s="114">
        <f t="shared" si="23"/>
        <v>0</v>
      </c>
      <c r="AT28" s="137">
        <f>K28+'01.31.20'!AT28</f>
        <v>0</v>
      </c>
      <c r="AU28" s="137">
        <f>L28+'01.31.20'!AU28</f>
        <v>0</v>
      </c>
      <c r="AV28" s="84">
        <f t="shared" si="24"/>
        <v>0</v>
      </c>
      <c r="AW28" s="84">
        <f>N28+'01.31.20'!AW28</f>
        <v>0</v>
      </c>
      <c r="AX28" s="84">
        <f>O28+'01.31.20'!AX28</f>
        <v>0</v>
      </c>
      <c r="AY28" s="84">
        <f>P28+'01.31.20'!AY28</f>
        <v>0</v>
      </c>
      <c r="AZ28" s="84">
        <f t="shared" si="25"/>
        <v>0</v>
      </c>
      <c r="BA28" s="224">
        <v>0</v>
      </c>
      <c r="BB28" s="137">
        <f>Z28+'01.31.20'!BB28</f>
        <v>0</v>
      </c>
      <c r="BC28" s="137">
        <f>AA28+'01.31.20'!BC28</f>
        <v>0</v>
      </c>
      <c r="BD28" s="276">
        <f>AB28+'01.31.20'!BD28</f>
        <v>0</v>
      </c>
      <c r="BE28" s="280">
        <f>AC28+'01.31.20'!BE28</f>
        <v>0</v>
      </c>
      <c r="BF28" s="276">
        <f>AD28+'01.31.20'!BF28</f>
        <v>0</v>
      </c>
      <c r="BG28" s="280">
        <f>AE28+'01.31.20'!BG28</f>
        <v>0</v>
      </c>
      <c r="BH28" s="84">
        <f t="shared" si="26"/>
        <v>0</v>
      </c>
      <c r="BI28" s="84">
        <f>AG28+'01.31.20'!BI28</f>
        <v>0</v>
      </c>
      <c r="BJ28" s="84">
        <f>AH28+'01.31.20'!BJ28</f>
        <v>0</v>
      </c>
      <c r="BK28" s="116">
        <f t="shared" si="27"/>
        <v>0</v>
      </c>
    </row>
    <row r="29" spans="1:63" s="82" customFormat="1" ht="16.149999999999999" customHeight="1">
      <c r="A29" s="159"/>
      <c r="B29" s="67"/>
      <c r="C29" s="179"/>
      <c r="D29" s="20"/>
      <c r="E29" s="158"/>
      <c r="F29" s="45"/>
      <c r="G29" s="9"/>
      <c r="H29" s="129"/>
      <c r="I29" s="76"/>
      <c r="J29" s="128"/>
      <c r="K29" s="128"/>
      <c r="L29" s="128"/>
      <c r="M29" s="9"/>
      <c r="N29" s="9"/>
      <c r="O29" s="9"/>
      <c r="P29" s="9"/>
      <c r="Q29" s="128"/>
      <c r="R29" s="9"/>
      <c r="S29" s="14"/>
      <c r="T29" s="86"/>
      <c r="U29" s="79"/>
      <c r="V29" s="203"/>
      <c r="W29" s="264"/>
      <c r="X29" s="203"/>
      <c r="Y29" s="264"/>
      <c r="Z29" s="124"/>
      <c r="AA29" s="268"/>
      <c r="AB29" s="204"/>
      <c r="AC29" s="268"/>
      <c r="AD29" s="204"/>
      <c r="AE29" s="268"/>
      <c r="AF29" s="7"/>
      <c r="AG29" s="7"/>
      <c r="AH29" s="7"/>
      <c r="AI29" s="124"/>
      <c r="AJ29" s="211"/>
      <c r="AK29" s="233"/>
      <c r="AL29" s="236"/>
      <c r="AM29" s="33"/>
      <c r="AN29" s="33"/>
      <c r="AO29" s="83"/>
      <c r="AP29" s="178"/>
      <c r="AQ29" s="187"/>
      <c r="AR29" s="192"/>
      <c r="AS29" s="114"/>
      <c r="AT29" s="137"/>
      <c r="AU29" s="137"/>
      <c r="AV29" s="84"/>
      <c r="AW29" s="84"/>
      <c r="AX29" s="84"/>
      <c r="AY29" s="84"/>
      <c r="AZ29" s="84"/>
      <c r="BA29" s="224"/>
      <c r="BB29" s="137"/>
      <c r="BC29" s="137"/>
      <c r="BD29" s="276"/>
      <c r="BE29" s="280"/>
      <c r="BF29" s="276"/>
      <c r="BG29" s="280"/>
      <c r="BH29" s="84"/>
      <c r="BI29" s="84"/>
      <c r="BJ29" s="84"/>
      <c r="BK29" s="116"/>
    </row>
    <row r="30" spans="1:63" s="55" customFormat="1">
      <c r="A30" s="135"/>
      <c r="B30" s="68"/>
      <c r="C30" s="56"/>
      <c r="D30" s="56"/>
      <c r="E30" s="69"/>
      <c r="F30" s="46"/>
      <c r="G30" s="13"/>
      <c r="H30" s="127"/>
      <c r="I30" s="77"/>
      <c r="J30" s="127"/>
      <c r="K30" s="127"/>
      <c r="L30" s="127"/>
      <c r="M30" s="13"/>
      <c r="N30" s="13"/>
      <c r="O30" s="13"/>
      <c r="P30" s="13"/>
      <c r="Q30" s="127"/>
      <c r="R30" s="13"/>
      <c r="S30" s="22"/>
      <c r="T30" s="57"/>
      <c r="U30" s="13"/>
      <c r="V30" s="205"/>
      <c r="W30" s="265"/>
      <c r="X30" s="205"/>
      <c r="Y30" s="265"/>
      <c r="Z30" s="127"/>
      <c r="AA30" s="271"/>
      <c r="AB30" s="209"/>
      <c r="AC30" s="271"/>
      <c r="AD30" s="209"/>
      <c r="AE30" s="271"/>
      <c r="AF30" s="13"/>
      <c r="AG30" s="58"/>
      <c r="AH30" s="13"/>
      <c r="AI30" s="125"/>
      <c r="AJ30" s="59"/>
      <c r="AK30" s="209"/>
      <c r="AL30" s="238"/>
      <c r="AM30" s="60"/>
      <c r="AN30" s="60"/>
      <c r="AO30" s="54"/>
      <c r="AP30" s="175"/>
      <c r="AQ30" s="188"/>
      <c r="AR30" s="191"/>
      <c r="AS30" s="112"/>
      <c r="AT30" s="112"/>
      <c r="AU30" s="112"/>
      <c r="AV30" s="28"/>
      <c r="AW30" s="28"/>
      <c r="AX30" s="28"/>
      <c r="AY30" s="28"/>
      <c r="AZ30" s="36"/>
      <c r="BA30" s="273"/>
      <c r="BB30" s="112"/>
      <c r="BC30" s="112"/>
      <c r="BD30" s="275"/>
      <c r="BE30" s="277"/>
      <c r="BF30" s="275"/>
      <c r="BG30" s="279"/>
      <c r="BH30" s="28"/>
      <c r="BI30" s="28"/>
      <c r="BJ30" s="28"/>
      <c r="BK30" s="62"/>
    </row>
    <row r="31" spans="1:63" s="10" customFormat="1" ht="19.149999999999999" customHeight="1" thickBot="1">
      <c r="A31" s="136"/>
      <c r="B31" s="70" t="s">
        <v>2</v>
      </c>
      <c r="C31" s="71"/>
      <c r="D31" s="71"/>
      <c r="E31" s="72"/>
      <c r="F31" s="47">
        <f>SUM(F12:F29)</f>
        <v>3837879.44</v>
      </c>
      <c r="G31" s="48">
        <f>SUM(G12:G29)</f>
        <v>0</v>
      </c>
      <c r="H31" s="130">
        <f>SUM(H12:H29)</f>
        <v>3837879.44</v>
      </c>
      <c r="I31" s="78">
        <f>SUM(I12:I30)</f>
        <v>1</v>
      </c>
      <c r="J31" s="115"/>
      <c r="K31" s="115">
        <v>0</v>
      </c>
      <c r="L31" s="115">
        <v>0</v>
      </c>
      <c r="M31" s="48">
        <f>SUM(M12:M29)</f>
        <v>0</v>
      </c>
      <c r="N31" s="48">
        <v>0</v>
      </c>
      <c r="O31" s="48">
        <v>0</v>
      </c>
      <c r="P31" s="48">
        <f>SUM(P12:P29)</f>
        <v>0</v>
      </c>
      <c r="Q31" s="115">
        <f>SUM(Q12:Q29)</f>
        <v>0</v>
      </c>
      <c r="R31" s="48">
        <f>SUM(R12:R29)</f>
        <v>3837879.44</v>
      </c>
      <c r="S31" s="49">
        <f>R31+AO45</f>
        <v>4554106.4800000004</v>
      </c>
      <c r="T31" s="50">
        <f>SUM(T12:T29)</f>
        <v>2638906.0099999998</v>
      </c>
      <c r="U31" s="51">
        <f>SUM(U12:U30)</f>
        <v>1</v>
      </c>
      <c r="V31" s="206">
        <v>0</v>
      </c>
      <c r="W31" s="306">
        <v>2638906.0099999998</v>
      </c>
      <c r="X31" s="206">
        <f>602.64+4050.28</f>
        <v>4652.92</v>
      </c>
      <c r="Y31" s="266">
        <f>718.75+2046.34+896.68</f>
        <v>3661.77</v>
      </c>
      <c r="Z31" s="115">
        <f>SUM(Z12:Z29)</f>
        <v>8314.69</v>
      </c>
      <c r="AA31" s="272">
        <v>34253.22</v>
      </c>
      <c r="AB31" s="210">
        <v>0</v>
      </c>
      <c r="AC31" s="272">
        <v>0</v>
      </c>
      <c r="AD31" s="210">
        <v>0</v>
      </c>
      <c r="AE31" s="272">
        <v>-21</v>
      </c>
      <c r="AF31" s="48">
        <f>SUM(AF12:AF29)</f>
        <v>42546.91</v>
      </c>
      <c r="AG31" s="48">
        <f>-2945.99-1954.79</f>
        <v>-4900.78</v>
      </c>
      <c r="AH31" s="115">
        <f>SUM(AH12:AH30)</f>
        <v>-350</v>
      </c>
      <c r="AI31" s="115">
        <f>SUM(AI12:AI30)</f>
        <v>-5250.78</v>
      </c>
      <c r="AJ31" s="52">
        <f>SUM(AJ12:AJ30)</f>
        <v>2676202.14</v>
      </c>
      <c r="AK31" s="210">
        <f>V31+X31+AB31+AD31-4652.92</f>
        <v>0</v>
      </c>
      <c r="AL31" s="305">
        <f>W31+Y31+AA31+AC31+AE31++AG31+AH31+4652.92</f>
        <v>2676202.14</v>
      </c>
      <c r="AM31" s="35">
        <f>SUM(AM12:AM29)</f>
        <v>6514081.5800000001</v>
      </c>
      <c r="AN31" s="35">
        <f>AN45+AN49+1575</f>
        <v>7616728.8200000003</v>
      </c>
      <c r="AO31" s="53"/>
      <c r="AP31" s="177">
        <f>SUM(AP12:AP29)</f>
        <v>3551229.1</v>
      </c>
      <c r="AQ31" s="187">
        <f>SUM(AQ12:AQ29)</f>
        <v>4227037.8899999997</v>
      </c>
      <c r="AR31" s="47">
        <f>SUM(AR12:AR29)</f>
        <v>0</v>
      </c>
      <c r="AS31" s="115">
        <f t="shared" ref="AS31:BK31" si="30">SUM(AS12:AS29)</f>
        <v>1102647.24</v>
      </c>
      <c r="AT31" s="115">
        <v>0</v>
      </c>
      <c r="AU31" s="115">
        <f t="shared" si="30"/>
        <v>133671.19</v>
      </c>
      <c r="AV31" s="48">
        <f t="shared" si="30"/>
        <v>133671.19</v>
      </c>
      <c r="AW31" s="48">
        <f t="shared" si="30"/>
        <v>0</v>
      </c>
      <c r="AX31" s="48">
        <f t="shared" si="30"/>
        <v>0</v>
      </c>
      <c r="AY31" s="48">
        <f t="shared" si="30"/>
        <v>0</v>
      </c>
      <c r="AZ31" s="48">
        <f t="shared" si="30"/>
        <v>0</v>
      </c>
      <c r="BA31" s="200">
        <f t="shared" si="30"/>
        <v>2442372.21</v>
      </c>
      <c r="BB31" s="115">
        <f t="shared" si="30"/>
        <v>121614.09</v>
      </c>
      <c r="BC31" s="115">
        <f t="shared" si="30"/>
        <v>167750.38</v>
      </c>
      <c r="BD31" s="210">
        <f t="shared" si="30"/>
        <v>-899.19</v>
      </c>
      <c r="BE31" s="272">
        <f t="shared" si="30"/>
        <v>-4079.59</v>
      </c>
      <c r="BF31" s="210">
        <f t="shared" si="30"/>
        <v>-152.21</v>
      </c>
      <c r="BG31" s="272">
        <f t="shared" si="30"/>
        <v>-405.38</v>
      </c>
      <c r="BH31" s="48">
        <f t="shared" si="30"/>
        <v>283828.09999999998</v>
      </c>
      <c r="BI31" s="48">
        <f t="shared" si="30"/>
        <v>-37383.339999999997</v>
      </c>
      <c r="BJ31" s="48">
        <f t="shared" si="30"/>
        <v>-12614.83</v>
      </c>
      <c r="BK31" s="73">
        <f t="shared" si="30"/>
        <v>-49998.17</v>
      </c>
    </row>
    <row r="32" spans="1:63" ht="16.149999999999999" customHeight="1">
      <c r="L32" s="117" t="s">
        <v>127</v>
      </c>
      <c r="M32" s="81"/>
      <c r="AQ32" s="117"/>
    </row>
    <row r="33" spans="1:63" s="240" customFormat="1" ht="16.149999999999999" customHeight="1">
      <c r="A33" s="239"/>
      <c r="C33" s="248" t="s">
        <v>116</v>
      </c>
      <c r="E33" s="241"/>
      <c r="F33" s="261">
        <v>-1575</v>
      </c>
      <c r="G33" s="242"/>
      <c r="H33" s="243"/>
      <c r="I33" s="244"/>
      <c r="J33" s="243"/>
      <c r="K33" s="243"/>
      <c r="L33" s="243"/>
      <c r="M33" s="242"/>
      <c r="N33" s="242"/>
      <c r="O33" s="242"/>
      <c r="P33" s="242"/>
      <c r="Q33" s="243"/>
      <c r="R33" s="261">
        <v>-1575</v>
      </c>
      <c r="S33" s="261">
        <v>-1575</v>
      </c>
      <c r="T33" s="242"/>
      <c r="U33" s="242"/>
      <c r="V33" s="245"/>
      <c r="W33" s="245"/>
      <c r="X33" s="245"/>
      <c r="Y33" s="245"/>
      <c r="Z33" s="243"/>
      <c r="AA33" s="243"/>
      <c r="AB33" s="243"/>
      <c r="AC33" s="243"/>
      <c r="AD33" s="243"/>
      <c r="AE33" s="243"/>
      <c r="AF33" s="242"/>
      <c r="AG33" s="246"/>
      <c r="AH33" s="242"/>
      <c r="AI33" s="243"/>
      <c r="AJ33" s="242"/>
      <c r="AK33" s="243"/>
      <c r="AL33" s="243"/>
      <c r="AM33" s="261">
        <v>-1575</v>
      </c>
      <c r="AN33" s="261">
        <v>-1575</v>
      </c>
      <c r="AP33" s="239"/>
      <c r="AQ33" s="247"/>
      <c r="AS33" s="239"/>
      <c r="AT33" s="239"/>
      <c r="AU33" s="239"/>
      <c r="BA33" s="239"/>
      <c r="BB33" s="239"/>
      <c r="BC33" s="239"/>
      <c r="BD33" s="239"/>
      <c r="BE33" s="239"/>
      <c r="BF33" s="239"/>
      <c r="BG33" s="239"/>
    </row>
    <row r="34" spans="1:63" s="258" customFormat="1" ht="24" customHeight="1">
      <c r="A34" s="257"/>
      <c r="C34" s="260" t="s">
        <v>117</v>
      </c>
      <c r="E34" s="250"/>
      <c r="F34" s="259">
        <f>F31+F33</f>
        <v>3836304.44</v>
      </c>
      <c r="G34" s="251"/>
      <c r="H34" s="252"/>
      <c r="I34" s="253"/>
      <c r="J34" s="252"/>
      <c r="K34" s="252"/>
      <c r="L34" s="252"/>
      <c r="M34" s="251"/>
      <c r="N34" s="251"/>
      <c r="O34" s="251"/>
      <c r="P34" s="251"/>
      <c r="Q34" s="252"/>
      <c r="R34" s="259">
        <f>R31+R33</f>
        <v>3836304.44</v>
      </c>
      <c r="S34" s="259">
        <f>S31+S33</f>
        <v>4552531.4800000004</v>
      </c>
      <c r="T34" s="251"/>
      <c r="U34" s="251"/>
      <c r="V34" s="254"/>
      <c r="W34" s="254"/>
      <c r="X34" s="254"/>
      <c r="Y34" s="254"/>
      <c r="Z34" s="252"/>
      <c r="AA34" s="252"/>
      <c r="AB34" s="252"/>
      <c r="AC34" s="252"/>
      <c r="AD34" s="252"/>
      <c r="AE34" s="252"/>
      <c r="AF34" s="251"/>
      <c r="AG34" s="255"/>
      <c r="AH34" s="251"/>
      <c r="AI34" s="252"/>
      <c r="AJ34" s="251"/>
      <c r="AK34" s="252"/>
      <c r="AL34" s="252"/>
      <c r="AM34" s="259">
        <f>AM31+AM33</f>
        <v>6512506.5800000001</v>
      </c>
      <c r="AN34" s="259">
        <f>AN31+AN33</f>
        <v>7615153.8200000003</v>
      </c>
      <c r="AP34" s="257"/>
      <c r="AQ34" s="256"/>
      <c r="AS34" s="257"/>
      <c r="AT34" s="257"/>
      <c r="AU34" s="257"/>
      <c r="BA34" s="257"/>
      <c r="BB34" s="257"/>
      <c r="BC34" s="257"/>
      <c r="BD34" s="257"/>
      <c r="BE34" s="257"/>
      <c r="BF34" s="257"/>
      <c r="BG34" s="257"/>
    </row>
    <row r="35" spans="1:63" s="240" customFormat="1" ht="16.149999999999999" customHeight="1">
      <c r="A35" s="239"/>
      <c r="C35" s="248"/>
      <c r="E35" s="241"/>
      <c r="F35" s="249"/>
      <c r="G35" s="242"/>
      <c r="H35" s="243"/>
      <c r="I35" s="244"/>
      <c r="J35" s="243"/>
      <c r="K35" s="243"/>
      <c r="L35" s="243"/>
      <c r="M35" s="242"/>
      <c r="N35" s="242"/>
      <c r="O35" s="242"/>
      <c r="P35" s="242"/>
      <c r="Q35" s="243"/>
      <c r="R35" s="249"/>
      <c r="S35" s="249"/>
      <c r="T35" s="242"/>
      <c r="U35" s="242"/>
      <c r="V35" s="245"/>
      <c r="W35" s="245"/>
      <c r="X35" s="245"/>
      <c r="Y35" s="245"/>
      <c r="Z35" s="243"/>
      <c r="AA35" s="243"/>
      <c r="AB35" s="243"/>
      <c r="AC35" s="243"/>
      <c r="AD35" s="243"/>
      <c r="AE35" s="243"/>
      <c r="AF35" s="242"/>
      <c r="AG35" s="246"/>
      <c r="AH35" s="242"/>
      <c r="AI35" s="243"/>
      <c r="AJ35" s="242"/>
      <c r="AK35" s="243"/>
      <c r="AL35" s="243"/>
      <c r="AM35" s="242"/>
      <c r="AN35" s="242"/>
      <c r="AP35" s="239"/>
      <c r="AQ35" s="247"/>
      <c r="AS35" s="239"/>
      <c r="AT35" s="239"/>
      <c r="AU35" s="239"/>
      <c r="BA35" s="239"/>
      <c r="BB35" s="239"/>
      <c r="BC35" s="239"/>
      <c r="BD35" s="239"/>
      <c r="BE35" s="239"/>
      <c r="BF35" s="239"/>
      <c r="BG35" s="239"/>
    </row>
    <row r="36" spans="1:63" ht="16.149999999999999" customHeight="1">
      <c r="C36" s="19"/>
      <c r="D36" s="19"/>
      <c r="E36" s="2"/>
      <c r="F36" s="3"/>
      <c r="G36" s="3"/>
      <c r="H36" s="121"/>
      <c r="I36" s="23"/>
      <c r="J36" s="121"/>
      <c r="K36" s="121"/>
      <c r="L36" s="121"/>
      <c r="M36" s="3"/>
      <c r="N36" s="3"/>
      <c r="O36" s="4"/>
      <c r="P36" s="3"/>
      <c r="Q36" s="121"/>
      <c r="R36" s="4"/>
      <c r="S36" s="3"/>
      <c r="T36" s="3"/>
      <c r="U36" s="3"/>
      <c r="V36" s="227"/>
      <c r="W36" s="228"/>
      <c r="X36" s="197"/>
      <c r="Y36" s="197"/>
      <c r="Z36" s="121"/>
      <c r="AA36" s="121"/>
      <c r="AB36" s="121"/>
      <c r="AC36" s="121"/>
      <c r="AD36" s="121"/>
      <c r="AE36" s="121"/>
      <c r="AF36" s="3"/>
      <c r="AG36" s="11"/>
      <c r="AH36" s="3"/>
      <c r="AI36" s="121"/>
      <c r="AJ36" s="3"/>
      <c r="AK36" s="149"/>
      <c r="AL36" s="121"/>
      <c r="AM36" s="4"/>
      <c r="AN36" s="4"/>
      <c r="AQ36" s="131"/>
    </row>
    <row r="37" spans="1:63" s="118" customFormat="1" ht="16.149999999999999" hidden="1" customHeight="1">
      <c r="B37" s="119"/>
      <c r="C37" s="142"/>
      <c r="D37" s="182"/>
      <c r="H37" s="117"/>
      <c r="I37" s="142"/>
      <c r="J37" s="117"/>
      <c r="K37" s="117"/>
      <c r="L37" s="117"/>
      <c r="O37" s="117"/>
      <c r="Q37" s="117"/>
      <c r="R37" s="117"/>
      <c r="V37" s="225"/>
      <c r="W37" s="226"/>
      <c r="X37" s="196"/>
      <c r="Y37" s="196"/>
      <c r="Z37" s="117"/>
      <c r="AA37" s="117"/>
      <c r="AB37" s="117"/>
      <c r="AC37" s="117"/>
      <c r="AD37" s="117"/>
      <c r="AE37" s="117"/>
      <c r="AI37" s="117"/>
      <c r="AK37" s="217"/>
      <c r="AL37" s="117"/>
      <c r="AM37" s="117"/>
      <c r="AN37" s="117"/>
      <c r="AO37" s="108"/>
      <c r="AP37" s="108"/>
      <c r="AS37" s="117"/>
      <c r="AZ37" s="117"/>
      <c r="BA37" s="117"/>
      <c r="BB37" s="117"/>
      <c r="BC37" s="117"/>
      <c r="BD37" s="117"/>
      <c r="BE37" s="117"/>
      <c r="BF37" s="117"/>
      <c r="BG37" s="117"/>
      <c r="BK37" s="117"/>
    </row>
    <row r="38" spans="1:63" s="119" customFormat="1" ht="12.75" hidden="1">
      <c r="C38" s="143"/>
      <c r="D38" s="143"/>
      <c r="E38" s="156" t="s">
        <v>5</v>
      </c>
      <c r="F38" s="121">
        <f>'01.31.20'!R31</f>
        <v>3837879.44</v>
      </c>
      <c r="G38" s="121">
        <f>SUM(G12:G29)</f>
        <v>0</v>
      </c>
      <c r="H38" s="121">
        <f>F31+G31+P31</f>
        <v>3837879.44</v>
      </c>
      <c r="I38" s="144">
        <v>1</v>
      </c>
      <c r="J38" s="121"/>
      <c r="K38" s="121">
        <f>SUM(K12:K29)</f>
        <v>0</v>
      </c>
      <c r="L38" s="121">
        <f>SUM(L12:L29)</f>
        <v>0</v>
      </c>
      <c r="M38" s="121">
        <f>K31+L31</f>
        <v>0</v>
      </c>
      <c r="N38" s="121">
        <f>SUM(N12:N29)</f>
        <v>0</v>
      </c>
      <c r="O38" s="121">
        <f>SUM(O12:O29)</f>
        <v>0</v>
      </c>
      <c r="P38" s="121">
        <f>P31</f>
        <v>0</v>
      </c>
      <c r="Q38" s="121">
        <f>O31+P31</f>
        <v>0</v>
      </c>
      <c r="R38" s="121">
        <f>SUM(R12:R29)</f>
        <v>3837879.44</v>
      </c>
      <c r="S38" s="121">
        <f>SUM(S12:S29)</f>
        <v>4554106.4800000004</v>
      </c>
      <c r="T38" s="121">
        <f>'01.31.20'!AJ31</f>
        <v>2638906.0099999998</v>
      </c>
      <c r="U38" s="144">
        <v>1</v>
      </c>
      <c r="V38" s="229"/>
      <c r="W38" s="198"/>
      <c r="X38" s="121">
        <f t="shared" ref="X38:AE38" si="31">SUM(X12:X29)</f>
        <v>4652.92</v>
      </c>
      <c r="Y38" s="121">
        <f t="shared" si="31"/>
        <v>3661.77</v>
      </c>
      <c r="Z38" s="121">
        <f t="shared" si="31"/>
        <v>8314.69</v>
      </c>
      <c r="AA38" s="121">
        <f t="shared" si="31"/>
        <v>34253.22</v>
      </c>
      <c r="AB38" s="121">
        <f t="shared" si="31"/>
        <v>0</v>
      </c>
      <c r="AC38" s="121">
        <f t="shared" si="31"/>
        <v>0</v>
      </c>
      <c r="AD38" s="121">
        <f t="shared" si="31"/>
        <v>0</v>
      </c>
      <c r="AE38" s="121">
        <f t="shared" si="31"/>
        <v>-21</v>
      </c>
      <c r="AF38" s="121">
        <f>SUM(Z31:AE31)</f>
        <v>42546.91</v>
      </c>
      <c r="AG38" s="121">
        <f>SUM(AG12:AG29)</f>
        <v>-4900.78</v>
      </c>
      <c r="AH38" s="121">
        <f>SUM(AH12:AH29)</f>
        <v>-350</v>
      </c>
      <c r="AI38" s="121">
        <f>AG38+AH38</f>
        <v>-5250.78</v>
      </c>
      <c r="AJ38" s="121">
        <f>T31+AF31+AI31</f>
        <v>2676202.14</v>
      </c>
      <c r="AK38" s="149"/>
      <c r="AL38" s="121"/>
      <c r="AM38" s="121">
        <f>R31+AJ31</f>
        <v>6514081.5800000001</v>
      </c>
      <c r="AN38" s="121">
        <f>SUM(AN12:AN29)</f>
        <v>7616728.8200000003</v>
      </c>
      <c r="AO38" s="154" t="s">
        <v>55</v>
      </c>
      <c r="AP38" s="138"/>
      <c r="AR38" s="146">
        <f>G31</f>
        <v>0</v>
      </c>
      <c r="AS38" s="139"/>
      <c r="AT38" s="139"/>
      <c r="AU38" s="139"/>
      <c r="AV38" s="146">
        <f>M31</f>
        <v>0</v>
      </c>
      <c r="AW38" s="146">
        <f>N31</f>
        <v>0</v>
      </c>
      <c r="AX38" s="146">
        <f>O31</f>
        <v>0</v>
      </c>
      <c r="AY38" s="146">
        <f>P31</f>
        <v>0</v>
      </c>
      <c r="AZ38" s="146">
        <f>Q31</f>
        <v>0</v>
      </c>
      <c r="BA38" s="180"/>
      <c r="BB38" s="180"/>
      <c r="BC38" s="180"/>
      <c r="BD38" s="180"/>
      <c r="BE38" s="180"/>
      <c r="BF38" s="180"/>
      <c r="BG38" s="180"/>
      <c r="BH38" s="146">
        <f>AF31</f>
        <v>42546.91</v>
      </c>
      <c r="BI38" s="146">
        <f>AG31</f>
        <v>-4900.78</v>
      </c>
      <c r="BJ38" s="146">
        <f>AH31</f>
        <v>-350</v>
      </c>
      <c r="BK38" s="146">
        <f>AI31</f>
        <v>-5250.78</v>
      </c>
    </row>
    <row r="39" spans="1:63" s="119" customFormat="1" ht="12.75" hidden="1">
      <c r="C39" s="143"/>
      <c r="D39" s="143"/>
      <c r="E39" s="156"/>
      <c r="F39" s="121"/>
      <c r="G39" s="121"/>
      <c r="H39" s="121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47"/>
      <c r="V39" s="222"/>
      <c r="W39" s="199"/>
      <c r="X39" s="121"/>
      <c r="Y39" s="121"/>
      <c r="Z39" s="121"/>
      <c r="AA39" s="121"/>
      <c r="AB39" s="121"/>
      <c r="AC39" s="121"/>
      <c r="AD39" s="121"/>
      <c r="AE39" s="121"/>
      <c r="AF39" s="145"/>
      <c r="AG39" s="148"/>
      <c r="AH39" s="121"/>
      <c r="AI39" s="121"/>
      <c r="AJ39" s="121"/>
      <c r="AK39" s="149"/>
      <c r="AL39" s="121"/>
      <c r="AM39" s="121"/>
      <c r="AN39" s="121"/>
      <c r="AO39" s="153"/>
      <c r="AP39" s="109"/>
      <c r="AR39" s="140"/>
      <c r="AS39" s="140"/>
      <c r="AT39" s="140"/>
      <c r="AU39" s="140"/>
      <c r="AV39" s="140"/>
      <c r="AW39" s="140"/>
      <c r="AX39" s="140"/>
      <c r="AY39" s="140" t="s">
        <v>3</v>
      </c>
      <c r="AZ39" s="140"/>
      <c r="BH39" s="140"/>
      <c r="BI39" s="140"/>
      <c r="BJ39" s="140"/>
      <c r="BK39" s="140"/>
    </row>
    <row r="40" spans="1:63" s="119" customFormat="1" ht="12.75" hidden="1">
      <c r="B40" s="131"/>
      <c r="C40" s="143"/>
      <c r="D40" s="143"/>
      <c r="E40" s="156"/>
      <c r="F40" s="121"/>
      <c r="G40" s="121"/>
      <c r="H40" s="121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47"/>
      <c r="V40" s="222"/>
      <c r="W40" s="199"/>
      <c r="X40" s="121"/>
      <c r="Y40" s="121"/>
      <c r="Z40" s="121"/>
      <c r="AA40" s="121"/>
      <c r="AB40" s="121"/>
      <c r="AC40" s="121"/>
      <c r="AD40" s="121"/>
      <c r="AE40" s="121"/>
      <c r="AF40" s="145"/>
      <c r="AG40" s="148"/>
      <c r="AH40" s="121"/>
      <c r="AI40" s="121"/>
      <c r="AJ40" s="121"/>
      <c r="AK40" s="149"/>
      <c r="AL40" s="121"/>
      <c r="AM40" s="121"/>
      <c r="AN40" s="121"/>
      <c r="AO40" s="153" t="s">
        <v>56</v>
      </c>
      <c r="AP40" s="109"/>
      <c r="AR40" s="149">
        <f>AR31-AR38</f>
        <v>0</v>
      </c>
      <c r="AS40" s="140"/>
      <c r="AT40" s="140"/>
      <c r="AU40" s="140"/>
      <c r="AV40" s="149">
        <f t="shared" ref="AV40:AZ40" si="32">AV31-AV38</f>
        <v>133671.19</v>
      </c>
      <c r="AW40" s="149">
        <f t="shared" si="32"/>
        <v>0</v>
      </c>
      <c r="AX40" s="149">
        <f t="shared" si="32"/>
        <v>0</v>
      </c>
      <c r="AY40" s="149">
        <f t="shared" si="32"/>
        <v>0</v>
      </c>
      <c r="AZ40" s="149">
        <f t="shared" si="32"/>
        <v>0</v>
      </c>
      <c r="BH40" s="149">
        <f t="shared" ref="BH40:BK40" si="33">BH31-BH38</f>
        <v>241281.19</v>
      </c>
      <c r="BI40" s="149">
        <f t="shared" si="33"/>
        <v>-32482.560000000001</v>
      </c>
      <c r="BJ40" s="149">
        <f t="shared" si="33"/>
        <v>-12264.83</v>
      </c>
      <c r="BK40" s="149">
        <f t="shared" si="33"/>
        <v>-44747.39</v>
      </c>
    </row>
    <row r="41" spans="1:63" s="118" customFormat="1" hidden="1">
      <c r="B41" s="109"/>
      <c r="C41" s="132"/>
      <c r="D41" s="132"/>
      <c r="E41" s="157"/>
      <c r="F41" s="145"/>
      <c r="G41" s="145"/>
      <c r="H41" s="121"/>
      <c r="I41" s="150"/>
      <c r="J41" s="121"/>
      <c r="K41" s="121"/>
      <c r="L41" s="121"/>
      <c r="M41" s="145"/>
      <c r="N41" s="145"/>
      <c r="O41" s="121"/>
      <c r="P41" s="145"/>
      <c r="Q41" s="121"/>
      <c r="R41" s="121"/>
      <c r="S41" s="145"/>
      <c r="T41" s="145"/>
      <c r="U41" s="150"/>
      <c r="V41" s="222"/>
      <c r="W41" s="199"/>
      <c r="X41" s="121"/>
      <c r="Y41" s="121"/>
      <c r="Z41" s="121"/>
      <c r="AA41" s="121"/>
      <c r="AB41" s="121"/>
      <c r="AC41" s="121"/>
      <c r="AD41" s="121"/>
      <c r="AE41" s="121"/>
      <c r="AF41" s="145"/>
      <c r="AG41" s="151"/>
      <c r="AH41" s="145"/>
      <c r="AI41" s="121"/>
      <c r="AJ41" s="145"/>
      <c r="AK41" s="149"/>
      <c r="AL41" s="121"/>
      <c r="AM41" s="121"/>
      <c r="AN41" s="121"/>
      <c r="AO41" s="155" t="s">
        <v>57</v>
      </c>
      <c r="AP41" s="108"/>
      <c r="AQ41" s="131"/>
      <c r="AR41" s="141">
        <f>'01.31.20'!AR31</f>
        <v>0</v>
      </c>
      <c r="AS41" s="141"/>
      <c r="AT41" s="141"/>
      <c r="AU41" s="141"/>
      <c r="AV41" s="141">
        <f>'01.31.20'!AV31</f>
        <v>133671.19</v>
      </c>
      <c r="AW41" s="141">
        <f>'01.31.20'!AW31</f>
        <v>0</v>
      </c>
      <c r="AX41" s="141">
        <f>'01.31.20'!AX31</f>
        <v>0</v>
      </c>
      <c r="AY41" s="141">
        <f>'01.31.20'!AY31</f>
        <v>0</v>
      </c>
      <c r="AZ41" s="141">
        <f>'01.31.20'!AZ31</f>
        <v>0</v>
      </c>
      <c r="BA41" s="181"/>
      <c r="BB41" s="181"/>
      <c r="BC41" s="181"/>
      <c r="BD41" s="181"/>
      <c r="BE41" s="181"/>
      <c r="BF41" s="181"/>
      <c r="BG41" s="181"/>
      <c r="BH41" s="141">
        <f>'01.31.20'!BH31</f>
        <v>241281.19</v>
      </c>
      <c r="BI41" s="141">
        <f>'01.31.20'!BI31</f>
        <v>-32482.560000000001</v>
      </c>
      <c r="BJ41" s="141">
        <f>'01.31.20'!BJ31</f>
        <v>-12264.83</v>
      </c>
      <c r="BK41" s="141">
        <f>'01.31.20'!BK31</f>
        <v>-44747.39</v>
      </c>
    </row>
    <row r="42" spans="1:63" s="298" customFormat="1" hidden="1">
      <c r="C42" s="299"/>
      <c r="D42" s="299"/>
      <c r="E42" s="300" t="s">
        <v>54</v>
      </c>
      <c r="F42" s="298">
        <f>F31-F38</f>
        <v>0</v>
      </c>
      <c r="G42" s="298">
        <f>G31-G38</f>
        <v>0</v>
      </c>
      <c r="H42" s="298">
        <f>H31-H38</f>
        <v>0</v>
      </c>
      <c r="I42" s="301">
        <f>I31-I38</f>
        <v>0</v>
      </c>
      <c r="J42" s="302"/>
      <c r="K42" s="298">
        <f t="shared" ref="K42:S42" si="34">K31-K38</f>
        <v>0</v>
      </c>
      <c r="L42" s="298">
        <f t="shared" si="34"/>
        <v>0</v>
      </c>
      <c r="M42" s="298">
        <f t="shared" si="34"/>
        <v>0</v>
      </c>
      <c r="N42" s="298">
        <f t="shared" si="34"/>
        <v>0</v>
      </c>
      <c r="O42" s="298">
        <f t="shared" si="34"/>
        <v>0</v>
      </c>
      <c r="P42" s="298">
        <f t="shared" si="34"/>
        <v>0</v>
      </c>
      <c r="Q42" s="298">
        <f t="shared" si="34"/>
        <v>0</v>
      </c>
      <c r="R42" s="298">
        <f t="shared" si="34"/>
        <v>0</v>
      </c>
      <c r="S42" s="298">
        <f t="shared" si="34"/>
        <v>0</v>
      </c>
      <c r="T42" s="298">
        <f>T31-T38</f>
        <v>0</v>
      </c>
      <c r="U42" s="298">
        <f>U31-U38</f>
        <v>0</v>
      </c>
      <c r="V42" s="303"/>
      <c r="W42" s="302"/>
      <c r="X42" s="298">
        <f t="shared" ref="X42:AN42" si="35">X31-X38</f>
        <v>0</v>
      </c>
      <c r="Y42" s="298">
        <f t="shared" si="35"/>
        <v>0</v>
      </c>
      <c r="Z42" s="298">
        <f t="shared" si="35"/>
        <v>0</v>
      </c>
      <c r="AA42" s="298">
        <f t="shared" si="35"/>
        <v>0</v>
      </c>
      <c r="AB42" s="298">
        <f t="shared" si="35"/>
        <v>0</v>
      </c>
      <c r="AC42" s="298">
        <f t="shared" si="35"/>
        <v>0</v>
      </c>
      <c r="AD42" s="298">
        <f t="shared" si="35"/>
        <v>0</v>
      </c>
      <c r="AE42" s="298">
        <f t="shared" si="35"/>
        <v>0</v>
      </c>
      <c r="AF42" s="298">
        <f t="shared" si="35"/>
        <v>0</v>
      </c>
      <c r="AG42" s="298">
        <f>AG31-AG38</f>
        <v>0</v>
      </c>
      <c r="AH42" s="298">
        <f>AH31-AH38</f>
        <v>0</v>
      </c>
      <c r="AI42" s="298">
        <f t="shared" si="35"/>
        <v>0</v>
      </c>
      <c r="AJ42" s="298">
        <f t="shared" si="35"/>
        <v>0</v>
      </c>
      <c r="AK42" s="303"/>
      <c r="AL42" s="302"/>
      <c r="AM42" s="298">
        <f t="shared" si="35"/>
        <v>0</v>
      </c>
      <c r="AN42" s="298">
        <f t="shared" si="35"/>
        <v>0</v>
      </c>
      <c r="AO42" s="300" t="s">
        <v>6</v>
      </c>
      <c r="AR42" s="298">
        <f>AR40-AR41</f>
        <v>0</v>
      </c>
      <c r="AV42" s="298">
        <f t="shared" ref="AV42:AZ42" si="36">AV40-AV41</f>
        <v>0</v>
      </c>
      <c r="AW42" s="298">
        <f t="shared" si="36"/>
        <v>0</v>
      </c>
      <c r="AX42" s="298">
        <f t="shared" si="36"/>
        <v>0</v>
      </c>
      <c r="AY42" s="298">
        <f t="shared" si="36"/>
        <v>0</v>
      </c>
      <c r="AZ42" s="298">
        <f t="shared" si="36"/>
        <v>0</v>
      </c>
      <c r="BA42" s="302"/>
      <c r="BB42" s="302"/>
      <c r="BC42" s="302"/>
      <c r="BD42" s="302"/>
      <c r="BE42" s="302"/>
      <c r="BF42" s="302"/>
      <c r="BG42" s="302"/>
      <c r="BH42" s="298">
        <f t="shared" ref="BH42:BK42" si="37">BH40-BH41</f>
        <v>0</v>
      </c>
      <c r="BI42" s="298">
        <f t="shared" si="37"/>
        <v>0</v>
      </c>
      <c r="BJ42" s="298">
        <f t="shared" si="37"/>
        <v>0</v>
      </c>
      <c r="BK42" s="298">
        <f t="shared" si="37"/>
        <v>0</v>
      </c>
    </row>
    <row r="43" spans="1:63" s="298" customFormat="1" hidden="1">
      <c r="C43" s="299"/>
      <c r="D43" s="299"/>
      <c r="E43" s="300"/>
      <c r="I43" s="301"/>
      <c r="J43" s="302"/>
      <c r="V43" s="303"/>
      <c r="W43" s="302"/>
      <c r="AK43" s="303"/>
      <c r="AL43" s="302"/>
      <c r="AO43" s="300"/>
      <c r="BA43" s="302"/>
      <c r="BC43" s="302"/>
      <c r="BD43" s="302"/>
      <c r="BE43" s="302"/>
      <c r="BF43" s="302"/>
      <c r="BG43" s="302"/>
    </row>
    <row r="44" spans="1:63" s="118" customFormat="1" hidden="1">
      <c r="C44" s="132"/>
      <c r="D44" s="132"/>
      <c r="E44" s="131"/>
      <c r="F44" s="145"/>
      <c r="G44" s="145"/>
      <c r="H44" s="121"/>
      <c r="I44" s="152"/>
      <c r="J44" s="121"/>
      <c r="K44" s="121"/>
      <c r="L44" s="121"/>
      <c r="M44" s="145"/>
      <c r="N44" s="145"/>
      <c r="O44" s="121"/>
      <c r="P44" s="145"/>
      <c r="Q44" s="121"/>
      <c r="R44" s="121"/>
      <c r="S44" s="145"/>
      <c r="T44" s="145"/>
      <c r="U44" s="145"/>
      <c r="V44" s="227"/>
      <c r="W44" s="228"/>
      <c r="X44" s="197"/>
      <c r="Y44" s="197"/>
      <c r="Z44" s="121"/>
      <c r="AA44" s="121"/>
      <c r="AB44" s="121"/>
      <c r="AC44" s="121"/>
      <c r="AD44" s="121"/>
      <c r="AE44" s="121"/>
      <c r="AF44" s="145"/>
      <c r="AG44" s="151"/>
      <c r="AH44" s="145"/>
      <c r="AI44" s="121"/>
      <c r="AJ44" s="145"/>
      <c r="AK44" s="149"/>
      <c r="AL44" s="293" t="s">
        <v>125</v>
      </c>
      <c r="AM44" s="293" t="s">
        <v>133</v>
      </c>
      <c r="AN44" s="293" t="s">
        <v>130</v>
      </c>
      <c r="AO44" s="309" t="s">
        <v>131</v>
      </c>
      <c r="AP44" s="108"/>
      <c r="AQ44" s="131"/>
      <c r="AS44" s="117"/>
      <c r="AZ44" s="117"/>
      <c r="BA44" s="117"/>
      <c r="BB44" s="117"/>
      <c r="BC44" s="117"/>
      <c r="BD44" s="117"/>
      <c r="BE44" s="117"/>
      <c r="BF44" s="117"/>
      <c r="BG44" s="117"/>
      <c r="BK44" s="117"/>
    </row>
    <row r="45" spans="1:63" s="118" customFormat="1" hidden="1">
      <c r="B45" s="131"/>
      <c r="C45" s="132"/>
      <c r="D45" s="132"/>
      <c r="E45" s="131"/>
      <c r="F45" s="145"/>
      <c r="G45" s="145"/>
      <c r="H45" s="121"/>
      <c r="I45" s="152"/>
      <c r="J45" s="121"/>
      <c r="K45" s="121"/>
      <c r="L45" s="121"/>
      <c r="M45" s="145"/>
      <c r="N45" s="145"/>
      <c r="O45" s="121"/>
      <c r="P45" s="145"/>
      <c r="Q45" s="121"/>
      <c r="R45" s="121"/>
      <c r="S45" s="145"/>
      <c r="T45" s="145"/>
      <c r="U45" s="145"/>
      <c r="V45" s="227"/>
      <c r="W45" s="228"/>
      <c r="X45" s="197"/>
      <c r="Y45" s="197"/>
      <c r="Z45" s="121"/>
      <c r="AA45" s="121"/>
      <c r="AB45" s="121"/>
      <c r="AC45" s="121"/>
      <c r="AD45" s="121"/>
      <c r="AE45" s="121"/>
      <c r="AF45" s="145"/>
      <c r="AG45" s="151"/>
      <c r="AH45" s="310" t="s">
        <v>134</v>
      </c>
      <c r="AI45" s="121"/>
      <c r="AJ45" s="145"/>
      <c r="AK45" s="287" t="s">
        <v>121</v>
      </c>
      <c r="AL45" s="289">
        <v>3836304.44</v>
      </c>
      <c r="AM45" s="289"/>
      <c r="AN45" s="289">
        <v>4552531.4800000004</v>
      </c>
      <c r="AO45" s="307">
        <f>AN45-AL45</f>
        <v>716227.04</v>
      </c>
      <c r="AP45" s="108"/>
      <c r="AQ45" s="131"/>
      <c r="AS45" s="117"/>
      <c r="AZ45" s="117"/>
      <c r="BA45" s="117"/>
      <c r="BB45" s="117"/>
      <c r="BC45" s="117"/>
      <c r="BD45" s="117"/>
      <c r="BE45" s="117"/>
      <c r="BF45" s="117"/>
      <c r="BG45" s="117"/>
      <c r="BK45" s="117"/>
    </row>
    <row r="46" spans="1:63" s="118" customFormat="1" hidden="1">
      <c r="C46" s="142"/>
      <c r="D46" s="142"/>
      <c r="H46" s="117"/>
      <c r="I46" s="142"/>
      <c r="J46" s="117"/>
      <c r="K46" s="117"/>
      <c r="L46" s="117"/>
      <c r="O46" s="117"/>
      <c r="Q46" s="117"/>
      <c r="R46" s="117"/>
      <c r="V46" s="225"/>
      <c r="W46" s="226"/>
      <c r="X46" s="196"/>
      <c r="Y46" s="196"/>
      <c r="Z46" s="117"/>
      <c r="AA46" s="117"/>
      <c r="AB46" s="117"/>
      <c r="AC46" s="117"/>
      <c r="AD46" s="117"/>
      <c r="AE46" s="117"/>
      <c r="AI46" s="117"/>
      <c r="AK46" s="288" t="s">
        <v>122</v>
      </c>
      <c r="AL46" s="294">
        <v>0</v>
      </c>
      <c r="AM46" s="289">
        <f>AL45+AL46</f>
        <v>3836304.44</v>
      </c>
      <c r="AN46" s="289">
        <v>0</v>
      </c>
      <c r="AO46" s="307"/>
      <c r="AP46" s="108"/>
      <c r="AS46" s="117"/>
      <c r="AZ46" s="117"/>
      <c r="BA46" s="117"/>
      <c r="BB46" s="117"/>
      <c r="BC46" s="117"/>
      <c r="BD46" s="117"/>
      <c r="BE46" s="117"/>
      <c r="BF46" s="117"/>
      <c r="BG46" s="117"/>
      <c r="BK46" s="117"/>
    </row>
    <row r="47" spans="1:63" s="118" customFormat="1" ht="15.75" hidden="1">
      <c r="C47" s="142"/>
      <c r="D47" s="142"/>
      <c r="H47" s="117"/>
      <c r="I47" s="142"/>
      <c r="J47" s="117"/>
      <c r="K47" s="117"/>
      <c r="L47" s="117"/>
      <c r="O47" s="117"/>
      <c r="Q47" s="117"/>
      <c r="R47" s="117"/>
      <c r="V47" s="225"/>
      <c r="W47" s="226"/>
      <c r="X47" s="196"/>
      <c r="Y47" s="196"/>
      <c r="Z47" s="117"/>
      <c r="AA47" s="117"/>
      <c r="AB47" s="117"/>
      <c r="AC47" s="117"/>
      <c r="AD47" s="117"/>
      <c r="AE47" s="117"/>
      <c r="AI47" s="117"/>
      <c r="AK47" s="291"/>
      <c r="AM47" s="289"/>
      <c r="AN47" s="289"/>
      <c r="AO47" s="307"/>
      <c r="AP47" s="108"/>
      <c r="AS47" s="117"/>
      <c r="AZ47" s="117"/>
      <c r="BA47" s="117"/>
      <c r="BB47" s="117"/>
      <c r="BC47" s="117"/>
      <c r="BD47" s="117"/>
      <c r="BE47" s="117"/>
      <c r="BF47" s="117"/>
      <c r="BG47" s="117"/>
      <c r="BK47" s="117"/>
    </row>
    <row r="48" spans="1:63" s="118" customFormat="1" hidden="1">
      <c r="C48" s="142"/>
      <c r="D48" s="142"/>
      <c r="H48" s="117"/>
      <c r="I48" s="142"/>
      <c r="J48" s="117"/>
      <c r="K48" s="117"/>
      <c r="L48" s="117"/>
      <c r="O48" s="117"/>
      <c r="Q48" s="117"/>
      <c r="R48" s="117"/>
      <c r="V48" s="225"/>
      <c r="W48" s="226"/>
      <c r="X48" s="196"/>
      <c r="Y48" s="196"/>
      <c r="Z48" s="117"/>
      <c r="AA48" s="117"/>
      <c r="AB48" s="117"/>
      <c r="AC48" s="117"/>
      <c r="AD48" s="117"/>
      <c r="AE48" s="117"/>
      <c r="AI48" s="117"/>
      <c r="AK48" s="288" t="s">
        <v>123</v>
      </c>
      <c r="AL48" s="289">
        <v>2676202.14</v>
      </c>
      <c r="AM48" s="289"/>
      <c r="AN48" s="289"/>
      <c r="AO48" s="307"/>
      <c r="AP48" s="108"/>
      <c r="AS48" s="117"/>
      <c r="AZ48" s="117"/>
      <c r="BA48" s="117"/>
      <c r="BB48" s="117"/>
      <c r="BC48" s="117"/>
      <c r="BD48" s="117"/>
      <c r="BE48" s="117"/>
      <c r="BF48" s="117"/>
      <c r="BG48" s="117"/>
      <c r="BK48" s="117"/>
    </row>
    <row r="49" spans="3:63" s="118" customFormat="1" hidden="1">
      <c r="C49" s="142"/>
      <c r="D49" s="142"/>
      <c r="H49" s="117"/>
      <c r="I49" s="142"/>
      <c r="J49" s="117"/>
      <c r="K49" s="117"/>
      <c r="L49" s="117"/>
      <c r="O49" s="117"/>
      <c r="Q49" s="117"/>
      <c r="R49" s="117"/>
      <c r="V49" s="225"/>
      <c r="W49" s="226"/>
      <c r="X49" s="196"/>
      <c r="Y49" s="196"/>
      <c r="Z49" s="117"/>
      <c r="AA49" s="117"/>
      <c r="AB49" s="117"/>
      <c r="AC49" s="117"/>
      <c r="AD49" s="117"/>
      <c r="AE49" s="117"/>
      <c r="AI49" s="117"/>
      <c r="AK49" s="288" t="s">
        <v>124</v>
      </c>
      <c r="AL49" s="294">
        <v>0</v>
      </c>
      <c r="AM49" s="290">
        <f>AL48+AL49</f>
        <v>2676202.14</v>
      </c>
      <c r="AN49" s="290">
        <v>3062622.34</v>
      </c>
      <c r="AO49" s="307">
        <f>AN49-AM49</f>
        <v>386420.2</v>
      </c>
      <c r="AP49" s="108"/>
      <c r="AS49" s="117"/>
      <c r="AZ49" s="117"/>
      <c r="BA49" s="117"/>
      <c r="BB49" s="117"/>
      <c r="BC49" s="117"/>
      <c r="BD49" s="117"/>
      <c r="BE49" s="117"/>
      <c r="BF49" s="117"/>
      <c r="BG49" s="117"/>
      <c r="BK49" s="117"/>
    </row>
    <row r="50" spans="3:63" s="118" customFormat="1" ht="15.75" hidden="1">
      <c r="C50" s="142"/>
      <c r="D50" s="142"/>
      <c r="H50" s="117"/>
      <c r="I50" s="142"/>
      <c r="J50" s="117"/>
      <c r="K50" s="117"/>
      <c r="L50" s="117"/>
      <c r="O50" s="117"/>
      <c r="Q50" s="117"/>
      <c r="R50" s="117"/>
      <c r="V50" s="225"/>
      <c r="W50" s="226"/>
      <c r="X50" s="196"/>
      <c r="Y50" s="196"/>
      <c r="Z50" s="117"/>
      <c r="AA50" s="117"/>
      <c r="AB50" s="117"/>
      <c r="AC50" s="117"/>
      <c r="AD50" s="117"/>
      <c r="AE50" s="117"/>
      <c r="AI50" s="117"/>
      <c r="AK50" s="292"/>
      <c r="AM50" s="117"/>
      <c r="AN50" s="117"/>
      <c r="AO50" s="217"/>
      <c r="AP50" s="108"/>
      <c r="AS50" s="117"/>
      <c r="AZ50" s="117"/>
      <c r="BA50" s="117"/>
      <c r="BB50" s="117"/>
      <c r="BC50" s="117"/>
      <c r="BD50" s="117"/>
      <c r="BE50" s="117"/>
      <c r="BF50" s="117"/>
      <c r="BG50" s="117"/>
      <c r="BK50" s="117"/>
    </row>
    <row r="51" spans="3:63" s="118" customFormat="1" hidden="1">
      <c r="C51" s="142"/>
      <c r="D51" s="142"/>
      <c r="H51" s="117"/>
      <c r="I51" s="142"/>
      <c r="J51" s="117"/>
      <c r="K51" s="117"/>
      <c r="L51" s="117"/>
      <c r="O51" s="117"/>
      <c r="Q51" s="117"/>
      <c r="R51" s="117"/>
      <c r="V51" s="225"/>
      <c r="W51" s="226"/>
      <c r="X51" s="196"/>
      <c r="Y51" s="196"/>
      <c r="Z51" s="117"/>
      <c r="AA51" s="117"/>
      <c r="AB51" s="117"/>
      <c r="AC51" s="117"/>
      <c r="AD51" s="117"/>
      <c r="AE51" s="117"/>
      <c r="AI51" s="117"/>
      <c r="AK51" s="288" t="s">
        <v>126</v>
      </c>
      <c r="AL51" s="159"/>
      <c r="AM51" s="296">
        <f>AM46+AM49</f>
        <v>6512506.5800000001</v>
      </c>
      <c r="AN51" s="296">
        <f>AN45+AN46+AN49</f>
        <v>7615153.8200000003</v>
      </c>
      <c r="AO51" s="308">
        <f>AO45+AO46+AO49</f>
        <v>1102647.24</v>
      </c>
      <c r="AP51" s="108"/>
      <c r="AS51" s="117"/>
      <c r="AZ51" s="117"/>
      <c r="BA51" s="117"/>
      <c r="BB51" s="117"/>
      <c r="BC51" s="117"/>
      <c r="BD51" s="117"/>
      <c r="BE51" s="117"/>
      <c r="BF51" s="117"/>
      <c r="BG51" s="117"/>
      <c r="BK51" s="117"/>
    </row>
    <row r="52" spans="3:63" s="118" customFormat="1" hidden="1">
      <c r="C52" s="142"/>
      <c r="D52" s="142"/>
      <c r="H52" s="117"/>
      <c r="I52" s="142"/>
      <c r="J52" s="117"/>
      <c r="K52" s="117"/>
      <c r="L52" s="117"/>
      <c r="O52" s="117"/>
      <c r="Q52" s="117"/>
      <c r="R52" s="117"/>
      <c r="V52" s="225"/>
      <c r="W52" s="226"/>
      <c r="X52" s="196"/>
      <c r="Y52" s="196"/>
      <c r="Z52" s="117"/>
      <c r="AA52" s="117"/>
      <c r="AB52" s="117"/>
      <c r="AC52" s="117"/>
      <c r="AD52" s="117"/>
      <c r="AE52" s="117"/>
      <c r="AI52" s="117"/>
      <c r="AK52" s="295" t="s">
        <v>6</v>
      </c>
      <c r="AL52" s="159"/>
      <c r="AM52" s="297">
        <f>AM34-AM51</f>
        <v>0</v>
      </c>
      <c r="AN52" s="297">
        <f>AN34-AN51</f>
        <v>0</v>
      </c>
      <c r="AO52" s="108"/>
      <c r="AP52" s="108"/>
      <c r="AS52" s="117"/>
      <c r="AZ52" s="117"/>
      <c r="BA52" s="117"/>
      <c r="BB52" s="117"/>
      <c r="BC52" s="117"/>
      <c r="BD52" s="117"/>
      <c r="BE52" s="117"/>
      <c r="BF52" s="117"/>
      <c r="BG52" s="117"/>
      <c r="BK52" s="117"/>
    </row>
    <row r="53" spans="3:63" s="118" customFormat="1" hidden="1">
      <c r="C53" s="142"/>
      <c r="D53" s="142"/>
      <c r="H53" s="117"/>
      <c r="I53" s="142"/>
      <c r="J53" s="117"/>
      <c r="K53" s="117"/>
      <c r="L53" s="117"/>
      <c r="O53" s="117"/>
      <c r="Q53" s="117"/>
      <c r="R53" s="117"/>
      <c r="V53" s="225"/>
      <c r="W53" s="226"/>
      <c r="X53" s="196"/>
      <c r="Y53" s="196"/>
      <c r="Z53" s="117"/>
      <c r="AA53" s="117"/>
      <c r="AB53" s="117"/>
      <c r="AC53" s="117"/>
      <c r="AD53" s="117"/>
      <c r="AE53" s="117"/>
      <c r="AI53" s="117"/>
      <c r="AK53" s="286"/>
      <c r="AL53" s="159"/>
      <c r="AM53" s="159"/>
      <c r="AN53" s="117"/>
      <c r="AO53" s="108"/>
      <c r="AP53" s="108"/>
      <c r="AS53" s="117"/>
      <c r="AZ53" s="117"/>
      <c r="BA53" s="117"/>
      <c r="BB53" s="117"/>
      <c r="BC53" s="117"/>
      <c r="BD53" s="117"/>
      <c r="BE53" s="117"/>
      <c r="BF53" s="117"/>
      <c r="BG53" s="117"/>
      <c r="BK53" s="117"/>
    </row>
    <row r="54" spans="3:63" s="118" customFormat="1" hidden="1">
      <c r="C54" s="142"/>
      <c r="D54" s="142"/>
      <c r="H54" s="117"/>
      <c r="I54" s="142"/>
      <c r="J54" s="117"/>
      <c r="K54" s="117"/>
      <c r="L54" s="117"/>
      <c r="O54" s="117"/>
      <c r="Q54" s="117"/>
      <c r="R54" s="117"/>
      <c r="V54" s="225"/>
      <c r="W54" s="226"/>
      <c r="X54" s="196"/>
      <c r="Y54" s="196"/>
      <c r="Z54" s="117"/>
      <c r="AA54" s="117"/>
      <c r="AB54" s="117"/>
      <c r="AC54" s="117"/>
      <c r="AD54" s="117"/>
      <c r="AE54" s="117"/>
      <c r="AI54" s="117"/>
      <c r="AK54" s="286"/>
      <c r="AL54" s="159"/>
      <c r="AM54" s="159"/>
      <c r="AN54" s="117"/>
      <c r="AO54" s="108"/>
      <c r="AP54" s="108"/>
      <c r="AS54" s="117"/>
      <c r="AZ54" s="117"/>
      <c r="BA54" s="117"/>
      <c r="BB54" s="117"/>
      <c r="BC54" s="117"/>
      <c r="BD54" s="117"/>
      <c r="BE54" s="117"/>
      <c r="BF54" s="117"/>
      <c r="BG54" s="117"/>
      <c r="BK54" s="117"/>
    </row>
    <row r="55" spans="3:63" s="118" customFormat="1" hidden="1">
      <c r="C55" s="142"/>
      <c r="D55" s="142"/>
      <c r="H55" s="117"/>
      <c r="I55" s="142"/>
      <c r="J55" s="117"/>
      <c r="K55" s="117"/>
      <c r="L55" s="117"/>
      <c r="O55" s="117"/>
      <c r="Q55" s="117"/>
      <c r="R55" s="117"/>
      <c r="V55" s="225"/>
      <c r="W55" s="226"/>
      <c r="X55" s="196"/>
      <c r="Y55" s="196"/>
      <c r="Z55" s="117"/>
      <c r="AA55" s="117"/>
      <c r="AB55" s="117"/>
      <c r="AC55" s="117"/>
      <c r="AD55" s="117"/>
      <c r="AE55" s="117"/>
      <c r="AI55" s="117"/>
      <c r="AK55" s="217"/>
      <c r="AL55" s="117"/>
      <c r="AM55" s="117"/>
      <c r="AN55" s="117"/>
      <c r="AO55" s="108"/>
      <c r="AP55" s="108"/>
      <c r="AS55" s="117"/>
      <c r="AZ55" s="117"/>
      <c r="BA55" s="117"/>
      <c r="BB55" s="117"/>
      <c r="BC55" s="117"/>
      <c r="BD55" s="117"/>
      <c r="BE55" s="117"/>
      <c r="BF55" s="117"/>
      <c r="BG55" s="117"/>
      <c r="BK55" s="117"/>
    </row>
  </sheetData>
  <mergeCells count="3">
    <mergeCell ref="F8:S8"/>
    <mergeCell ref="T8:AJ8"/>
    <mergeCell ref="AR8:BK8"/>
  </mergeCells>
  <dataValidations count="1">
    <dataValidation type="list" allowBlank="1" showInputMessage="1" showErrorMessage="1" sqref="C29">
      <formula1>Purpose</formula1>
    </dataValidation>
  </dataValidations>
  <pageMargins left="0.1" right="0.1" top="1" bottom="1" header="0.5" footer="0.5"/>
  <pageSetup scale="51" fitToHeight="0" orientation="landscape" cellComments="atEnd" r:id="rId1"/>
  <headerFooter alignWithMargins="0">
    <oddFooter>&amp;CMS 9&amp;RPrpared By Wealth Management Operations
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Purpose!$A$3:$A$25</xm:f>
          </x14:formula1>
          <xm:sqref>C12:C28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06.30.19</vt:lpstr>
      <vt:lpstr>07.31.19</vt:lpstr>
      <vt:lpstr>08.31.19</vt:lpstr>
      <vt:lpstr>09.30.19</vt:lpstr>
      <vt:lpstr>10.31.19</vt:lpstr>
      <vt:lpstr>11.30.19</vt:lpstr>
      <vt:lpstr>12.31.19</vt:lpstr>
      <vt:lpstr>01.31.20</vt:lpstr>
      <vt:lpstr>02.29.20</vt:lpstr>
      <vt:lpstr>03.31.20</vt:lpstr>
      <vt:lpstr>04.30.20</vt:lpstr>
      <vt:lpstr>05.31.20</vt:lpstr>
      <vt:lpstr>06.30.20</vt:lpstr>
      <vt:lpstr>Perpetual Care</vt:lpstr>
      <vt:lpstr>Multi</vt:lpstr>
      <vt:lpstr>Purpose</vt:lpstr>
      <vt:lpstr>'01.31.20'!Print_Area</vt:lpstr>
      <vt:lpstr>'02.29.20'!Print_Area</vt:lpstr>
      <vt:lpstr>'03.31.20'!Print_Area</vt:lpstr>
      <vt:lpstr>'04.30.20'!Print_Area</vt:lpstr>
      <vt:lpstr>'05.31.20'!Print_Area</vt:lpstr>
      <vt:lpstr>'06.30.19'!Print_Area</vt:lpstr>
      <vt:lpstr>'06.30.20'!Print_Area</vt:lpstr>
      <vt:lpstr>'07.31.19'!Print_Area</vt:lpstr>
      <vt:lpstr>'08.31.19'!Print_Area</vt:lpstr>
      <vt:lpstr>'09.30.19'!Print_Area</vt:lpstr>
      <vt:lpstr>'10.31.19'!Print_Area</vt:lpstr>
      <vt:lpstr>'11.30.19'!Print_Area</vt:lpstr>
      <vt:lpstr>'12.31.19'!Print_Area</vt:lpstr>
      <vt:lpstr>Purpose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FFG</dc:creator>
  <cp:lastModifiedBy>Becky Thompson</cp:lastModifiedBy>
  <cp:lastPrinted>2018-03-05T15:40:16Z</cp:lastPrinted>
  <dcterms:created xsi:type="dcterms:W3CDTF">2001-07-27T19:06:33Z</dcterms:created>
  <dcterms:modified xsi:type="dcterms:W3CDTF">2021-07-29T16:19:23Z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