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55" activeTab="0"/>
  </bookViews>
  <sheets>
    <sheet name="revenue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bos38" localSheetId="0">'[3]15-library'!#REF!</definedName>
    <definedName name="_mgr38" localSheetId="0">'[3]15-library'!#REF!</definedName>
    <definedName name="_Order1" hidden="1">255</definedName>
    <definedName name="_Order2" hidden="1">255</definedName>
    <definedName name="aaa">'[4]15-library'!#REF!</definedName>
    <definedName name="actual" localSheetId="0">'[3]15-library'!#REF!</definedName>
    <definedName name="actual38" localSheetId="0">'[3]15-library'!#REF!</definedName>
    <definedName name="bbb">'[4]15-library'!#REF!</definedName>
    <definedName name="bos" localSheetId="0">'[3]15-library'!#REF!</definedName>
    <definedName name="budcom" localSheetId="0">'[3]15-library'!#REF!</definedName>
    <definedName name="budget" localSheetId="0">'[3]15-library'!#REF!</definedName>
    <definedName name="budget38" localSheetId="0">'[3]15-library'!#REF!</definedName>
    <definedName name="ccc">'[4]15-library'!#REF!</definedName>
    <definedName name="ddd">'[4]15-library'!#REF!</definedName>
    <definedName name="dept" localSheetId="0">'[3]15-library'!#REF!</definedName>
    <definedName name="dept22">'[2]15-library'!#REF!</definedName>
    <definedName name="dept38" localSheetId="0">'[3]15-library'!#REF!</definedName>
    <definedName name="eee">'[4]15-library'!#REF!</definedName>
    <definedName name="fff">'[4]15-library'!#REF!</definedName>
    <definedName name="ggg">'[4]15-library'!#REF!</definedName>
    <definedName name="help">'[5]15-library'!#REF!</definedName>
    <definedName name="hhh">'[4]15-library'!#REF!</definedName>
    <definedName name="iii">'[4]15-library'!#REF!</definedName>
    <definedName name="jjj">'[4]15-library'!#REF!</definedName>
    <definedName name="meet">'[6]15-library'!#REF!</definedName>
    <definedName name="meeting" localSheetId="0">'[3]15-library'!#REF!</definedName>
    <definedName name="mgr" localSheetId="0">'[3]15-library'!#REF!</definedName>
    <definedName name="ooop">'[5]15-library'!#REF!</definedName>
    <definedName name="ooou">'[5]15-library'!#REF!</definedName>
    <definedName name="_xlnm.Print_Area" localSheetId="0">'revenue '!$A$5:$AA$242</definedName>
    <definedName name="pwq">'[5]15-library'!#REF!</definedName>
    <definedName name="revenue2">'[2]15-library'!#REF!</definedName>
    <definedName name="rtl">'[5]15-library'!#REF!</definedName>
    <definedName name="ssg">'[5]15-library'!#REF!</definedName>
    <definedName name="voted" localSheetId="0">'[3]15-library'!#REF!</definedName>
    <definedName name="www">'[5]15-library'!#REF!</definedName>
  </definedNames>
  <calcPr fullCalcOnLoad="1"/>
</workbook>
</file>

<file path=xl/sharedStrings.xml><?xml version="1.0" encoding="utf-8"?>
<sst xmlns="http://schemas.openxmlformats.org/spreadsheetml/2006/main" count="820" uniqueCount="225">
  <si>
    <t xml:space="preserve"> 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</si>
  <si>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</si>
  <si>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</si>
  <si>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</si>
  <si>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</si>
  <si>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</si>
  <si>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</si>
  <si>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</si>
  <si>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</si>
  <si>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</si>
  <si>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2015-16</t>
  </si>
  <si>
    <t>2016-17</t>
  </si>
  <si>
    <t>2017-18</t>
  </si>
  <si>
    <t>2018-19</t>
  </si>
  <si>
    <t>2019-20</t>
  </si>
  <si>
    <t>2020-21</t>
  </si>
  <si>
    <t>2021-22</t>
  </si>
  <si>
    <t>Acct No.</t>
  </si>
  <si>
    <t>Description</t>
  </si>
  <si>
    <t>Department</t>
  </si>
  <si>
    <t>Budget</t>
  </si>
  <si>
    <t>Actual</t>
  </si>
  <si>
    <t>General Fund</t>
  </si>
  <si>
    <t>Transfer from Cable Fund</t>
  </si>
  <si>
    <t>GENERAL GOVERNMENT</t>
  </si>
  <si>
    <t>STATE REVENUE SHARING</t>
  </si>
  <si>
    <t>RAILROAD TAX</t>
  </si>
  <si>
    <t>0000</t>
  </si>
  <si>
    <t>COVID Reimbursement</t>
  </si>
  <si>
    <t>STATE GRANTS</t>
  </si>
  <si>
    <t>FEDERAL GRANTS</t>
  </si>
  <si>
    <t>POOL TABLE LICENSE</t>
  </si>
  <si>
    <t>AMUSEMENT DEVICE LICENSES</t>
  </si>
  <si>
    <t>JUNK YARD LICENSES</t>
  </si>
  <si>
    <t>INTINERANT VENDOR PERMITS</t>
  </si>
  <si>
    <t>COPIES</t>
  </si>
  <si>
    <t>ADMIN CHARGE-SEWER</t>
  </si>
  <si>
    <t>ADMIN CHARGE- Media</t>
  </si>
  <si>
    <t>ADMIN CHARGE- outside details</t>
  </si>
  <si>
    <t>ADMIN CHARGE- Day Camp</t>
  </si>
  <si>
    <t>OTHER SERVICES</t>
  </si>
  <si>
    <t>INTEREST-POOLED CASH</t>
  </si>
  <si>
    <t>PRIVATE GRANTS</t>
  </si>
  <si>
    <t>INSURANCE PREMIUM REBATES</t>
  </si>
  <si>
    <t>SALES OF PROPERTY &amp; EQUIP</t>
  </si>
  <si>
    <t>BUILDING RENTAL</t>
  </si>
  <si>
    <t>OTHER REVENUE</t>
  </si>
  <si>
    <t>TRANSFER-CAPITAL RESERVE FUND</t>
  </si>
  <si>
    <t>SURPLUS</t>
  </si>
  <si>
    <t>TAX MAPS</t>
  </si>
  <si>
    <t>ASSESSING</t>
  </si>
  <si>
    <t>FEDERAL &amp; STATE GRANTS</t>
  </si>
  <si>
    <t>FIRE &amp; AMBULANCE</t>
  </si>
  <si>
    <t>OIL BURNER PERMITS</t>
  </si>
  <si>
    <t>INSPECTIONS &amp; PLAN REVIEW</t>
  </si>
  <si>
    <t>AMBULANCE FEES</t>
  </si>
  <si>
    <t>FIRE REPORTS</t>
  </si>
  <si>
    <t>FIRE ALARM SYSTEMS</t>
  </si>
  <si>
    <t>POLICE</t>
  </si>
  <si>
    <t>FEDERAL DRUG/ALCOHOL ABUSE</t>
  </si>
  <si>
    <t>FEDERAL DRUG ACT FORFEITURES</t>
  </si>
  <si>
    <t>PISTOL PERMITS</t>
  </si>
  <si>
    <t>ENTERTAINMENT LICENSES</t>
  </si>
  <si>
    <t>POLICE ALARM SYSTEM</t>
  </si>
  <si>
    <t>COURT TIME REIMBURSEMENTS</t>
  </si>
  <si>
    <t>DISTRICT COURT</t>
  </si>
  <si>
    <t>P.A.C.T. GRANTS</t>
  </si>
  <si>
    <t>P.A.C.T.</t>
  </si>
  <si>
    <t>General Fund - cont</t>
  </si>
  <si>
    <t>BUILDING PERMITS</t>
  </si>
  <si>
    <t>Code Enforcement</t>
  </si>
  <si>
    <t>SEPTIC SYSTEM INSPECTIONS</t>
  </si>
  <si>
    <t>SEWER INSPECTIONS</t>
  </si>
  <si>
    <t>APPLICATION FEES</t>
  </si>
  <si>
    <t>RECORDING FEES</t>
  </si>
  <si>
    <t>MAILING FEES</t>
  </si>
  <si>
    <t>PERC TESTS</t>
  </si>
  <si>
    <t>RESTAURANT LICENSE</t>
  </si>
  <si>
    <t>SWIMMING FACILITY LICENSE FEES</t>
  </si>
  <si>
    <t>ORDINANCES/CODE BOOKS</t>
  </si>
  <si>
    <t>PUBLIC WORKS ADMIN</t>
  </si>
  <si>
    <t>HIGHWAY BLOCK GRANT</t>
  </si>
  <si>
    <t>HIGHWAY</t>
  </si>
  <si>
    <t>GRAVE OPENINGS</t>
  </si>
  <si>
    <t>IMPACT FEES</t>
  </si>
  <si>
    <t>IMPACT FEES West Chamberlin</t>
  </si>
  <si>
    <t xml:space="preserve">Road Improvement Fund </t>
  </si>
  <si>
    <t xml:space="preserve"> Road Improvement Fund</t>
  </si>
  <si>
    <t>SOLID WASTE DISPOSAL</t>
  </si>
  <si>
    <t>RECYCLED MATERIALS</t>
  </si>
  <si>
    <t xml:space="preserve">  Passenger Tires</t>
  </si>
  <si>
    <t xml:space="preserve">  Truck Tires</t>
  </si>
  <si>
    <t xml:space="preserve">  Offroad tires</t>
  </si>
  <si>
    <t xml:space="preserve">  Propane tanks</t>
  </si>
  <si>
    <t>DUMP FEES</t>
  </si>
  <si>
    <t xml:space="preserve">  Refrigerators</t>
  </si>
  <si>
    <t xml:space="preserve">  Air Conditioners</t>
  </si>
  <si>
    <t xml:space="preserve">  Electronic Equipment</t>
  </si>
  <si>
    <t xml:space="preserve">OTHER CHARGES </t>
  </si>
  <si>
    <t>OPERATION BRIGHTSIDE</t>
  </si>
  <si>
    <t>PARKS MAINTENANCE</t>
  </si>
  <si>
    <t>PARKS &amp; RECREATION</t>
  </si>
  <si>
    <t>RECREATION PROGRAMS</t>
  </si>
  <si>
    <t>FOURTH OF JULY COMMITTEE</t>
  </si>
  <si>
    <t>FINES</t>
  </si>
  <si>
    <t>SPECIAL LIBRARY</t>
  </si>
  <si>
    <t>BOOK SALES</t>
  </si>
  <si>
    <t>EQUIPMENT REPAIR-WATER DIST</t>
  </si>
  <si>
    <t>EQUIPMENT MAINTENANCE</t>
  </si>
  <si>
    <t>BUILDINGS &amp; GROUNDS</t>
  </si>
  <si>
    <t>COMMUNITY DEVELOPMENT</t>
  </si>
  <si>
    <t>PLANNING BOARD</t>
  </si>
  <si>
    <t>ZONING BOARD</t>
  </si>
  <si>
    <t xml:space="preserve">Horsehill Nature </t>
  </si>
  <si>
    <t>PROPERTY TAX</t>
  </si>
  <si>
    <t>TOWN CLERK/TAX COLLECTOR</t>
  </si>
  <si>
    <t>CURRENT USE TAX</t>
  </si>
  <si>
    <t>YIELD TAX</t>
  </si>
  <si>
    <t>IN LIEU OF TAX</t>
  </si>
  <si>
    <t>EXCAVATION ACTIVITY TAX</t>
  </si>
  <si>
    <t>PROPERTY TAX INTEREST</t>
  </si>
  <si>
    <t>CURRENT USE TAX INTEREST</t>
  </si>
  <si>
    <t>YIELD TAX INTEREST</t>
  </si>
  <si>
    <t>TAX Lien INTEREST</t>
  </si>
  <si>
    <t>TAX OVERLAY</t>
  </si>
  <si>
    <t>BOAT REGISTRATIONS</t>
  </si>
  <si>
    <t>AUTO REGISTRATIONS</t>
  </si>
  <si>
    <t>TITLE APPLICATIONS</t>
  </si>
  <si>
    <t>DOG LICENSES</t>
  </si>
  <si>
    <t>MARRIAGE LICENSES</t>
  </si>
  <si>
    <t>STATE BOAT AGENT FEES</t>
  </si>
  <si>
    <t>STATE AUTO AGENT FEES</t>
  </si>
  <si>
    <t>CERTIFIED COPIES</t>
  </si>
  <si>
    <t>MAIL-IN PROGRAM FEES</t>
  </si>
  <si>
    <t>UCC FILINGS</t>
  </si>
  <si>
    <t>CIVIL FORFEITURES</t>
  </si>
  <si>
    <t>CASH OVER &amp; SHORT</t>
  </si>
  <si>
    <t>WELFARE</t>
  </si>
  <si>
    <t>WELFARE REIMBURSEMENTS</t>
  </si>
  <si>
    <t>Total General Fund Revenue</t>
  </si>
  <si>
    <t>WASTE WATER FUND</t>
  </si>
  <si>
    <t>Tax Overlay</t>
  </si>
  <si>
    <t>WASTEWATER TREATMENT</t>
  </si>
  <si>
    <t>PRETREATMENT PERMIT FEES</t>
  </si>
  <si>
    <t>SEWER RENTS-INDUSTRIAL</t>
  </si>
  <si>
    <t>SEWER RENTS-RESIDENTIAL</t>
  </si>
  <si>
    <t>SEWER RENTS-COMMERCIAL</t>
  </si>
  <si>
    <t>INTEREST-INDUSTRIAL SEWER</t>
  </si>
  <si>
    <t>INTEREST-RESIDENTIAL SEWER</t>
  </si>
  <si>
    <t>INTEREST-COMMERCIAL SEWER</t>
  </si>
  <si>
    <t>COMPOST SALES</t>
  </si>
  <si>
    <t>PRETREATMENT TESTING</t>
  </si>
  <si>
    <t>AB Waste</t>
  </si>
  <si>
    <t>Septage</t>
  </si>
  <si>
    <t>SEWER CONNECTION FEES</t>
  </si>
  <si>
    <t>CONTRACTUAL SLUDGE PROCESSING</t>
  </si>
  <si>
    <t>DEBT SERVICE</t>
  </si>
  <si>
    <t>Waste Water Total</t>
  </si>
  <si>
    <t>Media Fund</t>
  </si>
  <si>
    <t>CATV FRANCHISE FEES</t>
  </si>
  <si>
    <t>CABLE TELEVISION</t>
  </si>
  <si>
    <t>OTHER CHARGES</t>
  </si>
  <si>
    <t>Media Fund Total</t>
  </si>
  <si>
    <t xml:space="preserve">Fire Protection </t>
  </si>
  <si>
    <t>HYDRANT RENTS</t>
  </si>
  <si>
    <t>FIRE PROTECTION AREA</t>
  </si>
  <si>
    <t>INTEREST-HYDRANT RENTS</t>
  </si>
  <si>
    <t>Fire Protection Total</t>
  </si>
  <si>
    <t>Special Revenue (Other Self Supporting) Funds</t>
  </si>
  <si>
    <t>Police &amp; Fire Details</t>
  </si>
  <si>
    <t>TRAFFIC DETAILS</t>
  </si>
  <si>
    <t>Fire Details</t>
  </si>
  <si>
    <t xml:space="preserve">Fire  </t>
  </si>
  <si>
    <t>TRUST FUND INTEREST</t>
  </si>
  <si>
    <t>Fund Balance</t>
  </si>
  <si>
    <t>DAY CAMP REGISTRATIONS</t>
  </si>
  <si>
    <t>DAY CAMP surplus</t>
  </si>
  <si>
    <t>Self Supporting Totals</t>
  </si>
  <si>
    <t>Grand total</t>
  </si>
  <si>
    <t>Bonds &amp; Major Capital Projects</t>
  </si>
  <si>
    <t>ENGINEERING PLAN REVIEW</t>
  </si>
  <si>
    <t>BOND PROCEEDS</t>
  </si>
  <si>
    <t>DRAINAGE IMPROVEMENTS</t>
  </si>
  <si>
    <t>South Fire Station</t>
  </si>
  <si>
    <t>Private Donation Fire</t>
  </si>
  <si>
    <t>Bond Interest</t>
  </si>
  <si>
    <t>Bond</t>
  </si>
  <si>
    <t>Bond/ highway garage</t>
  </si>
  <si>
    <t>South Fire Station bond</t>
  </si>
  <si>
    <t>Private Donation South fire Station</t>
  </si>
  <si>
    <t>Grant</t>
  </si>
  <si>
    <t>Turkey Hill Bridge State</t>
  </si>
  <si>
    <t>Bond Proceeds</t>
  </si>
  <si>
    <t>Compost Facility</t>
  </si>
  <si>
    <t>Sewer Interceptor</t>
  </si>
  <si>
    <t>Phase II treatment plant</t>
  </si>
  <si>
    <t>Highway garage</t>
  </si>
  <si>
    <t xml:space="preserve">Dewatering </t>
  </si>
  <si>
    <t>SRF Pine Knoll Shores</t>
  </si>
  <si>
    <t>Total revenue per Revenue Report</t>
  </si>
  <si>
    <t>Property donations</t>
  </si>
  <si>
    <t xml:space="preserve">Total revenue </t>
  </si>
  <si>
    <t>Surplus - General Fund</t>
  </si>
  <si>
    <t>Surplus - Road Improvements</t>
  </si>
  <si>
    <t>Surplus - Sewer Fund</t>
  </si>
  <si>
    <t>Surplus - CATV Fund</t>
  </si>
  <si>
    <t>Surplus - Fire Protection Area Fund</t>
  </si>
  <si>
    <t>Surplus - Solid Waste Disposal Fund</t>
  </si>
  <si>
    <t>Surplus - P.A.C.T. Fund</t>
  </si>
  <si>
    <t>Surplus - Bond</t>
  </si>
  <si>
    <t>Surplus - WWTF Bond</t>
  </si>
  <si>
    <t>Surplus - Special Library Funds</t>
  </si>
  <si>
    <t>Total revenue per above</t>
  </si>
  <si>
    <t>Total expenditures per Expenditure Report</t>
  </si>
  <si>
    <t>Total expenditures per above</t>
  </si>
  <si>
    <t>Property tax</t>
  </si>
  <si>
    <t>Tax overlay</t>
  </si>
  <si>
    <t>General Fund surplus</t>
  </si>
  <si>
    <t>BPT - Municipal</t>
  </si>
  <si>
    <t>BPT - County</t>
  </si>
  <si>
    <t>Total revenues - MS-4</t>
  </si>
  <si>
    <t>Property tax per revenue budget</t>
  </si>
  <si>
    <t>Veterans exemptions</t>
  </si>
  <si>
    <t>Property tax levy</t>
  </si>
  <si>
    <t>2021-22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</si>
</sst>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3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Alignment="1">
      <alignment/>
    </xf>
    <xf numFmtId="4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43" fontId="19" fillId="0" borderId="11" xfId="0" applyNumberFormat="1" applyFont="1" applyFill="1" applyBorder="1" applyAlignment="1">
      <alignment horizontal="right"/>
    </xf>
    <xf numFmtId="41" fontId="19" fillId="0" borderId="11" xfId="0" applyNumberFormat="1" applyFont="1" applyFill="1" applyBorder="1" applyAlignment="1">
      <alignment horizontal="right"/>
    </xf>
    <xf numFmtId="41" fontId="19" fillId="0" borderId="11" xfId="0" applyNumberFormat="1" applyFont="1" applyFill="1" applyBorder="1" applyAlignment="1">
      <alignment horizontal="center"/>
    </xf>
    <xf numFmtId="41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right"/>
    </xf>
    <xf numFmtId="41" fontId="20" fillId="0" borderId="0" xfId="0" applyNumberFormat="1" applyFont="1" applyFill="1" applyBorder="1" applyAlignment="1">
      <alignment horizontal="center"/>
    </xf>
    <xf numFmtId="41" fontId="20" fillId="0" borderId="0" xfId="0" applyNumberFormat="1" applyFont="1" applyFill="1" applyBorder="1" applyAlignment="1">
      <alignment horizontal="right"/>
    </xf>
    <xf numFmtId="41" fontId="20" fillId="0" borderId="14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>
      <alignment horizontal="right"/>
    </xf>
    <xf numFmtId="4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44" fontId="19" fillId="33" borderId="11" xfId="0" applyNumberFormat="1" applyFont="1" applyFill="1" applyBorder="1" applyAlignment="1">
      <alignment/>
    </xf>
    <xf numFmtId="43" fontId="19" fillId="33" borderId="11" xfId="0" applyNumberFormat="1" applyFont="1" applyFill="1" applyBorder="1" applyAlignment="1">
      <alignment/>
    </xf>
    <xf numFmtId="41" fontId="19" fillId="33" borderId="11" xfId="0" applyNumberFormat="1" applyFont="1" applyFill="1" applyBorder="1" applyAlignment="1">
      <alignment/>
    </xf>
    <xf numFmtId="41" fontId="19" fillId="33" borderId="12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3" fontId="19" fillId="0" borderId="0" xfId="0" applyNumberFormat="1" applyFont="1" applyFill="1" applyBorder="1" applyAlignment="1">
      <alignment/>
    </xf>
    <xf numFmtId="41" fontId="19" fillId="0" borderId="0" xfId="0" applyNumberFormat="1" applyFont="1" applyFill="1" applyBorder="1" applyAlignment="1">
      <alignment/>
    </xf>
    <xf numFmtId="41" fontId="19" fillId="0" borderId="14" xfId="0" applyNumberFormat="1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3" fontId="19" fillId="33" borderId="0" xfId="0" applyNumberFormat="1" applyFont="1" applyFill="1" applyBorder="1" applyAlignment="1">
      <alignment/>
    </xf>
    <xf numFmtId="41" fontId="19" fillId="33" borderId="0" xfId="0" applyNumberFormat="1" applyFont="1" applyFill="1" applyBorder="1" applyAlignment="1">
      <alignment/>
    </xf>
    <xf numFmtId="41" fontId="19" fillId="33" borderId="14" xfId="0" applyNumberFormat="1" applyFont="1" applyFill="1" applyBorder="1" applyAlignment="1">
      <alignment/>
    </xf>
    <xf numFmtId="0" fontId="19" fillId="33" borderId="0" xfId="0" applyFont="1" applyFill="1" applyBorder="1" applyAlignment="1" quotePrefix="1">
      <alignment horizontal="right"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43" fontId="19" fillId="33" borderId="16" xfId="0" applyNumberFormat="1" applyFont="1" applyFill="1" applyBorder="1" applyAlignment="1">
      <alignment/>
    </xf>
    <xf numFmtId="41" fontId="19" fillId="33" borderId="16" xfId="0" applyNumberFormat="1" applyFont="1" applyFill="1" applyBorder="1" applyAlignment="1">
      <alignment/>
    </xf>
    <xf numFmtId="41" fontId="19" fillId="33" borderId="17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43" fontId="19" fillId="0" borderId="16" xfId="0" applyNumberFormat="1" applyFont="1" applyFill="1" applyBorder="1" applyAlignment="1">
      <alignment/>
    </xf>
    <xf numFmtId="41" fontId="19" fillId="0" borderId="16" xfId="0" applyNumberFormat="1" applyFont="1" applyFill="1" applyBorder="1" applyAlignment="1">
      <alignment/>
    </xf>
    <xf numFmtId="41" fontId="19" fillId="0" borderId="17" xfId="0" applyNumberFormat="1" applyFont="1" applyFill="1" applyBorder="1" applyAlignment="1">
      <alignment/>
    </xf>
    <xf numFmtId="41" fontId="19" fillId="33" borderId="0" xfId="0" applyNumberFormat="1" applyFont="1" applyFill="1" applyBorder="1" applyAlignment="1">
      <alignment horizontal="right"/>
    </xf>
    <xf numFmtId="41" fontId="19" fillId="33" borderId="14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center"/>
    </xf>
    <xf numFmtId="41" fontId="19" fillId="0" borderId="12" xfId="0" applyNumberFormat="1" applyFont="1" applyFill="1" applyBorder="1" applyAlignment="1">
      <alignment horizontal="right"/>
    </xf>
    <xf numFmtId="41" fontId="20" fillId="0" borderId="14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43" fontId="19" fillId="0" borderId="11" xfId="0" applyNumberFormat="1" applyFont="1" applyFill="1" applyBorder="1" applyAlignment="1">
      <alignment/>
    </xf>
    <xf numFmtId="41" fontId="19" fillId="0" borderId="11" xfId="0" applyNumberFormat="1" applyFont="1" applyFill="1" applyBorder="1" applyAlignment="1">
      <alignment/>
    </xf>
    <xf numFmtId="41" fontId="19" fillId="0" borderId="12" xfId="0" applyNumberFormat="1" applyFont="1" applyFill="1" applyBorder="1" applyAlignment="1">
      <alignment/>
    </xf>
    <xf numFmtId="0" fontId="19" fillId="33" borderId="16" xfId="0" applyFont="1" applyFill="1" applyBorder="1" applyAlignment="1" quotePrefix="1">
      <alignment horizontal="right"/>
    </xf>
    <xf numFmtId="0" fontId="19" fillId="0" borderId="13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right"/>
    </xf>
    <xf numFmtId="3" fontId="19" fillId="33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3" fontId="19" fillId="0" borderId="0" xfId="44" applyNumberFormat="1" applyFont="1" applyFill="1" applyBorder="1" applyAlignment="1">
      <alignment/>
    </xf>
    <xf numFmtId="43" fontId="19" fillId="33" borderId="0" xfId="44" applyNumberFormat="1" applyFont="1" applyFill="1" applyBorder="1" applyAlignment="1">
      <alignment/>
    </xf>
    <xf numFmtId="43" fontId="20" fillId="33" borderId="16" xfId="0" applyNumberFormat="1" applyFont="1" applyFill="1" applyBorder="1" applyAlignment="1">
      <alignment/>
    </xf>
    <xf numFmtId="41" fontId="20" fillId="33" borderId="16" xfId="0" applyNumberFormat="1" applyFont="1" applyFill="1" applyBorder="1" applyAlignment="1">
      <alignment/>
    </xf>
    <xf numFmtId="41" fontId="22" fillId="33" borderId="16" xfId="0" applyNumberFormat="1" applyFont="1" applyFill="1" applyBorder="1" applyAlignment="1">
      <alignment/>
    </xf>
    <xf numFmtId="41" fontId="22" fillId="33" borderId="17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3" fontId="19" fillId="0" borderId="0" xfId="0" applyNumberFormat="1" applyFont="1" applyFill="1" applyBorder="1" applyAlignment="1">
      <alignment/>
    </xf>
    <xf numFmtId="41" fontId="19" fillId="0" borderId="0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43" fontId="19" fillId="0" borderId="16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1" fontId="19" fillId="0" borderId="0" xfId="61" applyNumberFormat="1" applyFont="1" applyFill="1" applyBorder="1">
      <alignment/>
      <protection/>
    </xf>
    <xf numFmtId="41" fontId="19" fillId="33" borderId="0" xfId="61" applyNumberFormat="1" applyFont="1" applyFill="1" applyBorder="1">
      <alignment/>
      <protection/>
    </xf>
    <xf numFmtId="43" fontId="20" fillId="33" borderId="0" xfId="0" applyNumberFormat="1" applyFont="1" applyFill="1" applyBorder="1" applyAlignment="1">
      <alignment/>
    </xf>
    <xf numFmtId="41" fontId="20" fillId="33" borderId="0" xfId="0" applyNumberFormat="1" applyFont="1" applyFill="1" applyBorder="1" applyAlignment="1">
      <alignment/>
    </xf>
    <xf numFmtId="41" fontId="22" fillId="33" borderId="0" xfId="0" applyNumberFormat="1" applyFont="1" applyFill="1" applyBorder="1" applyAlignment="1">
      <alignment/>
    </xf>
    <xf numFmtId="41" fontId="22" fillId="33" borderId="14" xfId="0" applyNumberFormat="1" applyFont="1" applyFill="1" applyBorder="1" applyAlignment="1">
      <alignment/>
    </xf>
    <xf numFmtId="41" fontId="19" fillId="0" borderId="14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20" fillId="0" borderId="0" xfId="0" applyNumberFormat="1" applyFont="1" applyFill="1" applyBorder="1" applyAlignment="1">
      <alignment/>
    </xf>
    <xf numFmtId="41" fontId="20" fillId="0" borderId="0" xfId="0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/>
    </xf>
    <xf numFmtId="41" fontId="22" fillId="0" borderId="14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center"/>
    </xf>
    <xf numFmtId="43" fontId="22" fillId="33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41" fontId="19" fillId="0" borderId="14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1" fontId="22" fillId="33" borderId="0" xfId="0" applyNumberFormat="1" applyFont="1" applyFill="1" applyBorder="1" applyAlignment="1">
      <alignment horizontal="right"/>
    </xf>
    <xf numFmtId="41" fontId="22" fillId="33" borderId="14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41" fontId="18" fillId="33" borderId="0" xfId="0" applyNumberFormat="1" applyFont="1" applyFill="1" applyBorder="1" applyAlignment="1">
      <alignment/>
    </xf>
    <xf numFmtId="41" fontId="18" fillId="33" borderId="14" xfId="0" applyNumberFormat="1" applyFont="1" applyFill="1" applyBorder="1" applyAlignment="1">
      <alignment/>
    </xf>
    <xf numFmtId="41" fontId="19" fillId="0" borderId="0" xfId="0" applyNumberFormat="1" applyFont="1" applyFill="1" applyAlignment="1">
      <alignment/>
    </xf>
    <xf numFmtId="43" fontId="22" fillId="0" borderId="0" xfId="0" applyNumberFormat="1" applyFont="1" applyFill="1" applyAlignment="1">
      <alignment/>
    </xf>
    <xf numFmtId="41" fontId="22" fillId="0" borderId="0" xfId="0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43" fontId="20" fillId="0" borderId="0" xfId="0" applyNumberFormat="1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revenu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micali\My%20Documents\budget%202014-15\department\dpw%20Copy%20of%20budget%202014-15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-22%20VOTED%20BUDGET%20fin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udget%20detail%202003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udget%20detail%202005-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ob\LOCALS~1\Temp\Administrator\Local%20Settings\Temporary%20Internet%20Files\Content.IE5\YNCLY5G7\budget%20detail%202005-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.MERRNET\My%20Documents\budget%202009-10\voted\Approved%20budget%20detail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TAX RATE"/>
      <sheetName val="SUMMARY BY FUND"/>
      <sheetName val="CRF"/>
      <sheetName val="revenue "/>
      <sheetName val="revenue  (3)"/>
    </sheetNames>
    <sheetDataSet>
      <sheetData sheetId="21">
        <row r="15">
          <cell r="C15">
            <v>15488214.329999998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 "/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  <sheetName val="Revolving Fu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mgr adj"/>
      <sheetName val="bos adj"/>
      <sheetName val="budcom adj"/>
      <sheetName val="default"/>
      <sheetName val="summary-fu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83"/>
  <sheetViews>
    <sheetView tabSelected="1" view="pageBreakPreview" zoomScaleSheetLayoutView="100" zoomScalePageLayoutView="0" workbookViewId="0" topLeftCell="A1">
      <pane xSplit="3" ySplit="6" topLeftCell="D70" activePane="bottomRight" state="frozen"/>
      <selection pane="topLeft" activeCell="F38" sqref="F38:F65"/>
      <selection pane="topRight" activeCell="F38" sqref="F38:F65"/>
      <selection pane="bottomLeft" activeCell="F38" sqref="F38:F65"/>
      <selection pane="bottomRight" activeCell="X274" sqref="X274"/>
    </sheetView>
  </sheetViews>
  <sheetFormatPr defaultColWidth="11.57421875" defaultRowHeight="12.75"/>
  <cols>
    <col min="1" max="1" width="9.8515625" style="6" customWidth="1"/>
    <col min="2" max="2" width="5.28125" style="6" bestFit="1" customWidth="1"/>
    <col min="3" max="3" width="33.57421875" style="6" bestFit="1" customWidth="1"/>
    <col min="4" max="4" width="28.421875" style="6" bestFit="1" customWidth="1"/>
    <col min="5" max="5" width="12.140625" style="6" hidden="1" customWidth="1"/>
    <col min="6" max="7" width="12.00390625" style="6" hidden="1" customWidth="1"/>
    <col min="8" max="8" width="12.28125" style="6" hidden="1" customWidth="1"/>
    <col min="9" max="9" width="11.8515625" style="5" hidden="1" customWidth="1"/>
    <col min="10" max="10" width="11.00390625" style="6" hidden="1" customWidth="1"/>
    <col min="11" max="11" width="12.7109375" style="6" hidden="1" customWidth="1"/>
    <col min="12" max="12" width="11.00390625" style="6" hidden="1" customWidth="1"/>
    <col min="13" max="13" width="12.7109375" style="5" hidden="1" customWidth="1"/>
    <col min="14" max="14" width="10.421875" style="4" hidden="1" customWidth="1"/>
    <col min="15" max="15" width="12.7109375" style="5" hidden="1" customWidth="1"/>
    <col min="16" max="16" width="13.421875" style="5" hidden="1" customWidth="1"/>
    <col min="17" max="17" width="12.7109375" style="5" hidden="1" customWidth="1"/>
    <col min="18" max="18" width="13.421875" style="6" hidden="1" customWidth="1"/>
    <col min="19" max="19" width="10.421875" style="4" hidden="1" customWidth="1"/>
    <col min="20" max="20" width="11.00390625" style="4" hidden="1" customWidth="1"/>
    <col min="21" max="21" width="11.00390625" style="4" bestFit="1" customWidth="1"/>
    <col min="22" max="23" width="11.28125" style="4" bestFit="1" customWidth="1"/>
    <col min="24" max="24" width="11.28125" style="4" customWidth="1"/>
    <col min="25" max="27" width="12.421875" style="4" customWidth="1"/>
    <col min="28" max="16384" width="11.57421875" style="6" customWidth="1"/>
  </cols>
  <sheetData>
    <row r="1" spans="1:13" ht="12.75">
      <c r="A1" s="1" t="s">
        <v>224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2.75">
      <c r="A2" s="2" t="s">
        <v>0</v>
      </c>
      <c r="B2" s="2"/>
      <c r="C2" s="2"/>
      <c r="D2" s="2"/>
      <c r="E2" s="2"/>
      <c r="F2" s="2"/>
      <c r="G2" s="2"/>
      <c r="H2" s="2"/>
      <c r="I2" s="3"/>
      <c r="J2" s="2"/>
      <c r="L2" s="2"/>
      <c r="M2" s="3"/>
    </row>
    <row r="3" spans="1:13" ht="12.75">
      <c r="A3" s="2"/>
      <c r="B3" s="2"/>
      <c r="C3" s="2"/>
      <c r="D3" s="2"/>
      <c r="E3" s="2"/>
      <c r="F3" s="2"/>
      <c r="G3" s="2"/>
      <c r="H3" s="2"/>
      <c r="I3" s="3"/>
      <c r="J3" s="2"/>
      <c r="L3" s="2"/>
      <c r="M3" s="3"/>
    </row>
    <row r="4" spans="1:13" ht="13.5" thickBot="1">
      <c r="A4" s="2"/>
      <c r="B4" s="2"/>
      <c r="C4" s="2"/>
      <c r="D4" s="2"/>
      <c r="E4" s="2"/>
      <c r="F4" s="2"/>
      <c r="G4" s="2"/>
      <c r="H4" s="2"/>
      <c r="I4" s="3"/>
      <c r="J4" s="2"/>
      <c r="L4" s="2"/>
      <c r="M4" s="3"/>
    </row>
    <row r="5" spans="1:27" s="13" customFormat="1" ht="12.75">
      <c r="A5" s="7" t="s">
        <v>0</v>
      </c>
      <c r="B5" s="8"/>
      <c r="C5" s="8" t="s">
        <v>0</v>
      </c>
      <c r="D5" s="8" t="s">
        <v>0</v>
      </c>
      <c r="E5" s="8" t="s">
        <v>1</v>
      </c>
      <c r="F5" s="8" t="s">
        <v>1</v>
      </c>
      <c r="G5" s="8" t="s">
        <v>2</v>
      </c>
      <c r="H5" s="8" t="s">
        <v>2</v>
      </c>
      <c r="I5" s="9" t="s">
        <v>3</v>
      </c>
      <c r="J5" s="8" t="s">
        <v>4</v>
      </c>
      <c r="K5" s="9" t="s">
        <v>4</v>
      </c>
      <c r="L5" s="8" t="s">
        <v>5</v>
      </c>
      <c r="M5" s="9" t="s">
        <v>5</v>
      </c>
      <c r="N5" s="10" t="s">
        <v>6</v>
      </c>
      <c r="O5" s="9" t="s">
        <v>6</v>
      </c>
      <c r="P5" s="10" t="s">
        <v>7</v>
      </c>
      <c r="Q5" s="9" t="s">
        <v>7</v>
      </c>
      <c r="R5" s="8" t="s">
        <v>8</v>
      </c>
      <c r="S5" s="11" t="s">
        <v>9</v>
      </c>
      <c r="T5" s="10" t="s">
        <v>9</v>
      </c>
      <c r="U5" s="11" t="s">
        <v>10</v>
      </c>
      <c r="V5" s="11" t="s">
        <v>11</v>
      </c>
      <c r="W5" s="11" t="s">
        <v>12</v>
      </c>
      <c r="X5" s="11" t="s">
        <v>13</v>
      </c>
      <c r="Y5" s="11" t="s">
        <v>14</v>
      </c>
      <c r="Z5" s="12" t="s">
        <v>15</v>
      </c>
      <c r="AA5" s="12" t="s">
        <v>16</v>
      </c>
    </row>
    <row r="6" spans="1:27" s="13" customFormat="1" ht="12.75">
      <c r="A6" s="14" t="s">
        <v>17</v>
      </c>
      <c r="B6" s="15"/>
      <c r="C6" s="15" t="s">
        <v>18</v>
      </c>
      <c r="D6" s="15" t="s">
        <v>19</v>
      </c>
      <c r="E6" s="15" t="s">
        <v>20</v>
      </c>
      <c r="F6" s="15" t="s">
        <v>21</v>
      </c>
      <c r="G6" s="15" t="s">
        <v>20</v>
      </c>
      <c r="H6" s="15" t="s">
        <v>21</v>
      </c>
      <c r="I6" s="16" t="s">
        <v>20</v>
      </c>
      <c r="J6" s="16" t="s">
        <v>20</v>
      </c>
      <c r="K6" s="16" t="s">
        <v>21</v>
      </c>
      <c r="L6" s="16" t="s">
        <v>20</v>
      </c>
      <c r="M6" s="16" t="s">
        <v>21</v>
      </c>
      <c r="N6" s="16" t="s">
        <v>20</v>
      </c>
      <c r="O6" s="16" t="s">
        <v>21</v>
      </c>
      <c r="P6" s="16" t="s">
        <v>20</v>
      </c>
      <c r="Q6" s="16" t="s">
        <v>21</v>
      </c>
      <c r="R6" s="16" t="s">
        <v>20</v>
      </c>
      <c r="S6" s="17" t="s">
        <v>21</v>
      </c>
      <c r="T6" s="18" t="s">
        <v>20</v>
      </c>
      <c r="U6" s="17" t="s">
        <v>21</v>
      </c>
      <c r="V6" s="17" t="s">
        <v>21</v>
      </c>
      <c r="W6" s="17" t="s">
        <v>21</v>
      </c>
      <c r="X6" s="17" t="s">
        <v>21</v>
      </c>
      <c r="Y6" s="17" t="s">
        <v>21</v>
      </c>
      <c r="Z6" s="19" t="s">
        <v>20</v>
      </c>
      <c r="AA6" s="19" t="s">
        <v>20</v>
      </c>
    </row>
    <row r="7" spans="1:27" s="13" customFormat="1" ht="12.75">
      <c r="A7" s="14"/>
      <c r="B7" s="15"/>
      <c r="C7" s="15"/>
      <c r="D7" s="15"/>
      <c r="E7" s="15"/>
      <c r="F7" s="15"/>
      <c r="G7" s="15"/>
      <c r="H7" s="15"/>
      <c r="I7" s="16"/>
      <c r="J7" s="16"/>
      <c r="K7" s="16"/>
      <c r="L7" s="16"/>
      <c r="M7" s="16"/>
      <c r="N7" s="20"/>
      <c r="O7" s="21"/>
      <c r="P7" s="21"/>
      <c r="Q7" s="21"/>
      <c r="R7" s="22"/>
      <c r="S7" s="20"/>
      <c r="T7" s="20"/>
      <c r="U7" s="20"/>
      <c r="V7" s="20"/>
      <c r="W7" s="20"/>
      <c r="X7" s="20"/>
      <c r="Y7" s="20"/>
      <c r="Z7" s="23"/>
      <c r="AA7" s="23"/>
    </row>
    <row r="8" spans="1:27" s="13" customFormat="1" ht="12.75">
      <c r="A8" s="24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6"/>
      <c r="Q8" s="26"/>
      <c r="R8" s="22"/>
      <c r="S8" s="20"/>
      <c r="T8" s="20"/>
      <c r="U8" s="20"/>
      <c r="V8" s="20"/>
      <c r="W8" s="20"/>
      <c r="X8" s="20"/>
      <c r="Y8" s="20"/>
      <c r="Z8" s="23"/>
      <c r="AA8" s="23"/>
    </row>
    <row r="9" spans="1:27" s="13" customFormat="1" ht="13.5" thickBot="1">
      <c r="A9" s="14"/>
      <c r="B9" s="15"/>
      <c r="C9" s="15"/>
      <c r="D9" s="15"/>
      <c r="E9" s="15"/>
      <c r="F9" s="15"/>
      <c r="G9" s="15"/>
      <c r="H9" s="15"/>
      <c r="I9" s="16"/>
      <c r="J9" s="16"/>
      <c r="K9" s="16"/>
      <c r="L9" s="16"/>
      <c r="M9" s="16"/>
      <c r="N9" s="20"/>
      <c r="O9" s="21"/>
      <c r="P9" s="21"/>
      <c r="Q9" s="21"/>
      <c r="R9" s="22"/>
      <c r="S9" s="20"/>
      <c r="T9" s="20"/>
      <c r="U9" s="20"/>
      <c r="V9" s="20"/>
      <c r="W9" s="20"/>
      <c r="X9" s="20"/>
      <c r="Y9" s="20"/>
      <c r="Z9" s="23"/>
      <c r="AA9" s="23"/>
    </row>
    <row r="10" spans="1:27" ht="12.75">
      <c r="A10" s="27">
        <v>10171200</v>
      </c>
      <c r="B10" s="28">
        <v>3189</v>
      </c>
      <c r="C10" s="28" t="s">
        <v>23</v>
      </c>
      <c r="D10" s="28" t="s">
        <v>24</v>
      </c>
      <c r="E10" s="29">
        <v>0</v>
      </c>
      <c r="F10" s="30">
        <v>104127.35</v>
      </c>
      <c r="G10" s="30"/>
      <c r="H10" s="30">
        <v>142060.12</v>
      </c>
      <c r="I10" s="30">
        <v>0</v>
      </c>
      <c r="J10" s="31">
        <v>300000</v>
      </c>
      <c r="K10" s="30">
        <v>300000</v>
      </c>
      <c r="L10" s="31">
        <v>0</v>
      </c>
      <c r="M10" s="30">
        <v>0</v>
      </c>
      <c r="N10" s="31">
        <v>0</v>
      </c>
      <c r="O10" s="30"/>
      <c r="P10" s="31">
        <v>0</v>
      </c>
      <c r="Q10" s="30"/>
      <c r="R10" s="31">
        <v>0</v>
      </c>
      <c r="S10" s="31">
        <v>68000</v>
      </c>
      <c r="T10" s="31">
        <v>68000</v>
      </c>
      <c r="U10" s="31">
        <v>100000</v>
      </c>
      <c r="V10" s="31">
        <v>150000</v>
      </c>
      <c r="W10" s="31">
        <v>200000</v>
      </c>
      <c r="X10" s="31">
        <v>250000</v>
      </c>
      <c r="Y10" s="31">
        <v>250000</v>
      </c>
      <c r="Z10" s="32">
        <v>250000</v>
      </c>
      <c r="AA10" s="32">
        <v>250000</v>
      </c>
    </row>
    <row r="11" spans="1:28" ht="12.75">
      <c r="A11" s="33">
        <v>10172010</v>
      </c>
      <c r="B11" s="34">
        <v>3351</v>
      </c>
      <c r="C11" s="34" t="s">
        <v>25</v>
      </c>
      <c r="D11" s="34" t="s">
        <v>24</v>
      </c>
      <c r="E11" s="35">
        <v>1194694</v>
      </c>
      <c r="F11" s="35">
        <v>1194694</v>
      </c>
      <c r="G11" s="35">
        <v>1194694</v>
      </c>
      <c r="H11" s="35">
        <v>1267455.03</v>
      </c>
      <c r="I11" s="35">
        <f>142500+1112686</f>
        <v>1255186</v>
      </c>
      <c r="J11" s="36">
        <f>95101+1317167</f>
        <v>1412268</v>
      </c>
      <c r="K11" s="35">
        <v>1294577.2</v>
      </c>
      <c r="L11" s="36">
        <v>1168710</v>
      </c>
      <c r="M11" s="35">
        <v>1168710.35</v>
      </c>
      <c r="N11" s="20">
        <v>1168710</v>
      </c>
      <c r="O11" s="21">
        <v>1166428.99</v>
      </c>
      <c r="P11" s="20">
        <v>1138772</v>
      </c>
      <c r="Q11" s="21">
        <v>1138771.85</v>
      </c>
      <c r="R11" s="20">
        <v>1138772</v>
      </c>
      <c r="S11" s="20">
        <v>1133757.8</v>
      </c>
      <c r="T11" s="20">
        <v>1133758</v>
      </c>
      <c r="U11" s="20">
        <v>1221844.29</v>
      </c>
      <c r="V11" s="36">
        <v>1314817.3</v>
      </c>
      <c r="W11" s="36">
        <v>1309094.83</v>
      </c>
      <c r="X11" s="36">
        <v>1308110.55</v>
      </c>
      <c r="Y11" s="36">
        <v>1528111</v>
      </c>
      <c r="Z11" s="37">
        <v>1549898</v>
      </c>
      <c r="AA11" s="37">
        <v>1327663</v>
      </c>
      <c r="AB11" s="4">
        <f>+AA11-Z11</f>
        <v>-222235</v>
      </c>
    </row>
    <row r="12" spans="1:27" ht="12.75">
      <c r="A12" s="38">
        <v>10172030</v>
      </c>
      <c r="B12" s="39">
        <v>3359</v>
      </c>
      <c r="C12" s="39" t="s">
        <v>26</v>
      </c>
      <c r="D12" s="39" t="s">
        <v>24</v>
      </c>
      <c r="E12" s="40">
        <v>4078</v>
      </c>
      <c r="F12" s="40">
        <v>4078.26</v>
      </c>
      <c r="G12" s="40">
        <v>4078</v>
      </c>
      <c r="H12" s="40">
        <v>4049.33</v>
      </c>
      <c r="I12" s="40">
        <v>0</v>
      </c>
      <c r="J12" s="41">
        <v>1251.36</v>
      </c>
      <c r="K12" s="40">
        <v>1251.36</v>
      </c>
      <c r="L12" s="41">
        <v>6377</v>
      </c>
      <c r="M12" s="40">
        <v>6377.44</v>
      </c>
      <c r="N12" s="41">
        <v>1541.0722580645163</v>
      </c>
      <c r="O12" s="40">
        <v>3756.93</v>
      </c>
      <c r="P12" s="41">
        <v>3757</v>
      </c>
      <c r="Q12" s="40">
        <v>2145.4</v>
      </c>
      <c r="R12" s="41">
        <v>3757</v>
      </c>
      <c r="S12" s="41">
        <v>3356.89</v>
      </c>
      <c r="T12" s="41">
        <v>3357</v>
      </c>
      <c r="U12" s="41">
        <v>1833.34</v>
      </c>
      <c r="V12" s="41">
        <v>3901.77</v>
      </c>
      <c r="W12" s="41">
        <v>946.11</v>
      </c>
      <c r="X12" s="41">
        <v>1947.13</v>
      </c>
      <c r="Y12" s="41">
        <v>2050</v>
      </c>
      <c r="Z12" s="42">
        <v>2616</v>
      </c>
      <c r="AA12" s="42">
        <v>2616</v>
      </c>
    </row>
    <row r="13" spans="1:27" ht="12.75">
      <c r="A13" s="38">
        <v>10172280</v>
      </c>
      <c r="B13" s="43" t="s">
        <v>27</v>
      </c>
      <c r="C13" s="39" t="s">
        <v>28</v>
      </c>
      <c r="D13" s="39" t="s">
        <v>24</v>
      </c>
      <c r="E13" s="40"/>
      <c r="F13" s="40"/>
      <c r="G13" s="40"/>
      <c r="H13" s="40"/>
      <c r="I13" s="40"/>
      <c r="J13" s="41"/>
      <c r="K13" s="40"/>
      <c r="L13" s="41"/>
      <c r="M13" s="40"/>
      <c r="N13" s="41"/>
      <c r="O13" s="40"/>
      <c r="P13" s="41"/>
      <c r="Q13" s="40"/>
      <c r="R13" s="41"/>
      <c r="S13" s="41"/>
      <c r="T13" s="41"/>
      <c r="U13" s="41">
        <v>0</v>
      </c>
      <c r="V13" s="41">
        <v>0</v>
      </c>
      <c r="W13" s="41">
        <v>0</v>
      </c>
      <c r="X13" s="41">
        <v>0</v>
      </c>
      <c r="Y13" s="41">
        <v>207152</v>
      </c>
      <c r="Z13" s="42">
        <v>0</v>
      </c>
      <c r="AA13" s="41">
        <v>0</v>
      </c>
    </row>
    <row r="14" spans="1:27" ht="12.75">
      <c r="A14" s="33">
        <v>10172290</v>
      </c>
      <c r="B14" s="34">
        <v>3359</v>
      </c>
      <c r="C14" s="34" t="s">
        <v>29</v>
      </c>
      <c r="D14" s="34" t="s">
        <v>24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6">
        <v>0</v>
      </c>
      <c r="K14" s="35">
        <v>104174.74</v>
      </c>
      <c r="L14" s="36">
        <v>0</v>
      </c>
      <c r="M14" s="35">
        <v>133262.11</v>
      </c>
      <c r="N14" s="36">
        <v>0</v>
      </c>
      <c r="O14" s="35">
        <v>20427.67</v>
      </c>
      <c r="P14" s="36">
        <v>0</v>
      </c>
      <c r="Q14" s="35">
        <v>0</v>
      </c>
      <c r="R14" s="36">
        <v>0</v>
      </c>
      <c r="S14" s="36"/>
      <c r="T14" s="36">
        <v>0</v>
      </c>
      <c r="U14" s="36">
        <v>1915427.88</v>
      </c>
      <c r="V14" s="36">
        <v>978709.79</v>
      </c>
      <c r="W14" s="36">
        <v>123710.25</v>
      </c>
      <c r="X14" s="36">
        <v>451252.44</v>
      </c>
      <c r="Y14" s="36">
        <v>2661468</v>
      </c>
      <c r="Z14" s="37"/>
      <c r="AA14" s="37">
        <v>0</v>
      </c>
    </row>
    <row r="15" spans="1:27" ht="12.75">
      <c r="A15" s="38">
        <v>10172500</v>
      </c>
      <c r="B15" s="39">
        <v>3311</v>
      </c>
      <c r="C15" s="39" t="s">
        <v>30</v>
      </c>
      <c r="D15" s="39" t="s">
        <v>24</v>
      </c>
      <c r="E15" s="40">
        <v>0</v>
      </c>
      <c r="F15" s="40">
        <v>137679.03</v>
      </c>
      <c r="G15" s="40">
        <v>0</v>
      </c>
      <c r="H15" s="40">
        <v>213957.33</v>
      </c>
      <c r="I15" s="40">
        <v>0</v>
      </c>
      <c r="J15" s="41">
        <v>0</v>
      </c>
      <c r="K15" s="40"/>
      <c r="L15" s="41">
        <v>0</v>
      </c>
      <c r="M15" s="40">
        <v>125359.01</v>
      </c>
      <c r="N15" s="41">
        <v>0</v>
      </c>
      <c r="O15" s="40">
        <v>95853.22</v>
      </c>
      <c r="P15" s="41">
        <v>0</v>
      </c>
      <c r="Q15" s="40">
        <v>325532.37</v>
      </c>
      <c r="R15" s="41">
        <v>0</v>
      </c>
      <c r="S15" s="41"/>
      <c r="T15" s="41">
        <v>0</v>
      </c>
      <c r="U15" s="41">
        <v>192.16</v>
      </c>
      <c r="V15" s="41">
        <v>0</v>
      </c>
      <c r="W15" s="41">
        <v>0</v>
      </c>
      <c r="X15" s="41">
        <v>0</v>
      </c>
      <c r="Y15" s="41">
        <v>0</v>
      </c>
      <c r="Z15" s="42">
        <v>0</v>
      </c>
      <c r="AA15" s="42">
        <v>0</v>
      </c>
    </row>
    <row r="16" spans="1:27" ht="12.75">
      <c r="A16" s="33">
        <v>10173010</v>
      </c>
      <c r="B16" s="34">
        <v>3290</v>
      </c>
      <c r="C16" s="34" t="s">
        <v>31</v>
      </c>
      <c r="D16" s="34" t="s">
        <v>24</v>
      </c>
      <c r="E16" s="35">
        <v>40</v>
      </c>
      <c r="F16" s="35">
        <v>40</v>
      </c>
      <c r="G16" s="35">
        <v>40</v>
      </c>
      <c r="H16" s="35">
        <v>0</v>
      </c>
      <c r="I16" s="35">
        <v>40</v>
      </c>
      <c r="J16" s="36">
        <v>40</v>
      </c>
      <c r="K16" s="35">
        <v>40</v>
      </c>
      <c r="L16" s="36">
        <v>40</v>
      </c>
      <c r="M16" s="35">
        <v>40</v>
      </c>
      <c r="N16" s="36">
        <v>55.483870967741936</v>
      </c>
      <c r="O16" s="35">
        <v>40</v>
      </c>
      <c r="P16" s="36">
        <v>48.72727272727273</v>
      </c>
      <c r="Q16" s="35">
        <v>40</v>
      </c>
      <c r="R16" s="36">
        <v>50</v>
      </c>
      <c r="S16" s="36">
        <v>40</v>
      </c>
      <c r="T16" s="36">
        <v>50</v>
      </c>
      <c r="U16" s="36">
        <v>40</v>
      </c>
      <c r="V16" s="36">
        <v>40</v>
      </c>
      <c r="W16" s="36">
        <v>40</v>
      </c>
      <c r="X16" s="36">
        <v>40</v>
      </c>
      <c r="Y16" s="36">
        <v>40</v>
      </c>
      <c r="Z16" s="37">
        <v>40</v>
      </c>
      <c r="AA16" s="37">
        <v>40</v>
      </c>
    </row>
    <row r="17" spans="1:27" ht="12.75">
      <c r="A17" s="38">
        <v>10173030</v>
      </c>
      <c r="B17" s="39">
        <v>3290</v>
      </c>
      <c r="C17" s="39" t="s">
        <v>32</v>
      </c>
      <c r="D17" s="39" t="s">
        <v>24</v>
      </c>
      <c r="E17" s="40">
        <v>1200</v>
      </c>
      <c r="F17" s="40">
        <v>1850</v>
      </c>
      <c r="G17" s="40">
        <v>1200</v>
      </c>
      <c r="H17" s="40">
        <v>3010</v>
      </c>
      <c r="I17" s="40">
        <v>1200</v>
      </c>
      <c r="J17" s="41">
        <v>1500</v>
      </c>
      <c r="K17" s="40">
        <v>3583.36</v>
      </c>
      <c r="L17" s="41">
        <v>1500</v>
      </c>
      <c r="M17" s="40">
        <v>1450</v>
      </c>
      <c r="N17" s="41">
        <v>3054.6374193548386</v>
      </c>
      <c r="O17" s="40">
        <v>2150</v>
      </c>
      <c r="P17" s="41">
        <v>2354.4320000000002</v>
      </c>
      <c r="Q17" s="40">
        <v>1050</v>
      </c>
      <c r="R17" s="41">
        <v>2150</v>
      </c>
      <c r="S17" s="41">
        <v>2350</v>
      </c>
      <c r="T17" s="41">
        <v>1875</v>
      </c>
      <c r="U17" s="41">
        <v>2350</v>
      </c>
      <c r="V17" s="41">
        <v>2150</v>
      </c>
      <c r="W17" s="41">
        <v>2150</v>
      </c>
      <c r="X17" s="41">
        <v>1500</v>
      </c>
      <c r="Y17" s="41">
        <v>1400</v>
      </c>
      <c r="Z17" s="42">
        <v>2225</v>
      </c>
      <c r="AA17" s="42">
        <v>1000</v>
      </c>
    </row>
    <row r="18" spans="1:27" ht="12.75">
      <c r="A18" s="33">
        <v>10173110</v>
      </c>
      <c r="B18" s="34">
        <v>3290</v>
      </c>
      <c r="C18" s="34" t="s">
        <v>33</v>
      </c>
      <c r="D18" s="34" t="s">
        <v>24</v>
      </c>
      <c r="E18" s="35">
        <v>625</v>
      </c>
      <c r="F18" s="35">
        <v>625</v>
      </c>
      <c r="G18" s="35">
        <v>625</v>
      </c>
      <c r="H18" s="35">
        <v>625</v>
      </c>
      <c r="I18" s="35">
        <v>625</v>
      </c>
      <c r="J18" s="36">
        <v>625</v>
      </c>
      <c r="K18" s="35">
        <v>625</v>
      </c>
      <c r="L18" s="36">
        <v>625</v>
      </c>
      <c r="M18" s="35">
        <v>625</v>
      </c>
      <c r="N18" s="36">
        <v>625</v>
      </c>
      <c r="O18" s="35">
        <v>625</v>
      </c>
      <c r="P18" s="36">
        <v>625</v>
      </c>
      <c r="Q18" s="35">
        <v>625</v>
      </c>
      <c r="R18" s="36">
        <v>625</v>
      </c>
      <c r="S18" s="36">
        <v>625</v>
      </c>
      <c r="T18" s="36">
        <v>625</v>
      </c>
      <c r="U18" s="36">
        <v>625</v>
      </c>
      <c r="V18" s="36">
        <v>625</v>
      </c>
      <c r="W18" s="36">
        <v>625</v>
      </c>
      <c r="X18" s="36">
        <v>875</v>
      </c>
      <c r="Y18" s="36">
        <v>625</v>
      </c>
      <c r="Z18" s="37">
        <v>625</v>
      </c>
      <c r="AA18" s="37">
        <v>650</v>
      </c>
    </row>
    <row r="19" spans="1:27" ht="12.75">
      <c r="A19" s="38">
        <v>10173180</v>
      </c>
      <c r="B19" s="39">
        <v>3290</v>
      </c>
      <c r="C19" s="39" t="s">
        <v>34</v>
      </c>
      <c r="D19" s="39" t="s">
        <v>24</v>
      </c>
      <c r="E19" s="40">
        <v>475</v>
      </c>
      <c r="F19" s="40">
        <v>600</v>
      </c>
      <c r="G19" s="40">
        <v>475</v>
      </c>
      <c r="H19" s="40">
        <v>600</v>
      </c>
      <c r="I19" s="40">
        <v>475</v>
      </c>
      <c r="J19" s="41">
        <v>600</v>
      </c>
      <c r="K19" s="40">
        <v>900</v>
      </c>
      <c r="L19" s="41">
        <v>600</v>
      </c>
      <c r="M19" s="40">
        <v>1450</v>
      </c>
      <c r="N19" s="41">
        <v>1250</v>
      </c>
      <c r="O19" s="40">
        <v>2376</v>
      </c>
      <c r="P19" s="41">
        <v>1027.2727272727273</v>
      </c>
      <c r="Q19" s="40">
        <v>1250</v>
      </c>
      <c r="R19" s="41">
        <v>2375</v>
      </c>
      <c r="S19" s="41">
        <v>5501</v>
      </c>
      <c r="T19" s="41">
        <v>1500</v>
      </c>
      <c r="U19" s="41">
        <v>4800</v>
      </c>
      <c r="V19" s="41">
        <v>5090</v>
      </c>
      <c r="W19" s="41">
        <v>4260</v>
      </c>
      <c r="X19" s="41">
        <v>11751</v>
      </c>
      <c r="Y19" s="41">
        <v>4000</v>
      </c>
      <c r="Z19" s="42">
        <v>4910</v>
      </c>
      <c r="AA19" s="42">
        <v>4275</v>
      </c>
    </row>
    <row r="20" spans="1:27" ht="12.75">
      <c r="A20" s="33">
        <v>10174290</v>
      </c>
      <c r="B20" s="34">
        <v>3401</v>
      </c>
      <c r="C20" s="34" t="s">
        <v>35</v>
      </c>
      <c r="D20" s="34" t="s">
        <v>24</v>
      </c>
      <c r="E20" s="35">
        <v>100</v>
      </c>
      <c r="F20" s="35">
        <v>47.5</v>
      </c>
      <c r="G20" s="35">
        <v>100</v>
      </c>
      <c r="H20" s="35">
        <v>0.78</v>
      </c>
      <c r="I20" s="35">
        <v>100</v>
      </c>
      <c r="J20" s="36">
        <v>100</v>
      </c>
      <c r="K20" s="35">
        <v>118.5</v>
      </c>
      <c r="L20" s="36">
        <v>30</v>
      </c>
      <c r="M20" s="35">
        <v>7.5</v>
      </c>
      <c r="N20" s="36">
        <v>76.03935483870968</v>
      </c>
      <c r="O20" s="35">
        <v>53.5</v>
      </c>
      <c r="P20" s="36">
        <v>370.13127272727274</v>
      </c>
      <c r="Q20" s="35">
        <v>19</v>
      </c>
      <c r="R20" s="36">
        <v>50</v>
      </c>
      <c r="S20" s="36">
        <v>35</v>
      </c>
      <c r="T20" s="36">
        <v>50</v>
      </c>
      <c r="U20" s="36">
        <v>12.5</v>
      </c>
      <c r="V20" s="36">
        <v>6.5</v>
      </c>
      <c r="W20" s="36">
        <v>0</v>
      </c>
      <c r="X20" s="36">
        <v>0.5</v>
      </c>
      <c r="Y20" s="36">
        <v>0.5</v>
      </c>
      <c r="Z20" s="37">
        <v>0</v>
      </c>
      <c r="AA20" s="37">
        <v>1</v>
      </c>
    </row>
    <row r="21" spans="1:27" ht="12.75">
      <c r="A21" s="38">
        <v>10174390</v>
      </c>
      <c r="B21" s="39">
        <v>3401</v>
      </c>
      <c r="C21" s="39" t="s">
        <v>36</v>
      </c>
      <c r="D21" s="39" t="s">
        <v>24</v>
      </c>
      <c r="E21" s="40">
        <v>176813</v>
      </c>
      <c r="F21" s="40">
        <v>176813</v>
      </c>
      <c r="G21" s="40">
        <v>250861</v>
      </c>
      <c r="H21" s="40">
        <v>250861</v>
      </c>
      <c r="I21" s="40">
        <v>282053</v>
      </c>
      <c r="J21" s="41">
        <v>240185</v>
      </c>
      <c r="K21" s="40">
        <v>240185</v>
      </c>
      <c r="L21" s="41">
        <v>292280</v>
      </c>
      <c r="M21" s="40">
        <v>292280</v>
      </c>
      <c r="N21" s="41">
        <v>305313</v>
      </c>
      <c r="O21" s="40">
        <v>305313</v>
      </c>
      <c r="P21" s="41">
        <v>264206</v>
      </c>
      <c r="Q21" s="40">
        <v>264206</v>
      </c>
      <c r="R21" s="41">
        <v>259672</v>
      </c>
      <c r="S21" s="41">
        <v>290765</v>
      </c>
      <c r="T21" s="41">
        <v>290765</v>
      </c>
      <c r="U21" s="41">
        <v>260639</v>
      </c>
      <c r="V21" s="41">
        <v>268538</v>
      </c>
      <c r="W21" s="41">
        <v>276567</v>
      </c>
      <c r="X21" s="41">
        <v>282613</v>
      </c>
      <c r="Y21" s="41">
        <v>329374</v>
      </c>
      <c r="Z21" s="42">
        <v>317687</v>
      </c>
      <c r="AA21" s="42">
        <v>355250</v>
      </c>
    </row>
    <row r="22" spans="1:27" ht="12.75">
      <c r="A22" s="33">
        <v>10174400</v>
      </c>
      <c r="B22" s="34">
        <v>3401</v>
      </c>
      <c r="C22" s="34" t="s">
        <v>37</v>
      </c>
      <c r="D22" s="34" t="s">
        <v>24</v>
      </c>
      <c r="E22" s="35"/>
      <c r="F22" s="35">
        <v>0</v>
      </c>
      <c r="G22" s="35"/>
      <c r="H22" s="35">
        <v>0</v>
      </c>
      <c r="I22" s="35">
        <v>17342</v>
      </c>
      <c r="J22" s="36">
        <v>15791</v>
      </c>
      <c r="K22" s="35">
        <v>15791</v>
      </c>
      <c r="L22" s="36">
        <v>17359</v>
      </c>
      <c r="M22" s="35">
        <v>17359</v>
      </c>
      <c r="N22" s="36">
        <v>14246</v>
      </c>
      <c r="O22" s="35">
        <v>14246</v>
      </c>
      <c r="P22" s="36">
        <v>22745</v>
      </c>
      <c r="Q22" s="35">
        <v>22745</v>
      </c>
      <c r="R22" s="36">
        <v>17102</v>
      </c>
      <c r="S22" s="36">
        <v>18304</v>
      </c>
      <c r="T22" s="36">
        <v>18304</v>
      </c>
      <c r="U22" s="36">
        <v>16987</v>
      </c>
      <c r="V22" s="36">
        <v>17369</v>
      </c>
      <c r="W22" s="36">
        <v>17473</v>
      </c>
      <c r="X22" s="36">
        <v>16787</v>
      </c>
      <c r="Y22" s="36">
        <v>20606</v>
      </c>
      <c r="Z22" s="37">
        <v>19905</v>
      </c>
      <c r="AA22" s="37">
        <v>20945</v>
      </c>
    </row>
    <row r="23" spans="1:27" ht="12.75">
      <c r="A23" s="38">
        <v>10174410</v>
      </c>
      <c r="B23" s="39">
        <v>3401</v>
      </c>
      <c r="C23" s="39" t="s">
        <v>38</v>
      </c>
      <c r="D23" s="39" t="s">
        <v>24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1">
        <v>73056</v>
      </c>
      <c r="K23" s="40">
        <v>52747.14</v>
      </c>
      <c r="L23" s="41">
        <v>83975</v>
      </c>
      <c r="M23" s="40">
        <v>0</v>
      </c>
      <c r="N23" s="41">
        <v>77562</v>
      </c>
      <c r="O23" s="40">
        <v>77562</v>
      </c>
      <c r="P23" s="41">
        <v>85639</v>
      </c>
      <c r="Q23" s="40">
        <v>85639</v>
      </c>
      <c r="R23" s="41">
        <v>69802</v>
      </c>
      <c r="S23" s="41">
        <v>83097</v>
      </c>
      <c r="T23" s="41">
        <v>83097</v>
      </c>
      <c r="U23" s="41">
        <v>56307</v>
      </c>
      <c r="V23" s="41">
        <v>50478</v>
      </c>
      <c r="W23" s="41">
        <v>50690</v>
      </c>
      <c r="X23" s="41">
        <v>48060</v>
      </c>
      <c r="Y23" s="41">
        <v>53873</v>
      </c>
      <c r="Z23" s="42">
        <v>43295</v>
      </c>
      <c r="AA23" s="42">
        <v>46787</v>
      </c>
    </row>
    <row r="24" spans="1:27" ht="12.75">
      <c r="A24" s="33">
        <v>10174420</v>
      </c>
      <c r="B24" s="34">
        <v>3401</v>
      </c>
      <c r="C24" s="34" t="s">
        <v>39</v>
      </c>
      <c r="D24" s="34" t="s">
        <v>24</v>
      </c>
      <c r="E24" s="35">
        <v>0</v>
      </c>
      <c r="F24" s="35"/>
      <c r="G24" s="35"/>
      <c r="H24" s="35"/>
      <c r="I24" s="35">
        <v>0</v>
      </c>
      <c r="J24" s="36">
        <v>0</v>
      </c>
      <c r="K24" s="35">
        <v>0</v>
      </c>
      <c r="L24" s="36">
        <v>20040</v>
      </c>
      <c r="M24" s="35">
        <v>0</v>
      </c>
      <c r="N24" s="36">
        <v>21271</v>
      </c>
      <c r="O24" s="35">
        <v>21271</v>
      </c>
      <c r="P24" s="36">
        <v>24764</v>
      </c>
      <c r="Q24" s="35">
        <v>24764</v>
      </c>
      <c r="R24" s="36">
        <v>33177</v>
      </c>
      <c r="S24" s="36">
        <v>36768</v>
      </c>
      <c r="T24" s="36">
        <v>36768</v>
      </c>
      <c r="U24" s="36">
        <v>35365</v>
      </c>
      <c r="V24" s="36">
        <v>34948</v>
      </c>
      <c r="W24" s="36">
        <v>38054</v>
      </c>
      <c r="X24" s="36">
        <v>40295</v>
      </c>
      <c r="Y24" s="36">
        <v>59166</v>
      </c>
      <c r="Z24" s="37">
        <v>54076</v>
      </c>
      <c r="AA24" s="37">
        <v>57524</v>
      </c>
    </row>
    <row r="25" spans="1:27" ht="12.75">
      <c r="A25" s="38">
        <v>10174990</v>
      </c>
      <c r="B25" s="39">
        <v>3401</v>
      </c>
      <c r="C25" s="39" t="s">
        <v>40</v>
      </c>
      <c r="D25" s="39" t="s">
        <v>24</v>
      </c>
      <c r="E25" s="40">
        <v>2000</v>
      </c>
      <c r="F25" s="40">
        <f>0.09+36346.77</f>
        <v>36346.85999999999</v>
      </c>
      <c r="G25" s="40">
        <v>2000</v>
      </c>
      <c r="H25" s="40">
        <v>767.76</v>
      </c>
      <c r="I25" s="40">
        <v>2000</v>
      </c>
      <c r="J25" s="41">
        <v>1000</v>
      </c>
      <c r="K25" s="40">
        <v>111338.11</v>
      </c>
      <c r="L25" s="41">
        <v>1000</v>
      </c>
      <c r="M25" s="40">
        <v>10563.93</v>
      </c>
      <c r="N25" s="41">
        <v>2000</v>
      </c>
      <c r="O25" s="40">
        <v>13856.11</v>
      </c>
      <c r="P25" s="41">
        <v>5717.641818181816</v>
      </c>
      <c r="Q25" s="40">
        <v>-9188.23</v>
      </c>
      <c r="R25" s="41">
        <v>5700</v>
      </c>
      <c r="S25" s="41">
        <v>455.53</v>
      </c>
      <c r="T25" s="41">
        <v>5700</v>
      </c>
      <c r="U25" s="41">
        <v>3149.48</v>
      </c>
      <c r="V25" s="41">
        <v>153</v>
      </c>
      <c r="W25" s="41">
        <v>0</v>
      </c>
      <c r="X25" s="41">
        <v>1273.21</v>
      </c>
      <c r="Y25" s="41">
        <v>0</v>
      </c>
      <c r="Z25" s="42">
        <v>1620</v>
      </c>
      <c r="AA25" s="42">
        <v>1300</v>
      </c>
    </row>
    <row r="26" spans="1:27" ht="12.75">
      <c r="A26" s="33">
        <v>10178010</v>
      </c>
      <c r="B26" s="34">
        <v>3502</v>
      </c>
      <c r="C26" s="34" t="s">
        <v>41</v>
      </c>
      <c r="D26" s="34" t="s">
        <v>24</v>
      </c>
      <c r="E26" s="35">
        <v>400000</v>
      </c>
      <c r="F26" s="35">
        <v>840526.31</v>
      </c>
      <c r="G26" s="35">
        <v>400000</v>
      </c>
      <c r="H26" s="35">
        <v>1044775.65</v>
      </c>
      <c r="I26" s="35">
        <v>600000</v>
      </c>
      <c r="J26" s="36">
        <v>600000</v>
      </c>
      <c r="K26" s="35">
        <v>237073.02</v>
      </c>
      <c r="L26" s="36">
        <v>600000</v>
      </c>
      <c r="M26" s="35">
        <v>110882.1</v>
      </c>
      <c r="N26" s="36">
        <v>275000</v>
      </c>
      <c r="O26" s="35">
        <v>96796.37</v>
      </c>
      <c r="P26" s="36">
        <f>3973+319260-474+41721</f>
        <v>364480</v>
      </c>
      <c r="Q26" s="35">
        <v>60619.59</v>
      </c>
      <c r="R26" s="36">
        <f>1768+300000</f>
        <v>301768</v>
      </c>
      <c r="S26" s="36">
        <v>36613.08</v>
      </c>
      <c r="T26" s="36">
        <f>7500+117000-315-4053</f>
        <v>120132</v>
      </c>
      <c r="U26" s="36">
        <v>84040.15</v>
      </c>
      <c r="V26" s="36">
        <v>163659.79</v>
      </c>
      <c r="W26" s="36">
        <v>433035.92</v>
      </c>
      <c r="X26" s="36">
        <v>788447.68</v>
      </c>
      <c r="Y26" s="36">
        <v>530652</v>
      </c>
      <c r="Z26" s="37">
        <v>363927</v>
      </c>
      <c r="AA26" s="37">
        <v>363927</v>
      </c>
    </row>
    <row r="27" spans="1:27" ht="12.75">
      <c r="A27" s="38">
        <v>10178240</v>
      </c>
      <c r="B27" s="39">
        <v>3503</v>
      </c>
      <c r="C27" s="39" t="s">
        <v>42</v>
      </c>
      <c r="D27" s="39" t="s">
        <v>24</v>
      </c>
      <c r="E27" s="40">
        <v>0</v>
      </c>
      <c r="F27" s="40">
        <v>0</v>
      </c>
      <c r="G27" s="40">
        <v>0</v>
      </c>
      <c r="H27" s="40">
        <f>3846+2500</f>
        <v>6346</v>
      </c>
      <c r="I27" s="40">
        <v>0</v>
      </c>
      <c r="J27" s="41">
        <v>0</v>
      </c>
      <c r="K27" s="40">
        <v>75</v>
      </c>
      <c r="L27" s="41">
        <v>0</v>
      </c>
      <c r="M27" s="40">
        <v>2700</v>
      </c>
      <c r="N27" s="41">
        <v>0</v>
      </c>
      <c r="O27" s="40">
        <f>1583.96+5936.58</f>
        <v>7520.54</v>
      </c>
      <c r="P27" s="41">
        <v>0</v>
      </c>
      <c r="Q27" s="40">
        <f>509.74+1300</f>
        <v>1809.74</v>
      </c>
      <c r="R27" s="41">
        <v>0</v>
      </c>
      <c r="S27" s="41">
        <f>2765.94+3010.83</f>
        <v>5776.77</v>
      </c>
      <c r="T27" s="41">
        <v>0</v>
      </c>
      <c r="U27" s="41">
        <v>15451.380000000001</v>
      </c>
      <c r="V27" s="41">
        <v>91144.45999999999</v>
      </c>
      <c r="W27" s="41">
        <v>7507.61</v>
      </c>
      <c r="X27" s="41">
        <v>12119.04</v>
      </c>
      <c r="Y27" s="41">
        <v>4390</v>
      </c>
      <c r="Z27" s="42">
        <v>0</v>
      </c>
      <c r="AA27" s="42">
        <v>0</v>
      </c>
    </row>
    <row r="28" spans="1:27" ht="12.75">
      <c r="A28" s="33">
        <v>10178320</v>
      </c>
      <c r="B28" s="34">
        <v>3503</v>
      </c>
      <c r="C28" s="34" t="s">
        <v>43</v>
      </c>
      <c r="D28" s="34" t="s">
        <v>24</v>
      </c>
      <c r="E28" s="35">
        <v>15000</v>
      </c>
      <c r="F28" s="35">
        <v>3588</v>
      </c>
      <c r="G28" s="35">
        <v>15000</v>
      </c>
      <c r="H28" s="35">
        <v>-41.09</v>
      </c>
      <c r="I28" s="35">
        <v>5000</v>
      </c>
      <c r="J28" s="36">
        <v>0</v>
      </c>
      <c r="K28" s="35"/>
      <c r="L28" s="36">
        <v>0</v>
      </c>
      <c r="M28" s="35">
        <v>3011.23</v>
      </c>
      <c r="N28" s="36">
        <v>0</v>
      </c>
      <c r="O28" s="35"/>
      <c r="P28" s="36">
        <v>0</v>
      </c>
      <c r="Q28" s="35"/>
      <c r="R28" s="36">
        <v>0</v>
      </c>
      <c r="S28" s="36">
        <v>88270.08</v>
      </c>
      <c r="T28" s="36">
        <v>75000</v>
      </c>
      <c r="U28" s="36">
        <v>368124.76</v>
      </c>
      <c r="V28" s="36">
        <v>95</v>
      </c>
      <c r="W28" s="36">
        <v>0</v>
      </c>
      <c r="X28" s="36">
        <v>118362.13</v>
      </c>
      <c r="Y28" s="36">
        <v>38677</v>
      </c>
      <c r="Z28" s="37">
        <v>7500</v>
      </c>
      <c r="AA28" s="37">
        <v>7500</v>
      </c>
    </row>
    <row r="29" spans="1:27" ht="12.75">
      <c r="A29" s="38">
        <v>10178340</v>
      </c>
      <c r="B29" s="39">
        <v>3501</v>
      </c>
      <c r="C29" s="39" t="s">
        <v>44</v>
      </c>
      <c r="D29" s="39" t="s">
        <v>24</v>
      </c>
      <c r="E29" s="40">
        <v>21000</v>
      </c>
      <c r="F29" s="40">
        <v>0</v>
      </c>
      <c r="G29" s="40">
        <v>21000</v>
      </c>
      <c r="H29" s="40">
        <v>17062</v>
      </c>
      <c r="I29" s="40">
        <v>21000</v>
      </c>
      <c r="J29" s="41">
        <v>515000</v>
      </c>
      <c r="K29" s="40">
        <v>334784</v>
      </c>
      <c r="L29" s="41">
        <v>15000</v>
      </c>
      <c r="M29" s="40">
        <v>44789.01</v>
      </c>
      <c r="N29" s="41">
        <v>10000</v>
      </c>
      <c r="O29" s="40">
        <v>11406</v>
      </c>
      <c r="P29" s="41">
        <v>10000</v>
      </c>
      <c r="Q29" s="40">
        <v>4641</v>
      </c>
      <c r="R29" s="41">
        <v>10000</v>
      </c>
      <c r="S29" s="41">
        <v>185070.12</v>
      </c>
      <c r="T29" s="41">
        <v>5000</v>
      </c>
      <c r="U29" s="41">
        <v>7861.5</v>
      </c>
      <c r="V29" s="41">
        <v>111525</v>
      </c>
      <c r="W29" s="41">
        <v>36268.89</v>
      </c>
      <c r="X29" s="41">
        <v>48420.91</v>
      </c>
      <c r="Y29" s="41">
        <v>7713</v>
      </c>
      <c r="Z29" s="42">
        <v>66460</v>
      </c>
      <c r="AA29" s="42">
        <v>21050</v>
      </c>
    </row>
    <row r="30" spans="1:27" ht="12.75">
      <c r="A30" s="33">
        <v>10178350</v>
      </c>
      <c r="B30" s="34">
        <v>3503</v>
      </c>
      <c r="C30" s="34" t="s">
        <v>45</v>
      </c>
      <c r="D30" s="34" t="s">
        <v>24</v>
      </c>
      <c r="E30" s="35">
        <v>35059</v>
      </c>
      <c r="F30" s="35">
        <v>35680.24</v>
      </c>
      <c r="G30" s="35">
        <v>35059</v>
      </c>
      <c r="H30" s="35">
        <v>35680.24</v>
      </c>
      <c r="I30" s="35">
        <v>35059</v>
      </c>
      <c r="J30" s="36">
        <v>38094</v>
      </c>
      <c r="K30" s="35">
        <v>42094.16</v>
      </c>
      <c r="L30" s="36">
        <v>40000</v>
      </c>
      <c r="M30" s="35">
        <v>30245.5</v>
      </c>
      <c r="N30" s="36">
        <v>4000</v>
      </c>
      <c r="O30" s="35">
        <v>4000</v>
      </c>
      <c r="P30" s="36">
        <v>4000</v>
      </c>
      <c r="Q30" s="35">
        <v>4000</v>
      </c>
      <c r="R30" s="36">
        <v>4000</v>
      </c>
      <c r="S30" s="36">
        <v>4001</v>
      </c>
      <c r="T30" s="36">
        <v>4000</v>
      </c>
      <c r="U30" s="36">
        <v>6500</v>
      </c>
      <c r="V30" s="36">
        <v>7500</v>
      </c>
      <c r="W30" s="36">
        <v>7700</v>
      </c>
      <c r="X30" s="36">
        <v>7550</v>
      </c>
      <c r="Y30" s="36">
        <v>6500</v>
      </c>
      <c r="Z30" s="37">
        <v>7500</v>
      </c>
      <c r="AA30" s="37">
        <v>7500</v>
      </c>
    </row>
    <row r="31" spans="1:27" ht="12.75">
      <c r="A31" s="38">
        <v>10178990</v>
      </c>
      <c r="B31" s="39">
        <v>3503</v>
      </c>
      <c r="C31" s="39" t="s">
        <v>46</v>
      </c>
      <c r="D31" s="39" t="s">
        <v>24</v>
      </c>
      <c r="E31" s="40">
        <v>3200</v>
      </c>
      <c r="F31" s="40">
        <f>2162.33+14</f>
        <v>2176.33</v>
      </c>
      <c r="G31" s="40">
        <v>3200</v>
      </c>
      <c r="H31" s="40">
        <v>9000.27</v>
      </c>
      <c r="I31" s="40">
        <v>3200</v>
      </c>
      <c r="J31" s="41">
        <v>3000</v>
      </c>
      <c r="K31" s="40">
        <v>29852.84</v>
      </c>
      <c r="L31" s="41">
        <v>3000</v>
      </c>
      <c r="M31" s="40">
        <v>6451.47</v>
      </c>
      <c r="N31" s="41">
        <f>3500+3000</f>
        <v>6500</v>
      </c>
      <c r="O31" s="40">
        <v>20883.87</v>
      </c>
      <c r="P31" s="41">
        <v>16808.03709090909</v>
      </c>
      <c r="Q31" s="40">
        <v>19252.07</v>
      </c>
      <c r="R31" s="41">
        <v>16808.03709090909</v>
      </c>
      <c r="S31" s="41">
        <v>26490.46</v>
      </c>
      <c r="T31" s="41">
        <v>16000</v>
      </c>
      <c r="U31" s="41">
        <v>1855.83</v>
      </c>
      <c r="V31" s="41">
        <v>24682.98</v>
      </c>
      <c r="W31" s="41">
        <v>60007.59</v>
      </c>
      <c r="X31" s="41">
        <v>6191.9</v>
      </c>
      <c r="Y31" s="41">
        <v>33830</v>
      </c>
      <c r="Z31" s="42">
        <v>20824</v>
      </c>
      <c r="AA31" s="42">
        <v>27000</v>
      </c>
    </row>
    <row r="32" spans="1:27" ht="12.75">
      <c r="A32" s="33">
        <v>10179090</v>
      </c>
      <c r="B32" s="34">
        <v>3915</v>
      </c>
      <c r="C32" s="34" t="s">
        <v>47</v>
      </c>
      <c r="D32" s="34" t="s">
        <v>24</v>
      </c>
      <c r="E32" s="35">
        <v>0</v>
      </c>
      <c r="F32" s="35">
        <v>178.99</v>
      </c>
      <c r="G32" s="35">
        <v>0</v>
      </c>
      <c r="H32" s="35">
        <v>2639347.34</v>
      </c>
      <c r="I32" s="35">
        <v>0</v>
      </c>
      <c r="J32" s="36">
        <v>0</v>
      </c>
      <c r="K32" s="35"/>
      <c r="L32" s="36">
        <f>-672000+1500900-30000</f>
        <v>798900</v>
      </c>
      <c r="M32" s="35">
        <v>188321</v>
      </c>
      <c r="N32" s="36">
        <v>0</v>
      </c>
      <c r="O32" s="35">
        <v>789412.59</v>
      </c>
      <c r="P32" s="36">
        <v>0</v>
      </c>
      <c r="Q32" s="35">
        <v>241535.63</v>
      </c>
      <c r="R32" s="36">
        <v>2696423</v>
      </c>
      <c r="S32" s="36">
        <v>1907506.01</v>
      </c>
      <c r="T32" s="36">
        <v>1201000</v>
      </c>
      <c r="U32" s="36">
        <v>1705553.83</v>
      </c>
      <c r="V32" s="36">
        <v>850587.99</v>
      </c>
      <c r="W32" s="36">
        <v>1445729.05</v>
      </c>
      <c r="X32" s="36">
        <v>1160955.52</v>
      </c>
      <c r="Y32" s="36">
        <v>2128439</v>
      </c>
      <c r="Z32" s="37">
        <v>0</v>
      </c>
      <c r="AA32" s="37">
        <v>0</v>
      </c>
    </row>
    <row r="33" spans="1:27" ht="13.5" thickBot="1">
      <c r="A33" s="44">
        <v>10179210</v>
      </c>
      <c r="B33" s="45">
        <v>9999</v>
      </c>
      <c r="C33" s="45" t="s">
        <v>48</v>
      </c>
      <c r="D33" s="45" t="s">
        <v>24</v>
      </c>
      <c r="E33" s="46">
        <v>553433</v>
      </c>
      <c r="F33" s="46">
        <v>-389616.16</v>
      </c>
      <c r="G33" s="46">
        <v>500000</v>
      </c>
      <c r="H33" s="46">
        <v>81693.92</v>
      </c>
      <c r="I33" s="46">
        <v>1383646</v>
      </c>
      <c r="J33" s="47">
        <v>0</v>
      </c>
      <c r="K33" s="46">
        <v>40951.18</v>
      </c>
      <c r="L33" s="47">
        <v>65000</v>
      </c>
      <c r="M33" s="46">
        <v>-191880.9</v>
      </c>
      <c r="N33" s="47">
        <v>0</v>
      </c>
      <c r="O33" s="46">
        <v>-577132.15</v>
      </c>
      <c r="P33" s="47">
        <v>0</v>
      </c>
      <c r="Q33" s="46">
        <v>-1107530.76</v>
      </c>
      <c r="R33" s="47">
        <v>0</v>
      </c>
      <c r="S33" s="47">
        <f>-624870.76-6000</f>
        <v>-630870.76</v>
      </c>
      <c r="T33" s="47">
        <v>0</v>
      </c>
      <c r="U33" s="47">
        <v>-2307932.13</v>
      </c>
      <c r="V33" s="47">
        <v>-106349.7</v>
      </c>
      <c r="W33" s="47">
        <v>-1036734.35</v>
      </c>
      <c r="X33" s="47">
        <v>-2407826.77</v>
      </c>
      <c r="Y33" s="47">
        <v>-1066588</v>
      </c>
      <c r="Z33" s="48">
        <v>1550000</v>
      </c>
      <c r="AA33" s="48">
        <f>300000+1550000-200000</f>
        <v>1650000</v>
      </c>
    </row>
    <row r="34" spans="1:27" ht="12.75">
      <c r="A34" s="33">
        <v>10274230</v>
      </c>
      <c r="B34" s="34">
        <v>3401</v>
      </c>
      <c r="C34" s="34" t="s">
        <v>49</v>
      </c>
      <c r="D34" s="34" t="s">
        <v>50</v>
      </c>
      <c r="E34" s="35">
        <v>1000</v>
      </c>
      <c r="F34" s="35">
        <v>1166.6</v>
      </c>
      <c r="G34" s="35">
        <v>1000</v>
      </c>
      <c r="H34" s="35">
        <v>602</v>
      </c>
      <c r="I34" s="35">
        <v>1000</v>
      </c>
      <c r="J34" s="36">
        <v>750</v>
      </c>
      <c r="K34" s="35">
        <v>66.5</v>
      </c>
      <c r="L34" s="36">
        <v>500</v>
      </c>
      <c r="M34" s="35">
        <v>47</v>
      </c>
      <c r="N34" s="36">
        <v>100</v>
      </c>
      <c r="O34" s="35">
        <v>273</v>
      </c>
      <c r="P34" s="36">
        <v>300</v>
      </c>
      <c r="Q34" s="35">
        <v>74.5</v>
      </c>
      <c r="R34" s="36">
        <v>300</v>
      </c>
      <c r="S34" s="36">
        <v>36.5</v>
      </c>
      <c r="T34" s="36">
        <v>150</v>
      </c>
      <c r="U34" s="36">
        <v>21</v>
      </c>
      <c r="V34" s="36">
        <v>11</v>
      </c>
      <c r="W34" s="36">
        <v>8.5</v>
      </c>
      <c r="X34" s="36">
        <v>12</v>
      </c>
      <c r="Y34" s="36">
        <v>0</v>
      </c>
      <c r="Z34" s="37">
        <v>25</v>
      </c>
      <c r="AA34" s="37">
        <v>25</v>
      </c>
    </row>
    <row r="35" spans="1:27" ht="12.75">
      <c r="A35" s="38">
        <v>10274290</v>
      </c>
      <c r="B35" s="39">
        <v>3401</v>
      </c>
      <c r="C35" s="39" t="s">
        <v>35</v>
      </c>
      <c r="D35" s="39" t="s">
        <v>50</v>
      </c>
      <c r="E35" s="40">
        <v>4500</v>
      </c>
      <c r="F35" s="40">
        <v>2554.5</v>
      </c>
      <c r="G35" s="40">
        <v>4500</v>
      </c>
      <c r="H35" s="40">
        <v>1658.89</v>
      </c>
      <c r="I35" s="40">
        <v>3500</v>
      </c>
      <c r="J35" s="41">
        <v>750</v>
      </c>
      <c r="K35" s="40">
        <v>826.5</v>
      </c>
      <c r="L35" s="41">
        <v>750</v>
      </c>
      <c r="M35" s="40">
        <v>469</v>
      </c>
      <c r="N35" s="41">
        <v>1189.018064516129</v>
      </c>
      <c r="O35" s="40">
        <v>510</v>
      </c>
      <c r="P35" s="41">
        <v>874.8283636363636</v>
      </c>
      <c r="Q35" s="40">
        <v>573</v>
      </c>
      <c r="R35" s="41">
        <v>874.8283636363636</v>
      </c>
      <c r="S35" s="41">
        <v>334.5</v>
      </c>
      <c r="T35" s="41">
        <v>600</v>
      </c>
      <c r="U35" s="41">
        <v>141</v>
      </c>
      <c r="V35" s="41">
        <v>123</v>
      </c>
      <c r="W35" s="41">
        <v>239.45</v>
      </c>
      <c r="X35" s="41">
        <v>110</v>
      </c>
      <c r="Y35" s="41">
        <v>181</v>
      </c>
      <c r="Z35" s="42">
        <v>246</v>
      </c>
      <c r="AA35" s="42">
        <v>175</v>
      </c>
    </row>
    <row r="36" spans="1:27" ht="13.5" thickBot="1">
      <c r="A36" s="49">
        <v>10274990</v>
      </c>
      <c r="B36" s="50">
        <v>3401</v>
      </c>
      <c r="C36" s="50" t="s">
        <v>40</v>
      </c>
      <c r="D36" s="50" t="s">
        <v>50</v>
      </c>
      <c r="E36" s="51">
        <v>1200</v>
      </c>
      <c r="F36" s="51">
        <v>1067.5</v>
      </c>
      <c r="G36" s="51">
        <v>1200</v>
      </c>
      <c r="H36" s="51">
        <v>392.39</v>
      </c>
      <c r="I36" s="51">
        <v>1200</v>
      </c>
      <c r="J36" s="52">
        <v>500</v>
      </c>
      <c r="K36" s="51">
        <v>150</v>
      </c>
      <c r="L36" s="52">
        <v>500</v>
      </c>
      <c r="M36" s="51">
        <v>308</v>
      </c>
      <c r="N36" s="52">
        <v>558.4374193548388</v>
      </c>
      <c r="O36" s="51">
        <v>180</v>
      </c>
      <c r="P36" s="52">
        <v>449.15563636363635</v>
      </c>
      <c r="Q36" s="51">
        <v>256</v>
      </c>
      <c r="R36" s="52">
        <v>450</v>
      </c>
      <c r="S36" s="52">
        <v>271</v>
      </c>
      <c r="T36" s="52">
        <v>300</v>
      </c>
      <c r="U36" s="52">
        <v>182.46</v>
      </c>
      <c r="V36" s="52">
        <v>185</v>
      </c>
      <c r="W36" s="52">
        <v>9</v>
      </c>
      <c r="X36" s="52">
        <v>301</v>
      </c>
      <c r="Y36" s="52">
        <v>225</v>
      </c>
      <c r="Z36" s="53">
        <v>150</v>
      </c>
      <c r="AA36" s="53">
        <v>175</v>
      </c>
    </row>
    <row r="37" spans="1:27" ht="12.75">
      <c r="A37" s="38">
        <v>10372290</v>
      </c>
      <c r="B37" s="39">
        <v>3311</v>
      </c>
      <c r="C37" s="39" t="s">
        <v>51</v>
      </c>
      <c r="D37" s="39" t="s">
        <v>52</v>
      </c>
      <c r="E37" s="40">
        <v>0</v>
      </c>
      <c r="F37" s="40">
        <f>8420.29-213.25</f>
        <v>8207.04</v>
      </c>
      <c r="G37" s="40">
        <v>0</v>
      </c>
      <c r="H37" s="40">
        <v>6477.82</v>
      </c>
      <c r="I37" s="40">
        <v>0</v>
      </c>
      <c r="J37" s="41">
        <v>0</v>
      </c>
      <c r="K37" s="40">
        <v>66111.94</v>
      </c>
      <c r="L37" s="41">
        <v>0</v>
      </c>
      <c r="M37" s="40">
        <v>11008.63</v>
      </c>
      <c r="N37" s="41">
        <v>0</v>
      </c>
      <c r="O37" s="40">
        <v>30124</v>
      </c>
      <c r="P37" s="41">
        <v>0</v>
      </c>
      <c r="Q37" s="40">
        <f>26319.34+3177.5</f>
        <v>29496.84</v>
      </c>
      <c r="R37" s="41">
        <v>0</v>
      </c>
      <c r="S37" s="41">
        <v>0</v>
      </c>
      <c r="T37" s="41">
        <v>0</v>
      </c>
      <c r="U37" s="41">
        <v>-4331.12</v>
      </c>
      <c r="V37" s="41">
        <v>246992</v>
      </c>
      <c r="W37" s="41">
        <v>36607</v>
      </c>
      <c r="X37" s="41">
        <v>171.68</v>
      </c>
      <c r="Y37" s="41">
        <v>0</v>
      </c>
      <c r="Z37" s="42">
        <v>0</v>
      </c>
      <c r="AA37" s="42">
        <v>0</v>
      </c>
    </row>
    <row r="38" spans="1:27" ht="12.75">
      <c r="A38" s="33">
        <v>10373130</v>
      </c>
      <c r="B38" s="34">
        <v>3290</v>
      </c>
      <c r="C38" s="34" t="s">
        <v>53</v>
      </c>
      <c r="D38" s="34" t="s">
        <v>52</v>
      </c>
      <c r="E38" s="35"/>
      <c r="F38" s="35">
        <v>1185</v>
      </c>
      <c r="G38" s="35"/>
      <c r="H38" s="35">
        <v>730</v>
      </c>
      <c r="I38" s="35">
        <v>800</v>
      </c>
      <c r="J38" s="36">
        <v>800</v>
      </c>
      <c r="K38" s="35">
        <v>1130</v>
      </c>
      <c r="L38" s="36">
        <v>550</v>
      </c>
      <c r="M38" s="35">
        <v>880</v>
      </c>
      <c r="N38" s="36">
        <v>988.7096774193549</v>
      </c>
      <c r="O38" s="35">
        <f>25+750</f>
        <v>775</v>
      </c>
      <c r="P38" s="36">
        <v>941.2727272727273</v>
      </c>
      <c r="Q38" s="35">
        <f>25+480</f>
        <v>505</v>
      </c>
      <c r="R38" s="36">
        <v>925</v>
      </c>
      <c r="S38" s="36">
        <f>125+530</f>
        <v>655</v>
      </c>
      <c r="T38" s="36">
        <v>500</v>
      </c>
      <c r="U38" s="36">
        <v>880</v>
      </c>
      <c r="V38" s="36">
        <v>1050</v>
      </c>
      <c r="W38" s="36">
        <v>980</v>
      </c>
      <c r="X38" s="36">
        <v>955</v>
      </c>
      <c r="Y38" s="36">
        <v>1300</v>
      </c>
      <c r="Z38" s="37">
        <v>900</v>
      </c>
      <c r="AA38" s="37">
        <v>1025</v>
      </c>
    </row>
    <row r="39" spans="1:27" ht="12.75">
      <c r="A39" s="38">
        <v>10374090</v>
      </c>
      <c r="B39" s="39">
        <v>3290</v>
      </c>
      <c r="C39" s="39" t="s">
        <v>54</v>
      </c>
      <c r="D39" s="39" t="s">
        <v>52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1">
        <v>0</v>
      </c>
      <c r="K39" s="40">
        <v>10361</v>
      </c>
      <c r="L39" s="41">
        <v>10000</v>
      </c>
      <c r="M39" s="40">
        <v>10949</v>
      </c>
      <c r="N39" s="41">
        <v>7610.322580645161</v>
      </c>
      <c r="O39" s="40">
        <v>12365</v>
      </c>
      <c r="P39" s="41">
        <v>9067.2</v>
      </c>
      <c r="Q39" s="40">
        <v>33639</v>
      </c>
      <c r="R39" s="41">
        <v>10275</v>
      </c>
      <c r="S39" s="41">
        <v>22576</v>
      </c>
      <c r="T39" s="41">
        <v>18675</v>
      </c>
      <c r="U39" s="41">
        <v>20158</v>
      </c>
      <c r="V39" s="41">
        <v>23991</v>
      </c>
      <c r="W39" s="41">
        <v>21681</v>
      </c>
      <c r="X39" s="41">
        <v>29465</v>
      </c>
      <c r="Y39" s="41">
        <v>37575</v>
      </c>
      <c r="Z39" s="42">
        <v>21750</v>
      </c>
      <c r="AA39" s="42">
        <v>26600</v>
      </c>
    </row>
    <row r="40" spans="1:27" ht="12.75">
      <c r="A40" s="33">
        <v>10374210</v>
      </c>
      <c r="B40" s="34">
        <v>3401</v>
      </c>
      <c r="C40" s="34" t="s">
        <v>55</v>
      </c>
      <c r="D40" s="34" t="s">
        <v>52</v>
      </c>
      <c r="E40" s="35">
        <v>525000</v>
      </c>
      <c r="F40" s="35">
        <v>512670.25</v>
      </c>
      <c r="G40" s="35">
        <v>525000</v>
      </c>
      <c r="H40" s="35">
        <v>538293.61</v>
      </c>
      <c r="I40" s="35">
        <v>525000</v>
      </c>
      <c r="J40" s="36">
        <v>540000</v>
      </c>
      <c r="K40" s="35">
        <v>560184</v>
      </c>
      <c r="L40" s="36">
        <v>525000</v>
      </c>
      <c r="M40" s="35">
        <v>600629.15</v>
      </c>
      <c r="N40" s="36">
        <v>625000</v>
      </c>
      <c r="O40" s="35">
        <v>548646.8</v>
      </c>
      <c r="P40" s="36">
        <v>625000</v>
      </c>
      <c r="Q40" s="35">
        <v>609459.41</v>
      </c>
      <c r="R40" s="36">
        <v>625000</v>
      </c>
      <c r="S40" s="36">
        <v>641158.89</v>
      </c>
      <c r="T40" s="36">
        <v>625000</v>
      </c>
      <c r="U40" s="36">
        <v>700567.84</v>
      </c>
      <c r="V40" s="36">
        <v>814120.91</v>
      </c>
      <c r="W40" s="36">
        <v>773464.26</v>
      </c>
      <c r="X40" s="36">
        <v>873970.76</v>
      </c>
      <c r="Y40" s="36">
        <v>801514</v>
      </c>
      <c r="Z40" s="37">
        <v>900000</v>
      </c>
      <c r="AA40" s="37">
        <v>900000</v>
      </c>
    </row>
    <row r="41" spans="1:27" ht="12.75">
      <c r="A41" s="38">
        <v>10374270</v>
      </c>
      <c r="B41" s="39">
        <v>3401</v>
      </c>
      <c r="C41" s="39" t="s">
        <v>56</v>
      </c>
      <c r="D41" s="39" t="s">
        <v>52</v>
      </c>
      <c r="E41" s="40">
        <v>400</v>
      </c>
      <c r="F41" s="40">
        <v>375</v>
      </c>
      <c r="G41" s="40">
        <v>400</v>
      </c>
      <c r="H41" s="40">
        <v>275</v>
      </c>
      <c r="I41" s="40">
        <v>400</v>
      </c>
      <c r="J41" s="41">
        <v>350</v>
      </c>
      <c r="K41" s="40">
        <v>490</v>
      </c>
      <c r="L41" s="41">
        <v>300</v>
      </c>
      <c r="M41" s="40">
        <v>225</v>
      </c>
      <c r="N41" s="41">
        <v>376.2903225806452</v>
      </c>
      <c r="O41" s="40">
        <v>125</v>
      </c>
      <c r="P41" s="41">
        <v>310.27272727272725</v>
      </c>
      <c r="Q41" s="40">
        <v>100</v>
      </c>
      <c r="R41" s="41">
        <v>250</v>
      </c>
      <c r="S41" s="41">
        <v>250</v>
      </c>
      <c r="T41" s="41">
        <v>200</v>
      </c>
      <c r="U41" s="41">
        <v>425</v>
      </c>
      <c r="V41" s="41">
        <v>225</v>
      </c>
      <c r="W41" s="41">
        <v>75</v>
      </c>
      <c r="X41" s="41">
        <v>200</v>
      </c>
      <c r="Y41" s="41">
        <v>25</v>
      </c>
      <c r="Z41" s="42">
        <v>225</v>
      </c>
      <c r="AA41" s="42">
        <v>200</v>
      </c>
    </row>
    <row r="42" spans="1:27" ht="12.75" hidden="1">
      <c r="A42" s="33">
        <v>10374310</v>
      </c>
      <c r="B42" s="34">
        <v>3401</v>
      </c>
      <c r="C42" s="34" t="s">
        <v>57</v>
      </c>
      <c r="D42" s="34" t="s">
        <v>52</v>
      </c>
      <c r="E42" s="35"/>
      <c r="F42" s="35">
        <v>0</v>
      </c>
      <c r="G42" s="35"/>
      <c r="H42" s="35">
        <v>2760</v>
      </c>
      <c r="I42" s="35"/>
      <c r="J42" s="36">
        <v>0</v>
      </c>
      <c r="K42" s="35">
        <v>0</v>
      </c>
      <c r="L42" s="36">
        <v>0</v>
      </c>
      <c r="M42" s="35">
        <v>200</v>
      </c>
      <c r="N42" s="36">
        <v>0</v>
      </c>
      <c r="O42" s="35">
        <v>40</v>
      </c>
      <c r="P42" s="36">
        <v>437.6727272727273</v>
      </c>
      <c r="Q42" s="35">
        <v>20</v>
      </c>
      <c r="R42" s="36">
        <v>200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7">
        <v>0</v>
      </c>
      <c r="AA42" s="37"/>
    </row>
    <row r="43" spans="1:27" ht="12.75">
      <c r="A43" s="33">
        <v>10374990</v>
      </c>
      <c r="B43" s="34">
        <v>3401</v>
      </c>
      <c r="C43" s="34" t="s">
        <v>40</v>
      </c>
      <c r="D43" s="34" t="s">
        <v>52</v>
      </c>
      <c r="E43" s="35">
        <v>21000</v>
      </c>
      <c r="F43" s="35">
        <v>14622</v>
      </c>
      <c r="G43" s="35">
        <v>21000</v>
      </c>
      <c r="H43" s="35">
        <v>15719.2</v>
      </c>
      <c r="I43" s="35">
        <v>30000</v>
      </c>
      <c r="J43" s="36">
        <v>16000</v>
      </c>
      <c r="K43" s="35">
        <v>1890.85</v>
      </c>
      <c r="L43" s="36">
        <v>1500</v>
      </c>
      <c r="M43" s="35">
        <f>1256.41+2247.61</f>
        <v>3504.0200000000004</v>
      </c>
      <c r="N43" s="36">
        <v>6565.433870967742</v>
      </c>
      <c r="O43" s="35">
        <f>420.05+4150</f>
        <v>4570.05</v>
      </c>
      <c r="P43" s="36">
        <v>5229.544181818183</v>
      </c>
      <c r="Q43" s="35">
        <f>2645.83+2675.2</f>
        <v>5321.03</v>
      </c>
      <c r="R43" s="36">
        <v>4975</v>
      </c>
      <c r="S43" s="36">
        <f>360+499.3</f>
        <v>859.3</v>
      </c>
      <c r="T43" s="36">
        <v>4500</v>
      </c>
      <c r="U43" s="36">
        <v>1360</v>
      </c>
      <c r="V43" s="36">
        <v>824.28</v>
      </c>
      <c r="W43" s="36">
        <v>667.22</v>
      </c>
      <c r="X43" s="36">
        <v>732.3</v>
      </c>
      <c r="Y43" s="36">
        <f>400+516</f>
        <v>916</v>
      </c>
      <c r="Z43" s="37">
        <v>850</v>
      </c>
      <c r="AA43" s="37">
        <v>900</v>
      </c>
    </row>
    <row r="44" spans="1:27" ht="13.5" thickBot="1">
      <c r="A44" s="44">
        <v>10378240</v>
      </c>
      <c r="B44" s="45">
        <v>3503</v>
      </c>
      <c r="C44" s="45" t="s">
        <v>42</v>
      </c>
      <c r="D44" s="45" t="s">
        <v>52</v>
      </c>
      <c r="E44" s="46">
        <v>0</v>
      </c>
      <c r="F44" s="46">
        <f>2172.55+6842.25</f>
        <v>9014.8</v>
      </c>
      <c r="G44" s="46">
        <v>0</v>
      </c>
      <c r="H44" s="46">
        <v>16148.03</v>
      </c>
      <c r="I44" s="46">
        <v>0</v>
      </c>
      <c r="J44" s="47">
        <v>0</v>
      </c>
      <c r="K44" s="46">
        <v>8164.17</v>
      </c>
      <c r="L44" s="47">
        <v>40000</v>
      </c>
      <c r="M44" s="46">
        <v>6900.66</v>
      </c>
      <c r="N44" s="47">
        <v>40000</v>
      </c>
      <c r="O44" s="46">
        <v>1312.16</v>
      </c>
      <c r="P44" s="47">
        <v>0</v>
      </c>
      <c r="Q44" s="46">
        <f>14532.2+161.28</f>
        <v>14693.480000000001</v>
      </c>
      <c r="R44" s="47">
        <v>0</v>
      </c>
      <c r="S44" s="47">
        <v>6022.08</v>
      </c>
      <c r="T44" s="47">
        <v>8750</v>
      </c>
      <c r="U44" s="47">
        <v>0</v>
      </c>
      <c r="V44" s="47">
        <v>4054.8</v>
      </c>
      <c r="W44" s="47">
        <v>7755</v>
      </c>
      <c r="X44" s="47">
        <v>7652</v>
      </c>
      <c r="Y44" s="47">
        <v>476</v>
      </c>
      <c r="Z44" s="48">
        <v>0</v>
      </c>
      <c r="AA44" s="48">
        <v>0</v>
      </c>
    </row>
    <row r="45" spans="1:27" ht="12.75">
      <c r="A45" s="33">
        <v>10472280</v>
      </c>
      <c r="B45" s="34">
        <v>3311</v>
      </c>
      <c r="C45" s="34" t="s">
        <v>30</v>
      </c>
      <c r="D45" s="34" t="s">
        <v>58</v>
      </c>
      <c r="E45" s="35">
        <v>0</v>
      </c>
      <c r="F45" s="35">
        <v>56589.73</v>
      </c>
      <c r="G45" s="35">
        <v>0</v>
      </c>
      <c r="H45" s="35">
        <v>-309.89</v>
      </c>
      <c r="I45" s="35">
        <v>0</v>
      </c>
      <c r="J45" s="36">
        <v>0</v>
      </c>
      <c r="K45" s="35"/>
      <c r="L45" s="36">
        <v>0</v>
      </c>
      <c r="M45" s="35">
        <f>5037.01+82616.28</f>
        <v>87653.29</v>
      </c>
      <c r="N45" s="36">
        <v>97170</v>
      </c>
      <c r="O45" s="35">
        <f>92937.73-9949.3</f>
        <v>82988.43</v>
      </c>
      <c r="P45" s="36">
        <f>2430+97170</f>
        <v>99600</v>
      </c>
      <c r="Q45" s="35">
        <f>7465.5+101363.57+2686</f>
        <v>111515.07</v>
      </c>
      <c r="R45" s="36">
        <f>2430+97170</f>
        <v>99600</v>
      </c>
      <c r="S45" s="36">
        <f>5240+108083.18</f>
        <v>113323.18</v>
      </c>
      <c r="T45" s="36">
        <f>3200+110000</f>
        <v>113200</v>
      </c>
      <c r="U45" s="36">
        <v>112065.03</v>
      </c>
      <c r="V45" s="36">
        <v>108796.84</v>
      </c>
      <c r="W45" s="36">
        <v>113643.77</v>
      </c>
      <c r="X45" s="36">
        <v>123142.4</v>
      </c>
      <c r="Y45" s="36">
        <f>2069+29559</f>
        <v>31628</v>
      </c>
      <c r="Z45" s="37">
        <v>0</v>
      </c>
      <c r="AA45" s="37">
        <v>0</v>
      </c>
    </row>
    <row r="46" spans="1:27" ht="12.75">
      <c r="A46" s="38">
        <v>10472290</v>
      </c>
      <c r="B46" s="39">
        <v>3359</v>
      </c>
      <c r="C46" s="39" t="s">
        <v>29</v>
      </c>
      <c r="D46" s="39" t="s">
        <v>58</v>
      </c>
      <c r="E46" s="40">
        <v>0</v>
      </c>
      <c r="F46" s="40">
        <v>18237.72</v>
      </c>
      <c r="G46" s="40">
        <v>0</v>
      </c>
      <c r="H46" s="40">
        <v>5136.04</v>
      </c>
      <c r="I46" s="40">
        <v>0</v>
      </c>
      <c r="J46" s="41">
        <v>0</v>
      </c>
      <c r="K46" s="40">
        <v>16368.19</v>
      </c>
      <c r="L46" s="41">
        <v>0</v>
      </c>
      <c r="M46" s="40">
        <v>42767.17</v>
      </c>
      <c r="N46" s="41">
        <v>0</v>
      </c>
      <c r="O46" s="40">
        <v>20189.82</v>
      </c>
      <c r="P46" s="41">
        <v>0</v>
      </c>
      <c r="Q46" s="40">
        <v>26514.14</v>
      </c>
      <c r="R46" s="41">
        <v>0</v>
      </c>
      <c r="S46" s="41">
        <v>46665.59</v>
      </c>
      <c r="T46" s="41">
        <v>0</v>
      </c>
      <c r="U46" s="41">
        <v>74160.65</v>
      </c>
      <c r="V46" s="41">
        <v>48973.09</v>
      </c>
      <c r="W46" s="41">
        <v>56258.84</v>
      </c>
      <c r="X46" s="41">
        <v>59581.85</v>
      </c>
      <c r="Y46" s="41">
        <v>53440</v>
      </c>
      <c r="Z46" s="42">
        <v>0</v>
      </c>
      <c r="AA46" s="42">
        <v>0</v>
      </c>
    </row>
    <row r="47" spans="1:27" ht="12.75" hidden="1">
      <c r="A47" s="33">
        <v>10472450</v>
      </c>
      <c r="B47" s="34">
        <v>3311</v>
      </c>
      <c r="C47" s="34" t="s">
        <v>59</v>
      </c>
      <c r="D47" s="34" t="s">
        <v>58</v>
      </c>
      <c r="E47" s="35">
        <v>0</v>
      </c>
      <c r="F47" s="35">
        <v>0</v>
      </c>
      <c r="G47" s="35">
        <v>0</v>
      </c>
      <c r="H47" s="35">
        <v>56.21</v>
      </c>
      <c r="I47" s="35">
        <v>0</v>
      </c>
      <c r="J47" s="36">
        <v>0</v>
      </c>
      <c r="K47" s="35">
        <v>0</v>
      </c>
      <c r="L47" s="36">
        <v>0</v>
      </c>
      <c r="M47" s="35">
        <v>369.45</v>
      </c>
      <c r="N47" s="36">
        <v>0</v>
      </c>
      <c r="O47" s="35"/>
      <c r="P47" s="36">
        <v>0</v>
      </c>
      <c r="Q47" s="35"/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7">
        <v>0</v>
      </c>
      <c r="AA47" s="37"/>
    </row>
    <row r="48" spans="1:27" ht="12.75" hidden="1">
      <c r="A48" s="33">
        <v>10472490</v>
      </c>
      <c r="B48" s="34">
        <v>3311</v>
      </c>
      <c r="C48" s="34" t="s">
        <v>60</v>
      </c>
      <c r="D48" s="34" t="s">
        <v>58</v>
      </c>
      <c r="E48" s="35">
        <v>0</v>
      </c>
      <c r="F48" s="35">
        <v>32454.37</v>
      </c>
      <c r="G48" s="35">
        <v>0</v>
      </c>
      <c r="H48" s="35">
        <v>18502.72</v>
      </c>
      <c r="I48" s="35">
        <v>0</v>
      </c>
      <c r="J48" s="36">
        <v>0</v>
      </c>
      <c r="K48" s="35">
        <v>72576.71</v>
      </c>
      <c r="L48" s="36">
        <v>0</v>
      </c>
      <c r="M48" s="35">
        <v>0</v>
      </c>
      <c r="N48" s="36">
        <v>0</v>
      </c>
      <c r="O48" s="35"/>
      <c r="P48" s="36">
        <v>0</v>
      </c>
      <c r="Q48" s="35"/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7">
        <v>0</v>
      </c>
      <c r="AA48" s="37"/>
    </row>
    <row r="49" spans="1:27" ht="12.75">
      <c r="A49" s="33">
        <v>10473100</v>
      </c>
      <c r="B49" s="34">
        <v>3290</v>
      </c>
      <c r="C49" s="34" t="s">
        <v>61</v>
      </c>
      <c r="D49" s="34" t="s">
        <v>58</v>
      </c>
      <c r="E49" s="35">
        <v>2500</v>
      </c>
      <c r="F49" s="35">
        <v>2120</v>
      </c>
      <c r="G49" s="35">
        <v>2500</v>
      </c>
      <c r="H49" s="35">
        <v>2750</v>
      </c>
      <c r="I49" s="35">
        <v>2190</v>
      </c>
      <c r="J49" s="36">
        <v>3200</v>
      </c>
      <c r="K49" s="35">
        <v>3130</v>
      </c>
      <c r="L49" s="36">
        <v>3200</v>
      </c>
      <c r="M49" s="35">
        <v>3130</v>
      </c>
      <c r="N49" s="36">
        <v>2529.868387096774</v>
      </c>
      <c r="O49" s="35">
        <v>4124</v>
      </c>
      <c r="P49" s="36">
        <v>2791.744</v>
      </c>
      <c r="Q49" s="35">
        <v>5090</v>
      </c>
      <c r="R49" s="36">
        <v>3170</v>
      </c>
      <c r="S49" s="36">
        <v>4374</v>
      </c>
      <c r="T49" s="36">
        <v>3900</v>
      </c>
      <c r="U49" s="36">
        <v>7241</v>
      </c>
      <c r="V49" s="36">
        <v>5185</v>
      </c>
      <c r="W49" s="36">
        <v>1330</v>
      </c>
      <c r="X49" s="36">
        <v>1680</v>
      </c>
      <c r="Y49" s="36">
        <v>1430</v>
      </c>
      <c r="Z49" s="37">
        <v>4600</v>
      </c>
      <c r="AA49" s="37">
        <v>1500</v>
      </c>
    </row>
    <row r="50" spans="1:27" ht="12.75">
      <c r="A50" s="38">
        <v>10473140</v>
      </c>
      <c r="B50" s="39">
        <v>3290</v>
      </c>
      <c r="C50" s="39" t="s">
        <v>62</v>
      </c>
      <c r="D50" s="39" t="s">
        <v>58</v>
      </c>
      <c r="E50" s="40">
        <v>50</v>
      </c>
      <c r="F50" s="40">
        <v>50</v>
      </c>
      <c r="G50" s="40">
        <v>50</v>
      </c>
      <c r="H50" s="40">
        <v>0</v>
      </c>
      <c r="I50" s="40">
        <v>50</v>
      </c>
      <c r="J50" s="41">
        <v>50</v>
      </c>
      <c r="K50" s="40"/>
      <c r="L50" s="41">
        <v>50</v>
      </c>
      <c r="M50" s="40">
        <v>10</v>
      </c>
      <c r="N50" s="41">
        <v>684.516129032258</v>
      </c>
      <c r="O50" s="40">
        <v>29</v>
      </c>
      <c r="P50" s="41">
        <v>390.1818181818182</v>
      </c>
      <c r="Q50" s="40">
        <v>33</v>
      </c>
      <c r="R50" s="41">
        <v>375</v>
      </c>
      <c r="S50" s="41">
        <v>0</v>
      </c>
      <c r="T50" s="41">
        <v>200</v>
      </c>
      <c r="U50" s="41">
        <v>0</v>
      </c>
      <c r="V50" s="41">
        <v>13</v>
      </c>
      <c r="W50" s="41">
        <v>0</v>
      </c>
      <c r="X50" s="41">
        <v>0</v>
      </c>
      <c r="Y50" s="41">
        <v>0</v>
      </c>
      <c r="Z50" s="42">
        <v>0</v>
      </c>
      <c r="AA50" s="42">
        <v>0</v>
      </c>
    </row>
    <row r="51" spans="1:28" ht="12.75">
      <c r="A51" s="33">
        <v>10474290</v>
      </c>
      <c r="B51" s="34">
        <v>3401</v>
      </c>
      <c r="C51" s="34" t="s">
        <v>35</v>
      </c>
      <c r="D51" s="34" t="s">
        <v>58</v>
      </c>
      <c r="E51" s="35">
        <v>6500</v>
      </c>
      <c r="F51" s="35">
        <v>11559</v>
      </c>
      <c r="G51" s="35">
        <v>6500</v>
      </c>
      <c r="H51" s="35">
        <v>9237</v>
      </c>
      <c r="I51" s="35">
        <v>8670</v>
      </c>
      <c r="J51" s="36">
        <v>9900</v>
      </c>
      <c r="K51" s="35">
        <v>8507.5</v>
      </c>
      <c r="L51" s="36">
        <v>10500</v>
      </c>
      <c r="M51" s="35">
        <v>7666</v>
      </c>
      <c r="N51" s="36">
        <v>8500</v>
      </c>
      <c r="O51" s="35">
        <v>8022</v>
      </c>
      <c r="P51" s="36">
        <v>8585.110545454545</v>
      </c>
      <c r="Q51" s="35">
        <v>6840.41</v>
      </c>
      <c r="R51" s="36">
        <v>8585.110545454545</v>
      </c>
      <c r="S51" s="36">
        <v>7083</v>
      </c>
      <c r="T51" s="36">
        <v>7750</v>
      </c>
      <c r="U51" s="36">
        <v>5748.71</v>
      </c>
      <c r="V51" s="36">
        <v>6214</v>
      </c>
      <c r="W51" s="36">
        <v>5404.5</v>
      </c>
      <c r="X51" s="36">
        <v>0</v>
      </c>
      <c r="Y51" s="36">
        <v>3196</v>
      </c>
      <c r="Z51" s="37">
        <v>6150</v>
      </c>
      <c r="AA51" s="37">
        <v>4100</v>
      </c>
      <c r="AB51" s="42">
        <v>431465</v>
      </c>
    </row>
    <row r="52" spans="1:27" ht="12.75">
      <c r="A52" s="38">
        <v>10474310</v>
      </c>
      <c r="B52" s="39">
        <v>3401</v>
      </c>
      <c r="C52" s="39" t="s">
        <v>63</v>
      </c>
      <c r="D52" s="39" t="s">
        <v>58</v>
      </c>
      <c r="E52" s="40">
        <v>1400</v>
      </c>
      <c r="F52" s="40">
        <v>1570</v>
      </c>
      <c r="G52" s="40">
        <v>1400</v>
      </c>
      <c r="H52" s="40">
        <v>1080</v>
      </c>
      <c r="I52" s="40">
        <v>1517</v>
      </c>
      <c r="J52" s="41">
        <v>24000</v>
      </c>
      <c r="K52" s="40">
        <v>1797.75</v>
      </c>
      <c r="L52" s="41">
        <v>24000</v>
      </c>
      <c r="M52" s="40">
        <v>1760</v>
      </c>
      <c r="N52" s="41">
        <v>0</v>
      </c>
      <c r="O52" s="40">
        <v>900</v>
      </c>
      <c r="P52" s="41">
        <v>0</v>
      </c>
      <c r="Q52" s="40">
        <v>1612</v>
      </c>
      <c r="R52" s="41">
        <v>900</v>
      </c>
      <c r="S52" s="41">
        <v>560</v>
      </c>
      <c r="T52" s="41">
        <v>1475</v>
      </c>
      <c r="U52" s="41">
        <v>2890</v>
      </c>
      <c r="V52" s="41">
        <v>5896</v>
      </c>
      <c r="W52" s="41">
        <v>6530</v>
      </c>
      <c r="X52" s="41">
        <v>3884.2</v>
      </c>
      <c r="Y52" s="41">
        <v>4470</v>
      </c>
      <c r="Z52" s="42">
        <v>3950</v>
      </c>
      <c r="AA52" s="42">
        <v>4725</v>
      </c>
    </row>
    <row r="53" spans="1:27" ht="12.75">
      <c r="A53" s="33">
        <v>10474980</v>
      </c>
      <c r="B53" s="34">
        <v>3401</v>
      </c>
      <c r="C53" s="34" t="s">
        <v>64</v>
      </c>
      <c r="D53" s="34" t="s">
        <v>58</v>
      </c>
      <c r="E53" s="35">
        <v>12000</v>
      </c>
      <c r="F53" s="35">
        <v>11787</v>
      </c>
      <c r="G53" s="35">
        <v>12000</v>
      </c>
      <c r="H53" s="35">
        <v>22310.37</v>
      </c>
      <c r="I53" s="35">
        <v>14824</v>
      </c>
      <c r="J53" s="36">
        <v>20000</v>
      </c>
      <c r="K53" s="35">
        <f>-4910+14338.8</f>
        <v>9428.8</v>
      </c>
      <c r="L53" s="36">
        <v>20000</v>
      </c>
      <c r="M53" s="35">
        <v>7435.41</v>
      </c>
      <c r="N53" s="36">
        <v>15943.721290322579</v>
      </c>
      <c r="O53" s="35">
        <v>12000.21</v>
      </c>
      <c r="P53" s="36">
        <v>12231.003636363635</v>
      </c>
      <c r="Q53" s="35">
        <v>4250.96</v>
      </c>
      <c r="R53" s="36">
        <v>12231.003636363635</v>
      </c>
      <c r="S53" s="36">
        <v>3941.84</v>
      </c>
      <c r="T53" s="36">
        <v>8525</v>
      </c>
      <c r="U53" s="36">
        <v>3311.56</v>
      </c>
      <c r="V53" s="36">
        <v>2282.5</v>
      </c>
      <c r="W53" s="36">
        <v>2447</v>
      </c>
      <c r="X53" s="36">
        <v>7300</v>
      </c>
      <c r="Y53" s="36">
        <v>168</v>
      </c>
      <c r="Z53" s="37">
        <v>2975</v>
      </c>
      <c r="AA53" s="37">
        <v>3100</v>
      </c>
    </row>
    <row r="54" spans="1:27" s="13" customFormat="1" ht="12.75">
      <c r="A54" s="38">
        <v>10474990</v>
      </c>
      <c r="B54" s="39">
        <v>3401</v>
      </c>
      <c r="C54" s="39" t="s">
        <v>40</v>
      </c>
      <c r="D54" s="39" t="s">
        <v>58</v>
      </c>
      <c r="E54" s="40">
        <v>3850</v>
      </c>
      <c r="F54" s="40">
        <v>725.999</v>
      </c>
      <c r="G54" s="40">
        <v>3850</v>
      </c>
      <c r="H54" s="40">
        <v>1348.97</v>
      </c>
      <c r="I54" s="40">
        <v>2691</v>
      </c>
      <c r="J54" s="41">
        <v>2200</v>
      </c>
      <c r="K54" s="40">
        <v>0</v>
      </c>
      <c r="L54" s="41">
        <v>2200</v>
      </c>
      <c r="M54" s="40">
        <v>50</v>
      </c>
      <c r="N54" s="41">
        <v>1000</v>
      </c>
      <c r="O54" s="40">
        <v>4466.65</v>
      </c>
      <c r="P54" s="41">
        <v>1000</v>
      </c>
      <c r="Q54" s="40">
        <v>3360.25</v>
      </c>
      <c r="R54" s="41">
        <v>1660</v>
      </c>
      <c r="S54" s="41">
        <v>2550</v>
      </c>
      <c r="T54" s="41">
        <v>2375</v>
      </c>
      <c r="U54" s="41">
        <v>1090</v>
      </c>
      <c r="V54" s="41">
        <v>930</v>
      </c>
      <c r="W54" s="41">
        <v>1463.25</v>
      </c>
      <c r="X54" s="41">
        <v>2221.15</v>
      </c>
      <c r="Y54" s="54">
        <v>498</v>
      </c>
      <c r="Z54" s="55">
        <v>1575</v>
      </c>
      <c r="AA54" s="55">
        <v>1250</v>
      </c>
    </row>
    <row r="55" spans="1:27" ht="12.75">
      <c r="A55" s="33">
        <v>10475050</v>
      </c>
      <c r="B55" s="34">
        <v>3503</v>
      </c>
      <c r="C55" s="34" t="s">
        <v>65</v>
      </c>
      <c r="D55" s="34" t="s">
        <v>58</v>
      </c>
      <c r="E55" s="35">
        <v>15000</v>
      </c>
      <c r="F55" s="35">
        <v>8475.6</v>
      </c>
      <c r="G55" s="35">
        <v>15000</v>
      </c>
      <c r="H55" s="35">
        <v>13880</v>
      </c>
      <c r="I55" s="35">
        <v>15665</v>
      </c>
      <c r="J55" s="36">
        <v>15000</v>
      </c>
      <c r="K55" s="35">
        <v>16600</v>
      </c>
      <c r="L55" s="36">
        <v>15000</v>
      </c>
      <c r="M55" s="35">
        <v>15514.36</v>
      </c>
      <c r="N55" s="36">
        <v>16824.329032258065</v>
      </c>
      <c r="O55" s="35">
        <v>7086</v>
      </c>
      <c r="P55" s="36">
        <v>16252.706181818183</v>
      </c>
      <c r="Q55" s="35">
        <v>5223</v>
      </c>
      <c r="R55" s="36">
        <v>13075</v>
      </c>
      <c r="S55" s="36">
        <v>690</v>
      </c>
      <c r="T55" s="36">
        <v>8000</v>
      </c>
      <c r="U55" s="36">
        <v>2430</v>
      </c>
      <c r="V55" s="36">
        <v>0</v>
      </c>
      <c r="W55" s="36">
        <v>0</v>
      </c>
      <c r="X55" s="36">
        <v>0</v>
      </c>
      <c r="Y55" s="36">
        <v>0</v>
      </c>
      <c r="Z55" s="37">
        <v>750</v>
      </c>
      <c r="AA55" s="37">
        <v>750</v>
      </c>
    </row>
    <row r="56" spans="1:27" ht="12.75">
      <c r="A56" s="38">
        <v>10478240</v>
      </c>
      <c r="B56" s="39">
        <v>3503</v>
      </c>
      <c r="C56" s="39" t="s">
        <v>42</v>
      </c>
      <c r="D56" s="39" t="s">
        <v>58</v>
      </c>
      <c r="E56" s="40">
        <v>0</v>
      </c>
      <c r="F56" s="40">
        <f>9959+13556.03</f>
        <v>23515.03</v>
      </c>
      <c r="G56" s="40">
        <v>0</v>
      </c>
      <c r="H56" s="40">
        <v>15606.05</v>
      </c>
      <c r="I56" s="40">
        <v>0</v>
      </c>
      <c r="J56" s="41">
        <v>0</v>
      </c>
      <c r="K56" s="40">
        <v>9479.13</v>
      </c>
      <c r="L56" s="41">
        <v>2300</v>
      </c>
      <c r="M56" s="40">
        <f>7132.93+14082.44</f>
        <v>21215.370000000003</v>
      </c>
      <c r="N56" s="41">
        <v>0</v>
      </c>
      <c r="O56" s="40">
        <v>4924</v>
      </c>
      <c r="P56" s="41">
        <v>0</v>
      </c>
      <c r="Q56" s="40">
        <f>14069+6388.54</f>
        <v>20457.54</v>
      </c>
      <c r="R56" s="41">
        <v>0</v>
      </c>
      <c r="S56" s="41">
        <f>2890.27+8986.25</f>
        <v>11876.52</v>
      </c>
      <c r="T56" s="41">
        <v>0</v>
      </c>
      <c r="U56" s="41">
        <v>5764.23</v>
      </c>
      <c r="V56" s="41">
        <v>23078.57</v>
      </c>
      <c r="W56" s="41">
        <v>34024.76</v>
      </c>
      <c r="X56" s="41">
        <v>12985.73</v>
      </c>
      <c r="Y56" s="41">
        <v>22274</v>
      </c>
      <c r="Z56" s="42">
        <v>0</v>
      </c>
      <c r="AA56" s="42">
        <v>0</v>
      </c>
    </row>
    <row r="57" spans="1:27" ht="12.75">
      <c r="A57" s="33">
        <v>10478260</v>
      </c>
      <c r="B57" s="34">
        <v>3503</v>
      </c>
      <c r="C57" s="34" t="s">
        <v>66</v>
      </c>
      <c r="D57" s="34" t="s">
        <v>67</v>
      </c>
      <c r="E57" s="35">
        <v>5731</v>
      </c>
      <c r="F57" s="35">
        <v>5623.88</v>
      </c>
      <c r="G57" s="35">
        <v>13060</v>
      </c>
      <c r="H57" s="35">
        <v>8081.5</v>
      </c>
      <c r="I57" s="35">
        <v>13060</v>
      </c>
      <c r="J57" s="36">
        <v>11060</v>
      </c>
      <c r="K57" s="35">
        <v>3889.72</v>
      </c>
      <c r="L57" s="36">
        <v>11060</v>
      </c>
      <c r="M57" s="35">
        <v>1255</v>
      </c>
      <c r="N57" s="36">
        <v>11060</v>
      </c>
      <c r="O57" s="35"/>
      <c r="P57" s="36">
        <v>5060</v>
      </c>
      <c r="Q57" s="35">
        <v>513.88</v>
      </c>
      <c r="R57" s="36">
        <v>5060</v>
      </c>
      <c r="S57" s="36">
        <v>2209.72</v>
      </c>
      <c r="T57" s="36">
        <v>5060</v>
      </c>
      <c r="U57" s="36">
        <v>2322.04</v>
      </c>
      <c r="V57" s="36">
        <v>3659.04</v>
      </c>
      <c r="W57" s="36">
        <v>1673.05</v>
      </c>
      <c r="X57" s="36">
        <v>193.6</v>
      </c>
      <c r="Y57" s="36">
        <v>0</v>
      </c>
      <c r="Z57" s="37">
        <v>5000</v>
      </c>
      <c r="AA57" s="37">
        <v>5000</v>
      </c>
    </row>
    <row r="58" spans="1:27" ht="13.5" thickBot="1">
      <c r="A58" s="44">
        <v>10478990</v>
      </c>
      <c r="B58" s="45">
        <v>3503</v>
      </c>
      <c r="C58" s="45" t="s">
        <v>46</v>
      </c>
      <c r="D58" s="45" t="s">
        <v>58</v>
      </c>
      <c r="E58" s="46">
        <v>500</v>
      </c>
      <c r="F58" s="46">
        <v>350</v>
      </c>
      <c r="G58" s="46">
        <v>500</v>
      </c>
      <c r="H58" s="46">
        <v>979.16</v>
      </c>
      <c r="I58" s="46">
        <v>455</v>
      </c>
      <c r="J58" s="47">
        <v>500</v>
      </c>
      <c r="K58" s="46">
        <v>1342.14</v>
      </c>
      <c r="L58" s="47">
        <v>1000</v>
      </c>
      <c r="M58" s="46">
        <v>2085.25</v>
      </c>
      <c r="N58" s="47">
        <v>1371.0964516129034</v>
      </c>
      <c r="O58" s="46">
        <f>1396.08+3712.02</f>
        <v>5108.1</v>
      </c>
      <c r="P58" s="47">
        <v>1682.727090909091</v>
      </c>
      <c r="Q58" s="46">
        <v>6648.63</v>
      </c>
      <c r="R58" s="47">
        <v>2825</v>
      </c>
      <c r="S58" s="47">
        <v>13432.86</v>
      </c>
      <c r="T58" s="47">
        <v>2825</v>
      </c>
      <c r="U58" s="47">
        <v>107.38</v>
      </c>
      <c r="V58" s="47">
        <v>1968</v>
      </c>
      <c r="W58" s="47">
        <v>5224.27</v>
      </c>
      <c r="X58" s="47">
        <v>825.0699999999999</v>
      </c>
      <c r="Y58" s="47">
        <v>281</v>
      </c>
      <c r="Z58" s="48">
        <v>1961</v>
      </c>
      <c r="AA58" s="48">
        <v>775</v>
      </c>
    </row>
    <row r="59" spans="1:27" ht="12.75">
      <c r="A59" s="56" t="s">
        <v>0</v>
      </c>
      <c r="B59" s="22"/>
      <c r="C59" s="22" t="s">
        <v>0</v>
      </c>
      <c r="D59" s="22" t="s">
        <v>0</v>
      </c>
      <c r="E59" s="22" t="s">
        <v>1</v>
      </c>
      <c r="F59" s="22" t="s">
        <v>1</v>
      </c>
      <c r="G59" s="22" t="s">
        <v>2</v>
      </c>
      <c r="H59" s="22" t="s">
        <v>2</v>
      </c>
      <c r="I59" s="21" t="s">
        <v>3</v>
      </c>
      <c r="J59" s="22" t="s">
        <v>4</v>
      </c>
      <c r="K59" s="21" t="s">
        <v>4</v>
      </c>
      <c r="L59" s="22" t="s">
        <v>5</v>
      </c>
      <c r="M59" s="21" t="s">
        <v>5</v>
      </c>
      <c r="N59" s="20" t="s">
        <v>6</v>
      </c>
      <c r="O59" s="21" t="s">
        <v>6</v>
      </c>
      <c r="P59" s="20" t="s">
        <v>7</v>
      </c>
      <c r="Q59" s="21" t="s">
        <v>7</v>
      </c>
      <c r="R59" s="22" t="s">
        <v>8</v>
      </c>
      <c r="S59" s="57" t="s">
        <v>9</v>
      </c>
      <c r="T59" s="20" t="s">
        <v>9</v>
      </c>
      <c r="U59" s="57" t="s">
        <v>10</v>
      </c>
      <c r="V59" s="57" t="s">
        <v>11</v>
      </c>
      <c r="W59" s="57" t="s">
        <v>12</v>
      </c>
      <c r="X59" s="57" t="s">
        <v>13</v>
      </c>
      <c r="Y59" s="10" t="s">
        <v>14</v>
      </c>
      <c r="Z59" s="58" t="s">
        <v>15</v>
      </c>
      <c r="AA59" s="58" t="s">
        <v>16</v>
      </c>
    </row>
    <row r="60" spans="1:27" ht="12.75">
      <c r="A60" s="14" t="s">
        <v>17</v>
      </c>
      <c r="B60" s="15"/>
      <c r="C60" s="15" t="s">
        <v>18</v>
      </c>
      <c r="D60" s="15" t="s">
        <v>19</v>
      </c>
      <c r="E60" s="15" t="s">
        <v>20</v>
      </c>
      <c r="F60" s="15" t="s">
        <v>21</v>
      </c>
      <c r="G60" s="15" t="s">
        <v>20</v>
      </c>
      <c r="H60" s="15" t="s">
        <v>21</v>
      </c>
      <c r="I60" s="16" t="s">
        <v>20</v>
      </c>
      <c r="J60" s="16" t="s">
        <v>20</v>
      </c>
      <c r="K60" s="16" t="s">
        <v>21</v>
      </c>
      <c r="L60" s="16" t="s">
        <v>20</v>
      </c>
      <c r="M60" s="16" t="s">
        <v>21</v>
      </c>
      <c r="N60" s="16" t="s">
        <v>20</v>
      </c>
      <c r="O60" s="16" t="s">
        <v>21</v>
      </c>
      <c r="P60" s="16" t="s">
        <v>20</v>
      </c>
      <c r="Q60" s="16" t="s">
        <v>21</v>
      </c>
      <c r="R60" s="16" t="s">
        <v>20</v>
      </c>
      <c r="S60" s="17" t="s">
        <v>21</v>
      </c>
      <c r="T60" s="18" t="s">
        <v>20</v>
      </c>
      <c r="U60" s="17" t="s">
        <v>21</v>
      </c>
      <c r="V60" s="17" t="s">
        <v>21</v>
      </c>
      <c r="W60" s="17" t="s">
        <v>21</v>
      </c>
      <c r="X60" s="17" t="s">
        <v>21</v>
      </c>
      <c r="Y60" s="18" t="s">
        <v>21</v>
      </c>
      <c r="Z60" s="59" t="s">
        <v>20</v>
      </c>
      <c r="AA60" s="59" t="s">
        <v>20</v>
      </c>
    </row>
    <row r="61" spans="1:27" ht="12.75">
      <c r="A61" s="14"/>
      <c r="B61" s="15"/>
      <c r="C61" s="15"/>
      <c r="D61" s="15"/>
      <c r="E61" s="15"/>
      <c r="F61" s="15"/>
      <c r="G61" s="15"/>
      <c r="H61" s="15"/>
      <c r="I61" s="16"/>
      <c r="J61" s="16"/>
      <c r="K61" s="16"/>
      <c r="L61" s="16"/>
      <c r="M61" s="16"/>
      <c r="N61" s="20"/>
      <c r="O61" s="21"/>
      <c r="P61" s="21"/>
      <c r="Q61" s="21"/>
      <c r="R61" s="22"/>
      <c r="S61" s="20"/>
      <c r="T61" s="20"/>
      <c r="U61" s="20"/>
      <c r="V61" s="20"/>
      <c r="W61" s="20"/>
      <c r="X61" s="20"/>
      <c r="Y61" s="20"/>
      <c r="Z61" s="23"/>
      <c r="AA61" s="23"/>
    </row>
    <row r="62" spans="1:27" ht="12.75">
      <c r="A62" s="24" t="s">
        <v>68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6"/>
      <c r="P62" s="26"/>
      <c r="Q62" s="26"/>
      <c r="R62" s="22"/>
      <c r="S62" s="20"/>
      <c r="T62" s="20"/>
      <c r="U62" s="20"/>
      <c r="V62" s="20"/>
      <c r="W62" s="20"/>
      <c r="X62" s="20"/>
      <c r="Y62" s="20"/>
      <c r="Z62" s="23"/>
      <c r="AA62" s="23"/>
    </row>
    <row r="63" spans="1:27" ht="13.5" thickBot="1">
      <c r="A63" s="33"/>
      <c r="B63" s="34"/>
      <c r="C63" s="34"/>
      <c r="D63" s="34"/>
      <c r="E63" s="35"/>
      <c r="F63" s="35"/>
      <c r="G63" s="35"/>
      <c r="H63" s="35"/>
      <c r="I63" s="35"/>
      <c r="J63" s="36"/>
      <c r="K63" s="35"/>
      <c r="L63" s="36"/>
      <c r="M63" s="35"/>
      <c r="N63" s="36"/>
      <c r="O63" s="35"/>
      <c r="P63" s="36"/>
      <c r="Q63" s="35"/>
      <c r="R63" s="36"/>
      <c r="S63" s="36"/>
      <c r="T63" s="36"/>
      <c r="U63" s="36"/>
      <c r="V63" s="36"/>
      <c r="W63" s="36"/>
      <c r="X63" s="36"/>
      <c r="Y63" s="36"/>
      <c r="Z63" s="37"/>
      <c r="AA63" s="37"/>
    </row>
    <row r="64" spans="1:27" ht="13.5" hidden="1" thickBot="1">
      <c r="A64" s="33">
        <v>10479210</v>
      </c>
      <c r="B64" s="34">
        <v>9999</v>
      </c>
      <c r="C64" s="34" t="s">
        <v>48</v>
      </c>
      <c r="D64" s="34" t="s">
        <v>67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6">
        <v>0</v>
      </c>
      <c r="K64" s="35"/>
      <c r="L64" s="36">
        <v>0</v>
      </c>
      <c r="M64" s="35"/>
      <c r="N64" s="36">
        <v>0</v>
      </c>
      <c r="O64" s="35"/>
      <c r="P64" s="36">
        <v>0</v>
      </c>
      <c r="Q64" s="35">
        <v>0</v>
      </c>
      <c r="R64" s="36">
        <v>0</v>
      </c>
      <c r="S64" s="36"/>
      <c r="T64" s="36">
        <v>0</v>
      </c>
      <c r="U64" s="36"/>
      <c r="V64" s="36"/>
      <c r="W64" s="36"/>
      <c r="X64" s="36"/>
      <c r="Y64" s="36"/>
      <c r="Z64" s="37"/>
      <c r="AA64" s="37"/>
    </row>
    <row r="65" spans="1:27" ht="12.75">
      <c r="A65" s="60">
        <v>10673040</v>
      </c>
      <c r="B65" s="61">
        <v>3230</v>
      </c>
      <c r="C65" s="61" t="s">
        <v>69</v>
      </c>
      <c r="D65" s="61" t="s">
        <v>70</v>
      </c>
      <c r="E65" s="62">
        <v>150000</v>
      </c>
      <c r="F65" s="62">
        <v>147148.51</v>
      </c>
      <c r="G65" s="62">
        <v>150000</v>
      </c>
      <c r="H65" s="62">
        <v>91254</v>
      </c>
      <c r="I65" s="62">
        <v>130000</v>
      </c>
      <c r="J65" s="63">
        <v>150000</v>
      </c>
      <c r="K65" s="62">
        <v>74044</v>
      </c>
      <c r="L65" s="63">
        <v>90000</v>
      </c>
      <c r="M65" s="62">
        <v>56724</v>
      </c>
      <c r="N65" s="63">
        <v>73539.29670967742</v>
      </c>
      <c r="O65" s="62">
        <f>150+50+232408.63</f>
        <v>232608.63</v>
      </c>
      <c r="P65" s="63">
        <v>70807.20400000001</v>
      </c>
      <c r="Q65" s="62">
        <v>179572.52</v>
      </c>
      <c r="R65" s="63">
        <v>125000</v>
      </c>
      <c r="S65" s="63">
        <f>117+120991</f>
        <v>121108</v>
      </c>
      <c r="T65" s="63">
        <v>100000</v>
      </c>
      <c r="U65" s="63">
        <v>179334.5</v>
      </c>
      <c r="V65" s="63">
        <v>126064</v>
      </c>
      <c r="W65" s="63">
        <v>211978</v>
      </c>
      <c r="X65" s="63">
        <v>210708</v>
      </c>
      <c r="Y65" s="63">
        <v>172116</v>
      </c>
      <c r="Z65" s="64">
        <v>175000</v>
      </c>
      <c r="AA65" s="64">
        <v>180000</v>
      </c>
    </row>
    <row r="66" spans="1:27" ht="12.75">
      <c r="A66" s="38">
        <v>10673050</v>
      </c>
      <c r="B66" s="39">
        <v>3290</v>
      </c>
      <c r="C66" s="39" t="s">
        <v>71</v>
      </c>
      <c r="D66" s="39" t="s">
        <v>70</v>
      </c>
      <c r="E66" s="40">
        <v>8500</v>
      </c>
      <c r="F66" s="40">
        <v>11625</v>
      </c>
      <c r="G66" s="40">
        <v>8500</v>
      </c>
      <c r="H66" s="40">
        <v>8550</v>
      </c>
      <c r="I66" s="40">
        <v>9000</v>
      </c>
      <c r="J66" s="41">
        <v>8500</v>
      </c>
      <c r="K66" s="40">
        <v>6400</v>
      </c>
      <c r="L66" s="41">
        <v>8500</v>
      </c>
      <c r="M66" s="40">
        <v>6950</v>
      </c>
      <c r="N66" s="41">
        <v>6804.8387096774195</v>
      </c>
      <c r="O66" s="40">
        <v>6900</v>
      </c>
      <c r="P66" s="41">
        <v>6868.181818181818</v>
      </c>
      <c r="Q66" s="40">
        <v>6450</v>
      </c>
      <c r="R66" s="41">
        <v>6875</v>
      </c>
      <c r="S66" s="41">
        <v>7300</v>
      </c>
      <c r="T66" s="41">
        <v>6575</v>
      </c>
      <c r="U66" s="41">
        <v>8150</v>
      </c>
      <c r="V66" s="41">
        <v>8450</v>
      </c>
      <c r="W66" s="41">
        <v>8050</v>
      </c>
      <c r="X66" s="41">
        <v>6650</v>
      </c>
      <c r="Y66" s="41">
        <v>9032</v>
      </c>
      <c r="Z66" s="42">
        <v>7250</v>
      </c>
      <c r="AA66" s="42">
        <v>8000</v>
      </c>
    </row>
    <row r="67" spans="1:27" ht="12.75">
      <c r="A67" s="33">
        <v>10673060</v>
      </c>
      <c r="B67" s="34">
        <v>3290</v>
      </c>
      <c r="C67" s="34" t="s">
        <v>72</v>
      </c>
      <c r="D67" s="34" t="s">
        <v>70</v>
      </c>
      <c r="E67" s="35">
        <v>2500</v>
      </c>
      <c r="F67" s="35">
        <v>850</v>
      </c>
      <c r="G67" s="35">
        <v>2500</v>
      </c>
      <c r="H67" s="35">
        <v>550</v>
      </c>
      <c r="I67" s="35">
        <v>2500</v>
      </c>
      <c r="J67" s="36">
        <v>1000</v>
      </c>
      <c r="K67" s="35">
        <v>1510</v>
      </c>
      <c r="L67" s="36">
        <v>1000</v>
      </c>
      <c r="M67" s="35">
        <v>250</v>
      </c>
      <c r="N67" s="36">
        <v>1053.5483870967741</v>
      </c>
      <c r="O67" s="35">
        <v>150</v>
      </c>
      <c r="P67" s="36">
        <v>702.9090909090909</v>
      </c>
      <c r="Q67" s="35">
        <v>2250</v>
      </c>
      <c r="R67" s="36">
        <v>500</v>
      </c>
      <c r="S67" s="36">
        <v>250</v>
      </c>
      <c r="T67" s="36">
        <v>1075</v>
      </c>
      <c r="U67" s="36">
        <v>1900</v>
      </c>
      <c r="V67" s="36">
        <v>1700</v>
      </c>
      <c r="W67" s="36">
        <v>1250</v>
      </c>
      <c r="X67" s="36">
        <v>2212</v>
      </c>
      <c r="Y67" s="36">
        <v>18855</v>
      </c>
      <c r="Z67" s="37">
        <v>21325</v>
      </c>
      <c r="AA67" s="37">
        <v>21000</v>
      </c>
    </row>
    <row r="68" spans="1:27" ht="12.75">
      <c r="A68" s="38">
        <v>10673070</v>
      </c>
      <c r="B68" s="39">
        <v>3290</v>
      </c>
      <c r="C68" s="39" t="s">
        <v>73</v>
      </c>
      <c r="D68" s="39" t="s">
        <v>70</v>
      </c>
      <c r="E68" s="40">
        <v>10000</v>
      </c>
      <c r="F68" s="40">
        <v>8925</v>
      </c>
      <c r="G68" s="40">
        <v>10000</v>
      </c>
      <c r="H68" s="40">
        <v>7025</v>
      </c>
      <c r="I68" s="40">
        <v>7500</v>
      </c>
      <c r="J68" s="41">
        <v>9000</v>
      </c>
      <c r="K68" s="40">
        <v>5650</v>
      </c>
      <c r="L68" s="41">
        <v>9000</v>
      </c>
      <c r="M68" s="40">
        <v>5325</v>
      </c>
      <c r="N68" s="41">
        <v>6299.5161290322585</v>
      </c>
      <c r="O68" s="40">
        <v>6460</v>
      </c>
      <c r="P68" s="41">
        <v>5874.272727272727</v>
      </c>
      <c r="Q68" s="40">
        <v>8824.8</v>
      </c>
      <c r="R68" s="41">
        <v>6150</v>
      </c>
      <c r="S68" s="41">
        <v>6675</v>
      </c>
      <c r="T68" s="41">
        <v>6900</v>
      </c>
      <c r="U68" s="41">
        <v>9025</v>
      </c>
      <c r="V68" s="41">
        <v>8525</v>
      </c>
      <c r="W68" s="41">
        <v>10075</v>
      </c>
      <c r="X68" s="41">
        <v>20581</v>
      </c>
      <c r="Y68" s="41">
        <v>9494</v>
      </c>
      <c r="Z68" s="42">
        <v>15650</v>
      </c>
      <c r="AA68" s="42">
        <v>11550</v>
      </c>
    </row>
    <row r="69" spans="1:27" ht="12.75">
      <c r="A69" s="33">
        <v>10673080</v>
      </c>
      <c r="B69" s="34">
        <v>3290</v>
      </c>
      <c r="C69" s="34" t="s">
        <v>74</v>
      </c>
      <c r="D69" s="34" t="s">
        <v>70</v>
      </c>
      <c r="E69" s="35">
        <v>1200</v>
      </c>
      <c r="F69" s="35">
        <v>2094.48</v>
      </c>
      <c r="G69" s="35">
        <v>1200</v>
      </c>
      <c r="H69" s="35">
        <v>1162.73</v>
      </c>
      <c r="I69" s="35">
        <v>1500</v>
      </c>
      <c r="J69" s="36">
        <v>1500</v>
      </c>
      <c r="K69" s="35">
        <v>482.59</v>
      </c>
      <c r="L69" s="36">
        <v>1500</v>
      </c>
      <c r="M69" s="35">
        <v>751.91</v>
      </c>
      <c r="N69" s="36">
        <v>775.3370967741937</v>
      </c>
      <c r="O69" s="35">
        <v>477.48</v>
      </c>
      <c r="P69" s="36">
        <v>765.1143636363636</v>
      </c>
      <c r="Q69" s="35">
        <f>-540.67+846.78+40.45</f>
        <v>346.56</v>
      </c>
      <c r="R69" s="36">
        <v>700</v>
      </c>
      <c r="S69" s="36">
        <v>0</v>
      </c>
      <c r="T69" s="36">
        <v>500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7">
        <v>90</v>
      </c>
      <c r="AA69" s="37">
        <v>90</v>
      </c>
    </row>
    <row r="70" spans="1:27" ht="12.75">
      <c r="A70" s="38">
        <v>10673120</v>
      </c>
      <c r="B70" s="39">
        <v>3290</v>
      </c>
      <c r="C70" s="39" t="s">
        <v>75</v>
      </c>
      <c r="D70" s="39" t="s">
        <v>70</v>
      </c>
      <c r="E70" s="40">
        <v>5800</v>
      </c>
      <c r="F70" s="40">
        <v>6700.16</v>
      </c>
      <c r="G70" s="40">
        <v>5800</v>
      </c>
      <c r="H70" s="40">
        <v>4559</v>
      </c>
      <c r="I70" s="40">
        <v>6000</v>
      </c>
      <c r="J70" s="41">
        <v>6000</v>
      </c>
      <c r="K70" s="40">
        <v>5257</v>
      </c>
      <c r="L70" s="41">
        <v>6000</v>
      </c>
      <c r="M70" s="40">
        <v>5251.24</v>
      </c>
      <c r="N70" s="41">
        <v>6234.655483870967</v>
      </c>
      <c r="O70" s="40">
        <v>4809</v>
      </c>
      <c r="P70" s="41">
        <v>5805.528727272727</v>
      </c>
      <c r="Q70" s="40">
        <f>7201.44+210</f>
        <v>7411.44</v>
      </c>
      <c r="R70" s="41">
        <v>5700</v>
      </c>
      <c r="S70" s="41">
        <v>0</v>
      </c>
      <c r="T70" s="41">
        <v>6100</v>
      </c>
      <c r="U70" s="41">
        <v>0</v>
      </c>
      <c r="V70" s="41">
        <v>0</v>
      </c>
      <c r="W70" s="41">
        <v>0</v>
      </c>
      <c r="X70" s="41">
        <v>49</v>
      </c>
      <c r="Y70" s="41">
        <v>0</v>
      </c>
      <c r="Z70" s="42">
        <v>815</v>
      </c>
      <c r="AA70" s="42">
        <v>815</v>
      </c>
    </row>
    <row r="71" spans="1:27" ht="12.75">
      <c r="A71" s="33">
        <v>10673150</v>
      </c>
      <c r="B71" s="34">
        <v>3290</v>
      </c>
      <c r="C71" s="34" t="s">
        <v>76</v>
      </c>
      <c r="D71" s="34" t="s">
        <v>70</v>
      </c>
      <c r="E71" s="35">
        <v>5500</v>
      </c>
      <c r="F71" s="35">
        <v>4650</v>
      </c>
      <c r="G71" s="35">
        <v>5500</v>
      </c>
      <c r="H71" s="35">
        <v>3325</v>
      </c>
      <c r="I71" s="35">
        <v>5000</v>
      </c>
      <c r="J71" s="36">
        <v>5000</v>
      </c>
      <c r="K71" s="35">
        <v>2050</v>
      </c>
      <c r="L71" s="36">
        <v>5000</v>
      </c>
      <c r="M71" s="35">
        <v>2750</v>
      </c>
      <c r="N71" s="36">
        <v>2619.032258064516</v>
      </c>
      <c r="O71" s="35">
        <v>2550</v>
      </c>
      <c r="P71" s="36">
        <v>2676.181818181818</v>
      </c>
      <c r="Q71" s="35">
        <v>2150</v>
      </c>
      <c r="R71" s="36">
        <v>2675</v>
      </c>
      <c r="S71" s="36">
        <v>3600</v>
      </c>
      <c r="T71" s="36">
        <v>2400</v>
      </c>
      <c r="U71" s="36">
        <v>2500</v>
      </c>
      <c r="V71" s="36">
        <v>3550</v>
      </c>
      <c r="W71" s="36">
        <v>2350</v>
      </c>
      <c r="X71" s="36">
        <v>2600</v>
      </c>
      <c r="Y71" s="36">
        <v>3500</v>
      </c>
      <c r="Z71" s="37">
        <v>2625</v>
      </c>
      <c r="AA71" s="37">
        <v>2900</v>
      </c>
    </row>
    <row r="72" spans="1:27" ht="12.75">
      <c r="A72" s="38">
        <v>10673230</v>
      </c>
      <c r="B72" s="39">
        <v>3290</v>
      </c>
      <c r="C72" s="39" t="s">
        <v>77</v>
      </c>
      <c r="D72" s="39" t="s">
        <v>70</v>
      </c>
      <c r="E72" s="40">
        <v>13450</v>
      </c>
      <c r="F72" s="40">
        <v>25450</v>
      </c>
      <c r="G72" s="40">
        <v>13450</v>
      </c>
      <c r="H72" s="40">
        <v>19700</v>
      </c>
      <c r="I72" s="40">
        <v>13000</v>
      </c>
      <c r="J72" s="41">
        <v>15000</v>
      </c>
      <c r="K72" s="40">
        <v>20790</v>
      </c>
      <c r="L72" s="41">
        <v>15000</v>
      </c>
      <c r="M72" s="40">
        <v>18600</v>
      </c>
      <c r="N72" s="41">
        <v>20096.451612903227</v>
      </c>
      <c r="O72" s="40">
        <v>16775</v>
      </c>
      <c r="P72" s="41">
        <v>19443.454545454544</v>
      </c>
      <c r="Q72" s="40">
        <v>20456</v>
      </c>
      <c r="R72" s="41">
        <v>18875</v>
      </c>
      <c r="S72" s="41">
        <v>23275</v>
      </c>
      <c r="T72" s="41">
        <v>19000</v>
      </c>
      <c r="U72" s="41">
        <v>22800</v>
      </c>
      <c r="V72" s="41">
        <v>21525</v>
      </c>
      <c r="W72" s="41">
        <v>23425</v>
      </c>
      <c r="X72" s="41">
        <v>22375</v>
      </c>
      <c r="Y72" s="41">
        <v>21850</v>
      </c>
      <c r="Z72" s="42">
        <v>21800</v>
      </c>
      <c r="AA72" s="42">
        <v>22400</v>
      </c>
    </row>
    <row r="73" spans="1:27" ht="12.75">
      <c r="A73" s="33">
        <v>10673310</v>
      </c>
      <c r="B73" s="34">
        <v>3290</v>
      </c>
      <c r="C73" s="34" t="s">
        <v>78</v>
      </c>
      <c r="D73" s="34" t="s">
        <v>70</v>
      </c>
      <c r="E73" s="35">
        <v>3000</v>
      </c>
      <c r="F73" s="35">
        <v>2650</v>
      </c>
      <c r="G73" s="35">
        <v>3000</v>
      </c>
      <c r="H73" s="35">
        <v>1825</v>
      </c>
      <c r="I73" s="35">
        <v>2500</v>
      </c>
      <c r="J73" s="36">
        <v>2000</v>
      </c>
      <c r="K73" s="35">
        <v>1925</v>
      </c>
      <c r="L73" s="36">
        <v>2000</v>
      </c>
      <c r="M73" s="35">
        <v>1700</v>
      </c>
      <c r="N73" s="36">
        <v>1920.967741935484</v>
      </c>
      <c r="O73" s="35">
        <v>1750</v>
      </c>
      <c r="P73" s="36">
        <v>1824.5454545454545</v>
      </c>
      <c r="Q73" s="35">
        <v>1800</v>
      </c>
      <c r="R73" s="36">
        <v>1850</v>
      </c>
      <c r="S73" s="36">
        <v>1875</v>
      </c>
      <c r="T73" s="36">
        <v>1800</v>
      </c>
      <c r="U73" s="36">
        <v>1925</v>
      </c>
      <c r="V73" s="36">
        <v>1650</v>
      </c>
      <c r="W73" s="36">
        <v>1600</v>
      </c>
      <c r="X73" s="36">
        <v>1750</v>
      </c>
      <c r="Y73" s="36">
        <v>1850</v>
      </c>
      <c r="Z73" s="37">
        <v>1725</v>
      </c>
      <c r="AA73" s="37">
        <v>1750</v>
      </c>
    </row>
    <row r="74" spans="1:27" ht="12.75">
      <c r="A74" s="38">
        <v>10674250</v>
      </c>
      <c r="B74" s="39">
        <v>3401</v>
      </c>
      <c r="C74" s="39" t="s">
        <v>79</v>
      </c>
      <c r="D74" s="39" t="s">
        <v>70</v>
      </c>
      <c r="E74" s="40">
        <v>750</v>
      </c>
      <c r="F74" s="40">
        <v>501</v>
      </c>
      <c r="G74" s="40">
        <v>750</v>
      </c>
      <c r="H74" s="40">
        <v>170</v>
      </c>
      <c r="I74" s="40">
        <v>500</v>
      </c>
      <c r="J74" s="41">
        <v>500</v>
      </c>
      <c r="K74" s="40">
        <v>50</v>
      </c>
      <c r="L74" s="41">
        <v>500</v>
      </c>
      <c r="M74" s="40">
        <v>206</v>
      </c>
      <c r="N74" s="41">
        <v>128.1290322580645</v>
      </c>
      <c r="O74" s="40">
        <v>20</v>
      </c>
      <c r="P74" s="41">
        <v>162.1090909090909</v>
      </c>
      <c r="Q74" s="40">
        <v>40</v>
      </c>
      <c r="R74" s="41">
        <v>162.1090909090909</v>
      </c>
      <c r="S74" s="41">
        <v>0</v>
      </c>
      <c r="T74" s="41">
        <v>100</v>
      </c>
      <c r="U74" s="41">
        <v>44</v>
      </c>
      <c r="V74" s="41">
        <v>124</v>
      </c>
      <c r="W74" s="41">
        <v>67</v>
      </c>
      <c r="X74" s="41">
        <v>0</v>
      </c>
      <c r="Y74" s="41">
        <v>0</v>
      </c>
      <c r="Z74" s="42">
        <v>60</v>
      </c>
      <c r="AA74" s="42">
        <v>60</v>
      </c>
    </row>
    <row r="75" spans="1:27" ht="13.5" thickBot="1">
      <c r="A75" s="49">
        <v>10674290</v>
      </c>
      <c r="B75" s="50">
        <v>3230</v>
      </c>
      <c r="C75" s="50" t="s">
        <v>35</v>
      </c>
      <c r="D75" s="50" t="s">
        <v>70</v>
      </c>
      <c r="E75" s="51"/>
      <c r="F75" s="51"/>
      <c r="G75" s="51"/>
      <c r="H75" s="51"/>
      <c r="I75" s="51"/>
      <c r="J75" s="52"/>
      <c r="K75" s="51"/>
      <c r="L75" s="52"/>
      <c r="M75" s="51"/>
      <c r="N75" s="52"/>
      <c r="O75" s="51"/>
      <c r="P75" s="52"/>
      <c r="Q75" s="51"/>
      <c r="R75" s="52"/>
      <c r="S75" s="52"/>
      <c r="T75" s="52"/>
      <c r="U75" s="52">
        <v>0</v>
      </c>
      <c r="V75" s="52">
        <v>0</v>
      </c>
      <c r="W75" s="52">
        <v>0</v>
      </c>
      <c r="X75" s="52">
        <v>0</v>
      </c>
      <c r="Y75" s="52">
        <v>446</v>
      </c>
      <c r="Z75" s="53">
        <v>0</v>
      </c>
      <c r="AA75" s="53">
        <v>0</v>
      </c>
    </row>
    <row r="76" spans="1:27" ht="13.5" thickBot="1">
      <c r="A76" s="49">
        <v>10774990</v>
      </c>
      <c r="B76" s="50">
        <v>3401</v>
      </c>
      <c r="C76" s="50" t="s">
        <v>40</v>
      </c>
      <c r="D76" s="50" t="s">
        <v>80</v>
      </c>
      <c r="E76" s="51">
        <v>150</v>
      </c>
      <c r="F76" s="51">
        <v>338</v>
      </c>
      <c r="G76" s="51">
        <v>150</v>
      </c>
      <c r="H76" s="51">
        <v>2</v>
      </c>
      <c r="I76" s="51">
        <v>150</v>
      </c>
      <c r="J76" s="52">
        <v>150</v>
      </c>
      <c r="K76" s="51">
        <v>0</v>
      </c>
      <c r="L76" s="52">
        <v>150</v>
      </c>
      <c r="M76" s="51">
        <v>0</v>
      </c>
      <c r="N76" s="52">
        <v>150</v>
      </c>
      <c r="O76" s="51">
        <v>1940</v>
      </c>
      <c r="P76" s="52">
        <v>173.29090909090908</v>
      </c>
      <c r="Q76" s="51">
        <v>350</v>
      </c>
      <c r="R76" s="52">
        <v>815</v>
      </c>
      <c r="S76" s="52">
        <v>491.75</v>
      </c>
      <c r="T76" s="52">
        <v>700</v>
      </c>
      <c r="U76" s="52">
        <v>0</v>
      </c>
      <c r="V76" s="52">
        <v>0</v>
      </c>
      <c r="W76" s="52">
        <v>0</v>
      </c>
      <c r="X76" s="52">
        <v>0</v>
      </c>
      <c r="Y76" s="52">
        <v>25</v>
      </c>
      <c r="Z76" s="53">
        <v>216</v>
      </c>
      <c r="AA76" s="53">
        <v>0</v>
      </c>
    </row>
    <row r="77" spans="1:27" ht="12.75">
      <c r="A77" s="38">
        <v>10872020</v>
      </c>
      <c r="B77" s="39">
        <v>3353</v>
      </c>
      <c r="C77" s="39" t="s">
        <v>81</v>
      </c>
      <c r="D77" s="39" t="s">
        <v>82</v>
      </c>
      <c r="E77" s="40">
        <v>500000</v>
      </c>
      <c r="F77" s="40">
        <v>480351</v>
      </c>
      <c r="G77" s="40">
        <v>500000</v>
      </c>
      <c r="H77" s="40">
        <v>472026.85</v>
      </c>
      <c r="I77" s="40">
        <v>469642</v>
      </c>
      <c r="J77" s="41">
        <v>488628</v>
      </c>
      <c r="K77" s="40">
        <v>501699.03</v>
      </c>
      <c r="L77" s="41">
        <v>504936</v>
      </c>
      <c r="M77" s="40">
        <v>484684.53</v>
      </c>
      <c r="N77" s="41">
        <v>508000</v>
      </c>
      <c r="O77" s="40">
        <v>589625.76</v>
      </c>
      <c r="P77" s="41">
        <v>589626</v>
      </c>
      <c r="Q77" s="40">
        <v>582824.51</v>
      </c>
      <c r="R77" s="41">
        <f>-86052+589626</f>
        <v>503574</v>
      </c>
      <c r="S77" s="41">
        <v>502027.15</v>
      </c>
      <c r="T77" s="41">
        <v>500216</v>
      </c>
      <c r="U77" s="41">
        <v>575665.74</v>
      </c>
      <c r="V77" s="41">
        <v>576310.74</v>
      </c>
      <c r="W77" s="41">
        <v>1089188.2</v>
      </c>
      <c r="X77" s="41">
        <v>597403.52</v>
      </c>
      <c r="Y77" s="41">
        <v>606987</v>
      </c>
      <c r="Z77" s="42">
        <v>580815</v>
      </c>
      <c r="AA77" s="42">
        <v>580815</v>
      </c>
    </row>
    <row r="78" spans="1:27" ht="12.75">
      <c r="A78" s="33">
        <v>10872290</v>
      </c>
      <c r="B78" s="34">
        <v>3311</v>
      </c>
      <c r="C78" s="34" t="s">
        <v>51</v>
      </c>
      <c r="D78" s="34" t="s">
        <v>82</v>
      </c>
      <c r="E78" s="35">
        <v>0</v>
      </c>
      <c r="F78" s="35">
        <v>4251.54</v>
      </c>
      <c r="G78" s="35">
        <v>0</v>
      </c>
      <c r="H78" s="35">
        <v>85731.58</v>
      </c>
      <c r="I78" s="35">
        <v>1115000</v>
      </c>
      <c r="J78" s="36">
        <v>0</v>
      </c>
      <c r="K78" s="35"/>
      <c r="L78" s="36">
        <v>0</v>
      </c>
      <c r="M78" s="35"/>
      <c r="N78" s="36">
        <v>540000</v>
      </c>
      <c r="O78" s="35"/>
      <c r="P78" s="36">
        <v>0</v>
      </c>
      <c r="Q78" s="35"/>
      <c r="R78" s="36">
        <v>0</v>
      </c>
      <c r="S78" s="36"/>
      <c r="T78" s="36">
        <v>0</v>
      </c>
      <c r="U78" s="36"/>
      <c r="V78" s="36">
        <v>22080.12</v>
      </c>
      <c r="W78" s="36">
        <v>7290</v>
      </c>
      <c r="X78" s="36">
        <v>5220</v>
      </c>
      <c r="Y78" s="36">
        <v>5220</v>
      </c>
      <c r="Z78" s="37">
        <v>0</v>
      </c>
      <c r="AA78" s="37">
        <v>0</v>
      </c>
    </row>
    <row r="79" spans="1:27" ht="12.75" hidden="1">
      <c r="A79" s="33">
        <v>10874260</v>
      </c>
      <c r="B79" s="34">
        <v>3401</v>
      </c>
      <c r="C79" s="34" t="s">
        <v>83</v>
      </c>
      <c r="D79" s="34" t="s">
        <v>82</v>
      </c>
      <c r="E79" s="35">
        <v>700</v>
      </c>
      <c r="F79" s="35">
        <v>0</v>
      </c>
      <c r="G79" s="35">
        <v>700</v>
      </c>
      <c r="H79" s="35">
        <v>0</v>
      </c>
      <c r="I79" s="35">
        <v>0</v>
      </c>
      <c r="J79" s="36">
        <v>0</v>
      </c>
      <c r="K79" s="35"/>
      <c r="L79" s="36">
        <v>0</v>
      </c>
      <c r="M79" s="35"/>
      <c r="N79" s="36">
        <v>0</v>
      </c>
      <c r="O79" s="35"/>
      <c r="P79" s="36">
        <v>0</v>
      </c>
      <c r="Q79" s="35"/>
      <c r="R79" s="36">
        <v>0</v>
      </c>
      <c r="S79" s="36"/>
      <c r="T79" s="36">
        <v>0</v>
      </c>
      <c r="U79" s="36"/>
      <c r="V79" s="36"/>
      <c r="W79" s="36"/>
      <c r="X79" s="36">
        <v>775</v>
      </c>
      <c r="Y79" s="36">
        <v>775</v>
      </c>
      <c r="Z79" s="37">
        <v>0</v>
      </c>
      <c r="AA79" s="37"/>
    </row>
    <row r="80" spans="1:27" ht="12.75" hidden="1">
      <c r="A80" s="33">
        <v>10874350</v>
      </c>
      <c r="B80" s="34">
        <v>3401</v>
      </c>
      <c r="C80" s="34" t="s">
        <v>84</v>
      </c>
      <c r="D80" s="34" t="s">
        <v>82</v>
      </c>
      <c r="E80" s="35">
        <v>0</v>
      </c>
      <c r="F80" s="35">
        <v>0</v>
      </c>
      <c r="G80" s="35">
        <v>0</v>
      </c>
      <c r="H80" s="35">
        <v>21396.17</v>
      </c>
      <c r="I80" s="35">
        <v>0</v>
      </c>
      <c r="J80" s="36">
        <v>0</v>
      </c>
      <c r="K80" s="35"/>
      <c r="L80" s="36">
        <v>0</v>
      </c>
      <c r="M80" s="35"/>
      <c r="N80" s="36">
        <v>0</v>
      </c>
      <c r="O80" s="35"/>
      <c r="P80" s="36">
        <v>0</v>
      </c>
      <c r="Q80" s="35"/>
      <c r="R80" s="36">
        <v>0</v>
      </c>
      <c r="S80" s="36"/>
      <c r="T80" s="36">
        <v>0</v>
      </c>
      <c r="U80" s="36"/>
      <c r="V80" s="36"/>
      <c r="W80" s="36"/>
      <c r="X80" s="36"/>
      <c r="Y80" s="36"/>
      <c r="Z80" s="37">
        <v>0</v>
      </c>
      <c r="AA80" s="37"/>
    </row>
    <row r="81" spans="1:27" ht="12.75" hidden="1">
      <c r="A81" s="33">
        <v>10874360</v>
      </c>
      <c r="B81" s="34">
        <v>3401</v>
      </c>
      <c r="C81" s="34" t="s">
        <v>85</v>
      </c>
      <c r="D81" s="34" t="s">
        <v>82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6"/>
      <c r="K81" s="35">
        <v>1524</v>
      </c>
      <c r="L81" s="36"/>
      <c r="M81" s="35">
        <v>31302.88</v>
      </c>
      <c r="N81" s="36">
        <v>0</v>
      </c>
      <c r="O81" s="35"/>
      <c r="P81" s="36">
        <v>0</v>
      </c>
      <c r="Q81" s="35"/>
      <c r="R81" s="36">
        <v>0</v>
      </c>
      <c r="S81" s="36">
        <v>31000</v>
      </c>
      <c r="T81" s="36">
        <v>0</v>
      </c>
      <c r="U81" s="36">
        <v>-2782</v>
      </c>
      <c r="V81" s="36">
        <v>0</v>
      </c>
      <c r="W81" s="36">
        <v>0</v>
      </c>
      <c r="X81" s="36">
        <v>0</v>
      </c>
      <c r="Y81" s="36">
        <v>0</v>
      </c>
      <c r="Z81" s="37">
        <v>0</v>
      </c>
      <c r="AA81" s="37"/>
    </row>
    <row r="82" spans="1:27" ht="12.75">
      <c r="A82" s="33">
        <v>10874990</v>
      </c>
      <c r="B82" s="34">
        <v>3401</v>
      </c>
      <c r="C82" s="34" t="s">
        <v>40</v>
      </c>
      <c r="D82" s="34" t="s">
        <v>82</v>
      </c>
      <c r="E82" s="35">
        <v>500</v>
      </c>
      <c r="F82" s="35">
        <v>1547.13</v>
      </c>
      <c r="G82" s="35">
        <v>500</v>
      </c>
      <c r="H82" s="35">
        <v>507.19</v>
      </c>
      <c r="I82" s="35">
        <v>500</v>
      </c>
      <c r="J82" s="36">
        <v>500</v>
      </c>
      <c r="K82" s="35"/>
      <c r="L82" s="36">
        <v>500</v>
      </c>
      <c r="M82" s="35">
        <v>0</v>
      </c>
      <c r="N82" s="36">
        <v>0</v>
      </c>
      <c r="O82" s="35">
        <v>106.25</v>
      </c>
      <c r="P82" s="36">
        <v>890.8709090909091</v>
      </c>
      <c r="Q82" s="35">
        <v>1911.96</v>
      </c>
      <c r="R82" s="36">
        <v>890.8709090909091</v>
      </c>
      <c r="S82" s="36">
        <f>8.5+873.58</f>
        <v>882.08</v>
      </c>
      <c r="T82" s="36">
        <v>900</v>
      </c>
      <c r="U82" s="36">
        <v>7050</v>
      </c>
      <c r="V82" s="36">
        <v>900</v>
      </c>
      <c r="W82" s="36">
        <v>0</v>
      </c>
      <c r="X82" s="36">
        <v>4228.24</v>
      </c>
      <c r="Y82" s="36">
        <f>425+1200</f>
        <v>1625</v>
      </c>
      <c r="Z82" s="37">
        <v>2200</v>
      </c>
      <c r="AA82" s="37">
        <v>2500</v>
      </c>
    </row>
    <row r="83" spans="1:27" ht="13.5" thickBot="1">
      <c r="A83" s="44">
        <v>424276250</v>
      </c>
      <c r="B83" s="65">
        <v>4312</v>
      </c>
      <c r="C83" s="45" t="s">
        <v>86</v>
      </c>
      <c r="D83" s="45" t="s">
        <v>86</v>
      </c>
      <c r="E83" s="45" t="s">
        <v>86</v>
      </c>
      <c r="F83" s="45" t="s">
        <v>86</v>
      </c>
      <c r="G83" s="45" t="s">
        <v>86</v>
      </c>
      <c r="H83" s="46"/>
      <c r="I83" s="46"/>
      <c r="J83" s="47"/>
      <c r="K83" s="46"/>
      <c r="L83" s="47">
        <v>0</v>
      </c>
      <c r="M83" s="46">
        <v>5</v>
      </c>
      <c r="N83" s="47">
        <v>155000</v>
      </c>
      <c r="O83" s="46">
        <v>113570</v>
      </c>
      <c r="P83" s="47">
        <v>155000</v>
      </c>
      <c r="Q83" s="46">
        <v>120495</v>
      </c>
      <c r="R83" s="47">
        <v>135000</v>
      </c>
      <c r="S83" s="47">
        <v>121880</v>
      </c>
      <c r="T83" s="47">
        <v>135000</v>
      </c>
      <c r="U83" s="47">
        <v>123692.27</v>
      </c>
      <c r="V83" s="47">
        <v>126120.99</v>
      </c>
      <c r="W83" s="47">
        <v>126540</v>
      </c>
      <c r="X83" s="47">
        <v>127974.48</v>
      </c>
      <c r="Y83" s="47">
        <v>125700</v>
      </c>
      <c r="Z83" s="48">
        <v>125000</v>
      </c>
      <c r="AA83" s="48">
        <v>125000</v>
      </c>
    </row>
    <row r="84" spans="1:27" ht="12.75" hidden="1">
      <c r="A84" s="66">
        <v>424279210</v>
      </c>
      <c r="B84" s="67">
        <v>3934</v>
      </c>
      <c r="C84" s="34" t="s">
        <v>48</v>
      </c>
      <c r="D84" s="34" t="s">
        <v>87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6"/>
      <c r="K84" s="35">
        <v>579728.7</v>
      </c>
      <c r="L84" s="36"/>
      <c r="M84" s="35">
        <v>-3756.56</v>
      </c>
      <c r="N84" s="36">
        <v>0</v>
      </c>
      <c r="O84" s="35"/>
      <c r="P84" s="36"/>
      <c r="Q84" s="35"/>
      <c r="R84" s="36"/>
      <c r="S84" s="36">
        <v>107673.14</v>
      </c>
      <c r="T84" s="36"/>
      <c r="U84" s="36">
        <v>-3692.27</v>
      </c>
      <c r="V84" s="36">
        <v>-112946</v>
      </c>
      <c r="W84" s="36">
        <v>245146</v>
      </c>
      <c r="X84" s="36">
        <v>-127974</v>
      </c>
      <c r="Y84" s="36">
        <v>-127974</v>
      </c>
      <c r="Z84" s="37">
        <v>0</v>
      </c>
      <c r="AA84" s="37"/>
    </row>
    <row r="85" spans="1:27" ht="12.75" hidden="1">
      <c r="A85" s="66">
        <v>10878240</v>
      </c>
      <c r="B85" s="67">
        <v>3503</v>
      </c>
      <c r="C85" s="34" t="s">
        <v>42</v>
      </c>
      <c r="D85" s="34" t="s">
        <v>82</v>
      </c>
      <c r="E85" s="35">
        <v>0</v>
      </c>
      <c r="F85" s="35">
        <v>166.45</v>
      </c>
      <c r="G85" s="35">
        <v>0</v>
      </c>
      <c r="H85" s="35">
        <v>0</v>
      </c>
      <c r="I85" s="35">
        <v>0</v>
      </c>
      <c r="J85" s="36">
        <v>0</v>
      </c>
      <c r="K85" s="35"/>
      <c r="L85" s="36">
        <v>0</v>
      </c>
      <c r="M85" s="35"/>
      <c r="N85" s="36">
        <v>0</v>
      </c>
      <c r="O85" s="35">
        <v>5000</v>
      </c>
      <c r="P85" s="36">
        <v>0</v>
      </c>
      <c r="Q85" s="35">
        <v>0</v>
      </c>
      <c r="R85" s="36">
        <v>0</v>
      </c>
      <c r="S85" s="36">
        <v>0</v>
      </c>
      <c r="T85" s="36">
        <v>0</v>
      </c>
      <c r="U85" s="36">
        <v>11285.09</v>
      </c>
      <c r="V85" s="36">
        <v>0</v>
      </c>
      <c r="W85" s="36">
        <v>0</v>
      </c>
      <c r="X85" s="36">
        <v>0</v>
      </c>
      <c r="Y85" s="36">
        <v>0</v>
      </c>
      <c r="Z85" s="37">
        <v>0</v>
      </c>
      <c r="AA85" s="37"/>
    </row>
    <row r="86" spans="1:27" ht="12.75" hidden="1">
      <c r="A86" s="33">
        <v>10972290</v>
      </c>
      <c r="B86" s="34">
        <v>3311</v>
      </c>
      <c r="C86" s="34" t="s">
        <v>29</v>
      </c>
      <c r="D86" s="34" t="s">
        <v>88</v>
      </c>
      <c r="E86" s="35">
        <v>300000</v>
      </c>
      <c r="F86" s="35">
        <v>0</v>
      </c>
      <c r="G86" s="35">
        <v>0</v>
      </c>
      <c r="H86" s="35">
        <v>317244.19</v>
      </c>
      <c r="I86" s="35">
        <v>0</v>
      </c>
      <c r="J86" s="36">
        <v>0</v>
      </c>
      <c r="K86" s="35"/>
      <c r="L86" s="36">
        <v>0</v>
      </c>
      <c r="M86" s="35"/>
      <c r="N86" s="36">
        <v>0</v>
      </c>
      <c r="O86" s="35"/>
      <c r="P86" s="36">
        <v>0</v>
      </c>
      <c r="Q86" s="35">
        <v>0</v>
      </c>
      <c r="R86" s="36">
        <v>0</v>
      </c>
      <c r="S86" s="36"/>
      <c r="T86" s="36">
        <v>0</v>
      </c>
      <c r="U86" s="36"/>
      <c r="V86" s="36">
        <v>293.16</v>
      </c>
      <c r="W86" s="36">
        <v>0</v>
      </c>
      <c r="X86" s="36"/>
      <c r="Y86" s="36"/>
      <c r="Z86" s="37">
        <v>0</v>
      </c>
      <c r="AA86" s="37"/>
    </row>
    <row r="87" spans="1:27" ht="12.75">
      <c r="A87" s="33">
        <v>10974180</v>
      </c>
      <c r="B87" s="34">
        <v>3401</v>
      </c>
      <c r="C87" s="34" t="s">
        <v>89</v>
      </c>
      <c r="D87" s="34" t="s">
        <v>88</v>
      </c>
      <c r="E87" s="35">
        <v>100000</v>
      </c>
      <c r="F87" s="35">
        <v>96345</v>
      </c>
      <c r="G87" s="35">
        <v>100000</v>
      </c>
      <c r="H87" s="35">
        <v>91672.29</v>
      </c>
      <c r="I87" s="35">
        <v>100000</v>
      </c>
      <c r="J87" s="36">
        <v>100000</v>
      </c>
      <c r="K87" s="35">
        <v>114674.58</v>
      </c>
      <c r="L87" s="36">
        <v>120000</v>
      </c>
      <c r="M87" s="35">
        <v>87878.6</v>
      </c>
      <c r="N87" s="36">
        <v>120000</v>
      </c>
      <c r="O87" s="35">
        <v>71266.78</v>
      </c>
      <c r="P87" s="36">
        <f>14070+110430.456727273</f>
        <v>124500.456727273</v>
      </c>
      <c r="Q87" s="35">
        <v>135444.73</v>
      </c>
      <c r="R87" s="36">
        <f>36500+100800</f>
        <v>137300</v>
      </c>
      <c r="S87" s="36">
        <v>105454.67</v>
      </c>
      <c r="T87" s="36">
        <v>110000</v>
      </c>
      <c r="U87" s="36">
        <v>60704.05</v>
      </c>
      <c r="V87" s="36">
        <v>60505.03</v>
      </c>
      <c r="W87" s="36">
        <v>103775.34</v>
      </c>
      <c r="X87" s="36">
        <v>92105.73</v>
      </c>
      <c r="Y87" s="36">
        <v>69944</v>
      </c>
      <c r="Z87" s="37">
        <v>85000</v>
      </c>
      <c r="AA87" s="37">
        <v>95000</v>
      </c>
    </row>
    <row r="88" spans="1:27" ht="12.75">
      <c r="A88" s="38">
        <v>10974190</v>
      </c>
      <c r="B88" s="39">
        <v>3401</v>
      </c>
      <c r="C88" s="39" t="s">
        <v>90</v>
      </c>
      <c r="D88" s="39" t="s">
        <v>88</v>
      </c>
      <c r="E88" s="40"/>
      <c r="F88" s="40"/>
      <c r="G88" s="40"/>
      <c r="H88" s="40"/>
      <c r="I88" s="40">
        <v>15000</v>
      </c>
      <c r="J88" s="41">
        <v>8000</v>
      </c>
      <c r="K88" s="40"/>
      <c r="L88" s="41">
        <v>8000</v>
      </c>
      <c r="M88" s="40">
        <v>4360</v>
      </c>
      <c r="N88" s="41">
        <v>8000</v>
      </c>
      <c r="O88" s="40">
        <v>4250</v>
      </c>
      <c r="P88" s="41">
        <v>2521.4545454545455</v>
      </c>
      <c r="Q88" s="40">
        <v>3420</v>
      </c>
      <c r="R88" s="68">
        <v>4370</v>
      </c>
      <c r="S88" s="41">
        <v>3430</v>
      </c>
      <c r="T88" s="41">
        <v>3425</v>
      </c>
      <c r="U88" s="41">
        <v>4320</v>
      </c>
      <c r="V88" s="41">
        <v>5005</v>
      </c>
      <c r="W88" s="41">
        <v>5910</v>
      </c>
      <c r="X88" s="41">
        <v>4640</v>
      </c>
      <c r="Y88" s="41">
        <v>5800</v>
      </c>
      <c r="Z88" s="42">
        <v>4800</v>
      </c>
      <c r="AA88" s="42">
        <v>5100</v>
      </c>
    </row>
    <row r="89" spans="1:27" ht="12.75">
      <c r="A89" s="33">
        <v>10974200</v>
      </c>
      <c r="B89" s="34">
        <v>3401</v>
      </c>
      <c r="C89" s="34" t="s">
        <v>91</v>
      </c>
      <c r="D89" s="34" t="s">
        <v>88</v>
      </c>
      <c r="E89" s="35"/>
      <c r="F89" s="35"/>
      <c r="G89" s="35"/>
      <c r="H89" s="35"/>
      <c r="I89" s="35">
        <v>3000</v>
      </c>
      <c r="J89" s="36">
        <v>500</v>
      </c>
      <c r="K89" s="35"/>
      <c r="L89" s="36">
        <v>500</v>
      </c>
      <c r="M89" s="35">
        <v>260</v>
      </c>
      <c r="N89" s="36">
        <v>500</v>
      </c>
      <c r="O89" s="35">
        <v>370</v>
      </c>
      <c r="P89" s="36">
        <v>2479</v>
      </c>
      <c r="Q89" s="35">
        <v>210</v>
      </c>
      <c r="R89" s="34">
        <v>370</v>
      </c>
      <c r="S89" s="36">
        <v>30</v>
      </c>
      <c r="T89" s="36">
        <v>275</v>
      </c>
      <c r="U89" s="36">
        <v>110</v>
      </c>
      <c r="V89" s="36">
        <v>219.8</v>
      </c>
      <c r="W89" s="36">
        <v>270</v>
      </c>
      <c r="X89" s="36">
        <v>170</v>
      </c>
      <c r="Y89" s="36">
        <v>320</v>
      </c>
      <c r="Z89" s="37">
        <v>225</v>
      </c>
      <c r="AA89" s="37">
        <v>225</v>
      </c>
    </row>
    <row r="90" spans="1:27" ht="12" customHeight="1">
      <c r="A90" s="38">
        <v>10974210</v>
      </c>
      <c r="B90" s="39">
        <v>3401</v>
      </c>
      <c r="C90" s="39" t="s">
        <v>92</v>
      </c>
      <c r="D90" s="39" t="s">
        <v>88</v>
      </c>
      <c r="E90" s="40"/>
      <c r="F90" s="40"/>
      <c r="G90" s="40"/>
      <c r="H90" s="40"/>
      <c r="I90" s="40">
        <v>500</v>
      </c>
      <c r="J90" s="41">
        <v>100</v>
      </c>
      <c r="K90" s="40"/>
      <c r="L90" s="41">
        <v>100</v>
      </c>
      <c r="M90" s="40">
        <v>557.9</v>
      </c>
      <c r="N90" s="41">
        <v>100</v>
      </c>
      <c r="O90" s="40">
        <v>223.98</v>
      </c>
      <c r="P90" s="41">
        <v>247.8109090909091</v>
      </c>
      <c r="Q90" s="40">
        <v>818.72</v>
      </c>
      <c r="R90" s="39">
        <v>250</v>
      </c>
      <c r="S90" s="41">
        <v>1385.54</v>
      </c>
      <c r="T90" s="41">
        <v>450</v>
      </c>
      <c r="U90" s="41">
        <v>1818.92</v>
      </c>
      <c r="V90" s="41">
        <v>993.68</v>
      </c>
      <c r="W90" s="41">
        <v>255.34</v>
      </c>
      <c r="X90" s="41">
        <v>45.5</v>
      </c>
      <c r="Y90" s="41">
        <v>44</v>
      </c>
      <c r="Z90" s="42">
        <v>1450</v>
      </c>
      <c r="AA90" s="42">
        <v>630</v>
      </c>
    </row>
    <row r="91" spans="1:27" ht="12" customHeight="1">
      <c r="A91" s="33">
        <v>10974220</v>
      </c>
      <c r="B91" s="34">
        <v>3401</v>
      </c>
      <c r="C91" s="34" t="s">
        <v>93</v>
      </c>
      <c r="D91" s="34" t="s">
        <v>88</v>
      </c>
      <c r="E91" s="35"/>
      <c r="F91" s="35"/>
      <c r="G91" s="35"/>
      <c r="H91" s="35"/>
      <c r="I91" s="35">
        <v>3000</v>
      </c>
      <c r="J91" s="36">
        <v>1000</v>
      </c>
      <c r="K91" s="35">
        <v>104.04</v>
      </c>
      <c r="L91" s="36">
        <v>1000</v>
      </c>
      <c r="M91" s="35">
        <v>235</v>
      </c>
      <c r="N91" s="36">
        <v>1000</v>
      </c>
      <c r="O91" s="35">
        <v>320</v>
      </c>
      <c r="P91" s="36">
        <v>1500</v>
      </c>
      <c r="Q91" s="35">
        <v>610</v>
      </c>
      <c r="R91" s="34">
        <v>365</v>
      </c>
      <c r="S91" s="36">
        <v>775</v>
      </c>
      <c r="T91" s="36">
        <v>400</v>
      </c>
      <c r="U91" s="36">
        <v>6780</v>
      </c>
      <c r="V91" s="36">
        <v>1430</v>
      </c>
      <c r="W91" s="36">
        <v>1485</v>
      </c>
      <c r="X91" s="36">
        <v>1535</v>
      </c>
      <c r="Y91" s="36">
        <v>1645</v>
      </c>
      <c r="Z91" s="37">
        <v>3350</v>
      </c>
      <c r="AA91" s="37">
        <v>2575</v>
      </c>
    </row>
    <row r="92" spans="1:27" ht="12.75">
      <c r="A92" s="38">
        <v>10974220</v>
      </c>
      <c r="B92" s="39">
        <v>3401</v>
      </c>
      <c r="C92" s="39" t="s">
        <v>94</v>
      </c>
      <c r="D92" s="39" t="s">
        <v>88</v>
      </c>
      <c r="E92" s="40">
        <v>165000</v>
      </c>
      <c r="F92" s="40">
        <v>203356.66</v>
      </c>
      <c r="G92" s="40">
        <v>165000</v>
      </c>
      <c r="H92" s="40">
        <v>175328.45</v>
      </c>
      <c r="I92" s="40">
        <v>195000</v>
      </c>
      <c r="J92" s="41">
        <v>175000</v>
      </c>
      <c r="K92" s="40">
        <v>146857.68</v>
      </c>
      <c r="L92" s="41">
        <v>190909</v>
      </c>
      <c r="M92" s="40">
        <v>67691.75</v>
      </c>
      <c r="N92" s="41">
        <v>140000</v>
      </c>
      <c r="O92" s="40">
        <v>54330.26</v>
      </c>
      <c r="P92" s="41">
        <v>112550</v>
      </c>
      <c r="Q92" s="40">
        <v>60612.72</v>
      </c>
      <c r="R92" s="68">
        <v>84500</v>
      </c>
      <c r="S92" s="41">
        <v>67836.88</v>
      </c>
      <c r="T92" s="41">
        <v>78325</v>
      </c>
      <c r="U92" s="41">
        <v>94847.66</v>
      </c>
      <c r="V92" s="41">
        <v>106351.66</v>
      </c>
      <c r="W92" s="41">
        <v>95290.7</v>
      </c>
      <c r="X92" s="41">
        <v>66678.97</v>
      </c>
      <c r="Y92" s="41">
        <v>94078</v>
      </c>
      <c r="Z92" s="42">
        <v>92300</v>
      </c>
      <c r="AA92" s="42">
        <v>91500</v>
      </c>
    </row>
    <row r="93" spans="1:27" ht="12.75">
      <c r="A93" s="33">
        <v>10974230</v>
      </c>
      <c r="B93" s="34">
        <v>3401</v>
      </c>
      <c r="C93" s="34" t="s">
        <v>95</v>
      </c>
      <c r="D93" s="34" t="s">
        <v>88</v>
      </c>
      <c r="E93" s="35"/>
      <c r="F93" s="35"/>
      <c r="G93" s="35"/>
      <c r="H93" s="35"/>
      <c r="I93" s="35">
        <v>3500</v>
      </c>
      <c r="J93" s="36">
        <v>3000</v>
      </c>
      <c r="K93" s="35"/>
      <c r="L93" s="36">
        <v>4000</v>
      </c>
      <c r="M93" s="35">
        <v>3750</v>
      </c>
      <c r="N93" s="36">
        <v>4000</v>
      </c>
      <c r="O93" s="35">
        <v>3780</v>
      </c>
      <c r="P93" s="36">
        <f>1674+2274.18181818182</f>
        <v>3948.18181818182</v>
      </c>
      <c r="Q93" s="35">
        <v>3540</v>
      </c>
      <c r="R93" s="69">
        <v>4665</v>
      </c>
      <c r="S93" s="36">
        <v>2985</v>
      </c>
      <c r="T93" s="36">
        <v>3250</v>
      </c>
      <c r="U93" s="36">
        <v>4530</v>
      </c>
      <c r="V93" s="36">
        <v>4530</v>
      </c>
      <c r="W93" s="36">
        <v>5775</v>
      </c>
      <c r="X93" s="36">
        <v>5440</v>
      </c>
      <c r="Y93" s="36">
        <v>5490</v>
      </c>
      <c r="Z93" s="37">
        <v>5225</v>
      </c>
      <c r="AA93" s="37">
        <v>5150</v>
      </c>
    </row>
    <row r="94" spans="1:27" ht="12.75">
      <c r="A94" s="38">
        <v>10974240</v>
      </c>
      <c r="B94" s="39">
        <v>3401</v>
      </c>
      <c r="C94" s="39" t="s">
        <v>96</v>
      </c>
      <c r="D94" s="39" t="s">
        <v>88</v>
      </c>
      <c r="E94" s="40"/>
      <c r="F94" s="40"/>
      <c r="G94" s="40"/>
      <c r="H94" s="40"/>
      <c r="I94" s="40">
        <v>4500</v>
      </c>
      <c r="J94" s="41">
        <v>4000</v>
      </c>
      <c r="K94" s="40"/>
      <c r="L94" s="41">
        <v>4000</v>
      </c>
      <c r="M94" s="40">
        <v>4365</v>
      </c>
      <c r="N94" s="41">
        <v>4000</v>
      </c>
      <c r="O94" s="40">
        <v>4735</v>
      </c>
      <c r="P94" s="41">
        <f>1674+2378.18181818182</f>
        <v>4052.18181818182</v>
      </c>
      <c r="Q94" s="40">
        <v>4345</v>
      </c>
      <c r="R94" s="68">
        <v>4000</v>
      </c>
      <c r="S94" s="41">
        <v>5585</v>
      </c>
      <c r="T94" s="41">
        <v>3800</v>
      </c>
      <c r="U94" s="41">
        <v>1260</v>
      </c>
      <c r="V94" s="41">
        <v>9090</v>
      </c>
      <c r="W94" s="41">
        <v>8670</v>
      </c>
      <c r="X94" s="41">
        <v>9105</v>
      </c>
      <c r="Y94" s="41">
        <v>12195</v>
      </c>
      <c r="Z94" s="42">
        <v>4755</v>
      </c>
      <c r="AA94" s="42">
        <v>8075</v>
      </c>
    </row>
    <row r="95" spans="1:27" ht="12.75">
      <c r="A95" s="33">
        <v>10974240</v>
      </c>
      <c r="B95" s="34">
        <v>3401</v>
      </c>
      <c r="C95" s="34" t="s">
        <v>97</v>
      </c>
      <c r="D95" s="34" t="s">
        <v>88</v>
      </c>
      <c r="E95" s="35"/>
      <c r="F95" s="35"/>
      <c r="G95" s="35"/>
      <c r="H95" s="35"/>
      <c r="I95" s="35">
        <v>35000</v>
      </c>
      <c r="J95" s="36">
        <v>20000</v>
      </c>
      <c r="K95" s="35"/>
      <c r="L95" s="36">
        <v>20000</v>
      </c>
      <c r="M95" s="35">
        <v>21820</v>
      </c>
      <c r="N95" s="36">
        <v>15000</v>
      </c>
      <c r="O95" s="35">
        <v>21180</v>
      </c>
      <c r="P95" s="36">
        <v>22000</v>
      </c>
      <c r="Q95" s="35">
        <v>26128.08</v>
      </c>
      <c r="R95" s="69">
        <v>22000</v>
      </c>
      <c r="S95" s="36">
        <v>20970</v>
      </c>
      <c r="T95" s="36">
        <v>19900</v>
      </c>
      <c r="U95" s="36">
        <v>33425</v>
      </c>
      <c r="V95" s="36">
        <v>34635</v>
      </c>
      <c r="W95" s="36">
        <v>34225</v>
      </c>
      <c r="X95" s="36">
        <v>33480</v>
      </c>
      <c r="Y95" s="36">
        <v>30045</v>
      </c>
      <c r="Z95" s="37">
        <v>31600</v>
      </c>
      <c r="AA95" s="37">
        <v>33175</v>
      </c>
    </row>
    <row r="96" spans="1:27" ht="13.5" thickBot="1">
      <c r="A96" s="44">
        <v>10974990</v>
      </c>
      <c r="B96" s="45">
        <v>3401</v>
      </c>
      <c r="C96" s="45" t="s">
        <v>98</v>
      </c>
      <c r="D96" s="45" t="s">
        <v>88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7">
        <v>0</v>
      </c>
      <c r="K96" s="46"/>
      <c r="L96" s="47">
        <v>0</v>
      </c>
      <c r="M96" s="46">
        <v>0</v>
      </c>
      <c r="N96" s="47">
        <v>0</v>
      </c>
      <c r="O96" s="46">
        <v>2179.98</v>
      </c>
      <c r="P96" s="47">
        <v>0</v>
      </c>
      <c r="Q96" s="46">
        <v>0</v>
      </c>
      <c r="R96" s="47">
        <v>0</v>
      </c>
      <c r="S96" s="47">
        <v>177.75</v>
      </c>
      <c r="T96" s="47">
        <v>0</v>
      </c>
      <c r="U96" s="47">
        <v>122.6</v>
      </c>
      <c r="V96" s="47">
        <v>1375</v>
      </c>
      <c r="W96" s="47">
        <v>420</v>
      </c>
      <c r="X96" s="47">
        <v>297</v>
      </c>
      <c r="Y96" s="47">
        <v>175</v>
      </c>
      <c r="Z96" s="48">
        <v>775</v>
      </c>
      <c r="AA96" s="48">
        <v>500</v>
      </c>
    </row>
    <row r="97" spans="1:27" ht="12.75" hidden="1">
      <c r="A97" s="33">
        <v>11178210</v>
      </c>
      <c r="B97" s="34">
        <v>3401</v>
      </c>
      <c r="C97" s="34" t="s">
        <v>99</v>
      </c>
      <c r="D97" s="34" t="s">
        <v>100</v>
      </c>
      <c r="E97" s="35">
        <v>10000</v>
      </c>
      <c r="F97" s="35">
        <v>9564.17</v>
      </c>
      <c r="G97" s="35">
        <v>10000</v>
      </c>
      <c r="H97" s="35">
        <v>7253.37</v>
      </c>
      <c r="I97" s="35">
        <v>10000</v>
      </c>
      <c r="J97" s="36">
        <v>10000</v>
      </c>
      <c r="K97" s="35">
        <v>7527.18</v>
      </c>
      <c r="L97" s="36">
        <v>10000</v>
      </c>
      <c r="M97" s="35">
        <v>7500</v>
      </c>
      <c r="N97" s="36">
        <v>7500</v>
      </c>
      <c r="O97" s="35"/>
      <c r="P97" s="36">
        <v>0</v>
      </c>
      <c r="Q97" s="35">
        <v>0</v>
      </c>
      <c r="R97" s="36">
        <v>0</v>
      </c>
      <c r="S97" s="36">
        <v>0</v>
      </c>
      <c r="T97" s="36">
        <v>0</v>
      </c>
      <c r="U97" s="36"/>
      <c r="V97" s="36">
        <v>0</v>
      </c>
      <c r="W97" s="36">
        <v>0</v>
      </c>
      <c r="X97" s="36">
        <v>0</v>
      </c>
      <c r="Y97" s="36">
        <v>0</v>
      </c>
      <c r="Z97" s="37">
        <v>0</v>
      </c>
      <c r="AA97" s="37"/>
    </row>
    <row r="98" spans="1:27" ht="12.75" hidden="1">
      <c r="A98" s="33">
        <v>11372290</v>
      </c>
      <c r="B98" s="34">
        <v>3359</v>
      </c>
      <c r="C98" s="34" t="s">
        <v>29</v>
      </c>
      <c r="D98" s="34" t="s">
        <v>101</v>
      </c>
      <c r="E98" s="35">
        <v>1000</v>
      </c>
      <c r="F98" s="35">
        <v>1237.59</v>
      </c>
      <c r="G98" s="35">
        <v>1000</v>
      </c>
      <c r="H98" s="35">
        <v>1319.95</v>
      </c>
      <c r="I98" s="35">
        <v>1000</v>
      </c>
      <c r="J98" s="36">
        <v>1100</v>
      </c>
      <c r="K98" s="35">
        <v>6260.79</v>
      </c>
      <c r="L98" s="36">
        <v>800</v>
      </c>
      <c r="M98" s="35">
        <v>321.01</v>
      </c>
      <c r="N98" s="36">
        <f>-4313+5153.03225806452</f>
        <v>840.0322580645197</v>
      </c>
      <c r="O98" s="35">
        <v>746.84</v>
      </c>
      <c r="P98" s="36">
        <v>3044.513454545455</v>
      </c>
      <c r="Q98" s="35">
        <v>512.5</v>
      </c>
      <c r="R98" s="36">
        <v>500</v>
      </c>
      <c r="S98" s="36">
        <v>697.64</v>
      </c>
      <c r="T98" s="36">
        <v>500</v>
      </c>
      <c r="U98" s="36">
        <v>418.2</v>
      </c>
      <c r="V98" s="36">
        <v>0</v>
      </c>
      <c r="W98" s="36">
        <v>0</v>
      </c>
      <c r="X98" s="36">
        <v>0</v>
      </c>
      <c r="Y98" s="36">
        <v>0</v>
      </c>
      <c r="Z98" s="37">
        <v>0</v>
      </c>
      <c r="AA98" s="37"/>
    </row>
    <row r="99" spans="1:27" ht="12.75" hidden="1">
      <c r="A99" s="33">
        <v>11374380</v>
      </c>
      <c r="B99" s="34">
        <v>3401</v>
      </c>
      <c r="C99" s="34" t="s">
        <v>102</v>
      </c>
      <c r="D99" s="34" t="s">
        <v>101</v>
      </c>
      <c r="E99" s="35">
        <v>24000</v>
      </c>
      <c r="F99" s="35">
        <v>52745.5</v>
      </c>
      <c r="G99" s="35">
        <v>24000</v>
      </c>
      <c r="H99" s="35">
        <v>21314.5</v>
      </c>
      <c r="I99" s="35">
        <v>24000</v>
      </c>
      <c r="J99" s="36">
        <v>25000</v>
      </c>
      <c r="K99" s="35">
        <v>12897.3</v>
      </c>
      <c r="L99" s="36">
        <v>19000</v>
      </c>
      <c r="M99" s="35">
        <f>-155+21733.84</f>
        <v>21578.84</v>
      </c>
      <c r="N99" s="36">
        <v>22400</v>
      </c>
      <c r="O99" s="35">
        <v>16275.5</v>
      </c>
      <c r="P99" s="36">
        <f>-1500+20871.9629090909</f>
        <v>19371.9629090909</v>
      </c>
      <c r="Q99" s="35">
        <v>7267.85</v>
      </c>
      <c r="R99" s="36">
        <v>16000</v>
      </c>
      <c r="S99" s="36">
        <v>6355</v>
      </c>
      <c r="T99" s="36">
        <v>8500</v>
      </c>
      <c r="U99" s="36">
        <v>2004.24</v>
      </c>
      <c r="V99" s="36">
        <v>750</v>
      </c>
      <c r="W99" s="36">
        <v>4745</v>
      </c>
      <c r="X99" s="36">
        <v>0</v>
      </c>
      <c r="Y99" s="36">
        <v>0</v>
      </c>
      <c r="Z99" s="37">
        <v>0</v>
      </c>
      <c r="AA99" s="37"/>
    </row>
    <row r="100" spans="1:27" ht="12.75">
      <c r="A100" s="38">
        <v>11374990</v>
      </c>
      <c r="B100" s="39">
        <v>3401</v>
      </c>
      <c r="C100" s="39" t="s">
        <v>40</v>
      </c>
      <c r="D100" s="39" t="s">
        <v>101</v>
      </c>
      <c r="E100" s="40">
        <v>21000</v>
      </c>
      <c r="F100" s="40">
        <v>16141</v>
      </c>
      <c r="G100" s="40">
        <v>21000</v>
      </c>
      <c r="H100" s="40">
        <v>13258</v>
      </c>
      <c r="I100" s="40">
        <v>21000</v>
      </c>
      <c r="J100" s="41">
        <v>15000</v>
      </c>
      <c r="K100" s="40">
        <f>3976.45+2345</f>
        <v>6321.45</v>
      </c>
      <c r="L100" s="41">
        <v>3500</v>
      </c>
      <c r="M100" s="40">
        <f>-155+4935</f>
        <v>4780</v>
      </c>
      <c r="N100" s="41">
        <v>6072.595161290323</v>
      </c>
      <c r="O100" s="40">
        <v>4648.5</v>
      </c>
      <c r="P100" s="41">
        <f>3310+3355.09909090909</f>
        <v>6665.099090909091</v>
      </c>
      <c r="Q100" s="40">
        <v>4940</v>
      </c>
      <c r="R100" s="41">
        <v>5800</v>
      </c>
      <c r="S100" s="41">
        <v>4685</v>
      </c>
      <c r="T100" s="41">
        <v>3500</v>
      </c>
      <c r="U100" s="41">
        <v>6407.96</v>
      </c>
      <c r="V100" s="41">
        <v>6700</v>
      </c>
      <c r="W100" s="41">
        <v>395</v>
      </c>
      <c r="X100" s="41">
        <v>4665</v>
      </c>
      <c r="Y100" s="41">
        <f>15+2471</f>
        <v>2486</v>
      </c>
      <c r="Z100" s="42">
        <v>5000</v>
      </c>
      <c r="AA100" s="42">
        <v>4100</v>
      </c>
    </row>
    <row r="101" spans="1:27" ht="13.5" thickBot="1">
      <c r="A101" s="49">
        <v>11378240</v>
      </c>
      <c r="B101" s="50">
        <v>3503</v>
      </c>
      <c r="C101" s="50" t="s">
        <v>42</v>
      </c>
      <c r="D101" s="50" t="s">
        <v>101</v>
      </c>
      <c r="E101" s="51">
        <v>7500</v>
      </c>
      <c r="F101" s="51">
        <v>56</v>
      </c>
      <c r="G101" s="51">
        <v>7500</v>
      </c>
      <c r="H101" s="51">
        <v>2690</v>
      </c>
      <c r="I101" s="51">
        <v>0</v>
      </c>
      <c r="J101" s="52">
        <v>0</v>
      </c>
      <c r="K101" s="51">
        <v>1600</v>
      </c>
      <c r="L101" s="52">
        <v>0</v>
      </c>
      <c r="M101" s="51">
        <v>2506.51</v>
      </c>
      <c r="N101" s="52">
        <v>0</v>
      </c>
      <c r="O101" s="51">
        <v>231.66</v>
      </c>
      <c r="P101" s="52">
        <v>0</v>
      </c>
      <c r="Q101" s="51">
        <v>0</v>
      </c>
      <c r="R101" s="52">
        <v>0</v>
      </c>
      <c r="S101" s="52">
        <v>160</v>
      </c>
      <c r="T101" s="52">
        <v>0</v>
      </c>
      <c r="U101" s="52">
        <v>328</v>
      </c>
      <c r="V101" s="52">
        <v>10972</v>
      </c>
      <c r="W101" s="52">
        <v>415.8</v>
      </c>
      <c r="X101" s="52">
        <v>6247.46</v>
      </c>
      <c r="Y101" s="52">
        <v>524</v>
      </c>
      <c r="Z101" s="53">
        <v>0</v>
      </c>
      <c r="AA101" s="53"/>
    </row>
    <row r="102" spans="1:27" s="13" customFormat="1" ht="12.75" hidden="1">
      <c r="A102" s="33">
        <v>11378290</v>
      </c>
      <c r="B102" s="34">
        <v>3503</v>
      </c>
      <c r="C102" s="34" t="s">
        <v>103</v>
      </c>
      <c r="D102" s="34" t="s">
        <v>101</v>
      </c>
      <c r="E102" s="35">
        <v>0</v>
      </c>
      <c r="F102" s="35">
        <v>0</v>
      </c>
      <c r="G102" s="35">
        <v>0</v>
      </c>
      <c r="H102" s="35">
        <v>238.5</v>
      </c>
      <c r="I102" s="35">
        <v>0</v>
      </c>
      <c r="J102" s="36">
        <v>0</v>
      </c>
      <c r="K102" s="35"/>
      <c r="L102" s="36">
        <v>0</v>
      </c>
      <c r="M102" s="35"/>
      <c r="N102" s="36">
        <v>0</v>
      </c>
      <c r="O102" s="35"/>
      <c r="P102" s="36">
        <v>0</v>
      </c>
      <c r="Q102" s="35">
        <v>0</v>
      </c>
      <c r="R102" s="36">
        <v>0</v>
      </c>
      <c r="S102" s="36"/>
      <c r="T102" s="36">
        <v>0</v>
      </c>
      <c r="U102" s="36"/>
      <c r="V102" s="36"/>
      <c r="W102" s="36">
        <v>0</v>
      </c>
      <c r="X102" s="36"/>
      <c r="Y102" s="20"/>
      <c r="Z102" s="23">
        <v>0</v>
      </c>
      <c r="AA102" s="23"/>
    </row>
    <row r="103" spans="1:27" ht="12.75" hidden="1">
      <c r="A103" s="33">
        <v>381574200</v>
      </c>
      <c r="B103" s="34">
        <v>3401</v>
      </c>
      <c r="C103" s="34" t="s">
        <v>104</v>
      </c>
      <c r="D103" s="34" t="s">
        <v>105</v>
      </c>
      <c r="E103" s="35">
        <v>17000</v>
      </c>
      <c r="F103" s="35">
        <v>16226.79</v>
      </c>
      <c r="G103" s="35">
        <v>17000</v>
      </c>
      <c r="H103" s="35">
        <v>17426.33</v>
      </c>
      <c r="I103" s="70">
        <v>36100</v>
      </c>
      <c r="J103" s="36">
        <v>0</v>
      </c>
      <c r="K103" s="35"/>
      <c r="L103" s="36">
        <v>0</v>
      </c>
      <c r="M103" s="35">
        <v>0</v>
      </c>
      <c r="N103" s="36">
        <v>0</v>
      </c>
      <c r="O103" s="35"/>
      <c r="P103" s="36">
        <v>0</v>
      </c>
      <c r="Q103" s="35">
        <v>0</v>
      </c>
      <c r="R103" s="36">
        <v>0</v>
      </c>
      <c r="S103" s="36">
        <v>0</v>
      </c>
      <c r="T103" s="36">
        <v>0</v>
      </c>
      <c r="U103" s="36"/>
      <c r="V103" s="36">
        <v>0</v>
      </c>
      <c r="W103" s="36">
        <v>0</v>
      </c>
      <c r="X103" s="36"/>
      <c r="Y103" s="36"/>
      <c r="Z103" s="37">
        <v>0</v>
      </c>
      <c r="AA103" s="37"/>
    </row>
    <row r="104" spans="1:27" ht="12.75" hidden="1">
      <c r="A104" s="38">
        <v>381574250</v>
      </c>
      <c r="B104" s="39">
        <v>3401</v>
      </c>
      <c r="C104" s="39" t="s">
        <v>106</v>
      </c>
      <c r="D104" s="39" t="s">
        <v>105</v>
      </c>
      <c r="E104" s="40">
        <v>4000</v>
      </c>
      <c r="F104" s="40">
        <v>6170.6</v>
      </c>
      <c r="G104" s="40">
        <v>4000</v>
      </c>
      <c r="H104" s="40">
        <v>5997.2</v>
      </c>
      <c r="I104" s="71">
        <v>4000</v>
      </c>
      <c r="J104" s="41">
        <v>0</v>
      </c>
      <c r="K104" s="40"/>
      <c r="L104" s="41">
        <v>0</v>
      </c>
      <c r="M104" s="40">
        <v>0</v>
      </c>
      <c r="N104" s="41">
        <v>0</v>
      </c>
      <c r="O104" s="40"/>
      <c r="P104" s="41">
        <v>0</v>
      </c>
      <c r="Q104" s="40">
        <v>0</v>
      </c>
      <c r="R104" s="41">
        <v>0</v>
      </c>
      <c r="S104" s="41">
        <v>0</v>
      </c>
      <c r="T104" s="41">
        <v>0</v>
      </c>
      <c r="U104" s="41"/>
      <c r="V104" s="41">
        <v>0</v>
      </c>
      <c r="W104" s="41">
        <v>0</v>
      </c>
      <c r="X104" s="41"/>
      <c r="Y104" s="36"/>
      <c r="Z104" s="37">
        <v>0</v>
      </c>
      <c r="AA104" s="37"/>
    </row>
    <row r="105" spans="1:27" ht="12.75" hidden="1">
      <c r="A105" s="33">
        <v>381574290</v>
      </c>
      <c r="B105" s="34">
        <v>3401</v>
      </c>
      <c r="C105" s="34" t="s">
        <v>35</v>
      </c>
      <c r="D105" s="34" t="s">
        <v>105</v>
      </c>
      <c r="E105" s="35">
        <v>1400</v>
      </c>
      <c r="F105" s="35">
        <v>1439.38</v>
      </c>
      <c r="G105" s="35">
        <v>1400</v>
      </c>
      <c r="H105" s="35">
        <v>2438.69</v>
      </c>
      <c r="I105" s="70">
        <v>1400</v>
      </c>
      <c r="J105" s="36">
        <v>0</v>
      </c>
      <c r="K105" s="35"/>
      <c r="L105" s="36">
        <v>0</v>
      </c>
      <c r="M105" s="35">
        <v>0</v>
      </c>
      <c r="N105" s="36">
        <v>0</v>
      </c>
      <c r="O105" s="35"/>
      <c r="P105" s="36">
        <v>0</v>
      </c>
      <c r="Q105" s="35">
        <v>0</v>
      </c>
      <c r="R105" s="36">
        <v>0</v>
      </c>
      <c r="S105" s="36">
        <v>0</v>
      </c>
      <c r="T105" s="36">
        <v>0</v>
      </c>
      <c r="U105" s="36"/>
      <c r="V105" s="36">
        <v>0</v>
      </c>
      <c r="W105" s="36">
        <v>0</v>
      </c>
      <c r="X105" s="36"/>
      <c r="Y105" s="36"/>
      <c r="Z105" s="37">
        <v>0</v>
      </c>
      <c r="AA105" s="37"/>
    </row>
    <row r="106" spans="1:27" ht="12.75" hidden="1">
      <c r="A106" s="33">
        <v>381578240</v>
      </c>
      <c r="B106" s="34">
        <v>3401</v>
      </c>
      <c r="C106" s="34" t="s">
        <v>42</v>
      </c>
      <c r="D106" s="34" t="s">
        <v>105</v>
      </c>
      <c r="E106" s="35">
        <v>0</v>
      </c>
      <c r="F106" s="35">
        <v>1037.75</v>
      </c>
      <c r="G106" s="35">
        <v>0</v>
      </c>
      <c r="H106" s="35">
        <v>998.12</v>
      </c>
      <c r="I106" s="70">
        <v>0</v>
      </c>
      <c r="J106" s="36">
        <v>0</v>
      </c>
      <c r="K106" s="35"/>
      <c r="L106" s="36">
        <v>0</v>
      </c>
      <c r="M106" s="35"/>
      <c r="N106" s="36">
        <v>0</v>
      </c>
      <c r="O106" s="35"/>
      <c r="P106" s="36">
        <v>0</v>
      </c>
      <c r="Q106" s="35">
        <v>0</v>
      </c>
      <c r="R106" s="36">
        <v>0</v>
      </c>
      <c r="S106" s="36"/>
      <c r="T106" s="36">
        <v>0</v>
      </c>
      <c r="U106" s="36"/>
      <c r="V106" s="36"/>
      <c r="W106" s="36">
        <v>0</v>
      </c>
      <c r="X106" s="36"/>
      <c r="Y106" s="36"/>
      <c r="Z106" s="37">
        <v>0</v>
      </c>
      <c r="AA106" s="37"/>
    </row>
    <row r="107" spans="1:27" ht="12.75" hidden="1">
      <c r="A107" s="38">
        <v>381578990</v>
      </c>
      <c r="B107" s="39">
        <v>3401</v>
      </c>
      <c r="C107" s="39" t="s">
        <v>46</v>
      </c>
      <c r="D107" s="39" t="s">
        <v>105</v>
      </c>
      <c r="E107" s="40">
        <v>6500</v>
      </c>
      <c r="F107" s="40">
        <v>11047.97</v>
      </c>
      <c r="G107" s="40">
        <v>6500</v>
      </c>
      <c r="H107" s="40">
        <v>9930.97</v>
      </c>
      <c r="I107" s="71">
        <v>6500</v>
      </c>
      <c r="J107" s="41">
        <v>3500</v>
      </c>
      <c r="K107" s="40">
        <v>0</v>
      </c>
      <c r="L107" s="41">
        <v>3500</v>
      </c>
      <c r="M107" s="40">
        <v>0</v>
      </c>
      <c r="N107" s="41">
        <v>3500</v>
      </c>
      <c r="O107" s="40"/>
      <c r="P107" s="41">
        <v>3500</v>
      </c>
      <c r="Q107" s="40">
        <v>0</v>
      </c>
      <c r="R107" s="41">
        <v>0</v>
      </c>
      <c r="S107" s="41">
        <v>0</v>
      </c>
      <c r="T107" s="41">
        <v>0</v>
      </c>
      <c r="U107" s="41"/>
      <c r="V107" s="41">
        <v>0</v>
      </c>
      <c r="W107" s="41">
        <v>0</v>
      </c>
      <c r="X107" s="41"/>
      <c r="Y107" s="36"/>
      <c r="Z107" s="37">
        <v>0</v>
      </c>
      <c r="AA107" s="37"/>
    </row>
    <row r="108" spans="1:27" s="13" customFormat="1" ht="12.75" hidden="1">
      <c r="A108" s="33">
        <v>11674420</v>
      </c>
      <c r="B108" s="34">
        <v>3401</v>
      </c>
      <c r="C108" s="34" t="s">
        <v>107</v>
      </c>
      <c r="D108" s="34" t="s">
        <v>108</v>
      </c>
      <c r="E108" s="35">
        <v>6500</v>
      </c>
      <c r="F108" s="35">
        <v>6500</v>
      </c>
      <c r="G108" s="35">
        <v>6500</v>
      </c>
      <c r="H108" s="35">
        <v>6500</v>
      </c>
      <c r="I108" s="35">
        <v>0</v>
      </c>
      <c r="J108" s="36">
        <v>0</v>
      </c>
      <c r="K108" s="35"/>
      <c r="L108" s="36">
        <v>0</v>
      </c>
      <c r="M108" s="35"/>
      <c r="N108" s="36">
        <v>0</v>
      </c>
      <c r="O108" s="35"/>
      <c r="P108" s="36">
        <v>0</v>
      </c>
      <c r="Q108" s="35">
        <v>0</v>
      </c>
      <c r="R108" s="36">
        <v>0</v>
      </c>
      <c r="S108" s="36"/>
      <c r="T108" s="36">
        <v>0</v>
      </c>
      <c r="U108" s="36"/>
      <c r="V108" s="36"/>
      <c r="W108" s="36">
        <v>0</v>
      </c>
      <c r="X108" s="36"/>
      <c r="Y108" s="20"/>
      <c r="Z108" s="23">
        <v>0</v>
      </c>
      <c r="AA108" s="23"/>
    </row>
    <row r="109" spans="1:27" ht="12.75" hidden="1">
      <c r="A109" s="33">
        <v>11674990</v>
      </c>
      <c r="B109" s="34">
        <v>3401</v>
      </c>
      <c r="C109" s="34" t="s">
        <v>46</v>
      </c>
      <c r="D109" s="34" t="s">
        <v>108</v>
      </c>
      <c r="E109" s="35">
        <v>0</v>
      </c>
      <c r="F109" s="35">
        <v>221540.28</v>
      </c>
      <c r="G109" s="35">
        <v>0</v>
      </c>
      <c r="H109" s="35">
        <v>0</v>
      </c>
      <c r="I109" s="35">
        <v>0</v>
      </c>
      <c r="J109" s="36">
        <v>0</v>
      </c>
      <c r="K109" s="35"/>
      <c r="L109" s="36">
        <v>0</v>
      </c>
      <c r="M109" s="35"/>
      <c r="N109" s="36">
        <v>0</v>
      </c>
      <c r="O109" s="35">
        <v>80</v>
      </c>
      <c r="P109" s="36">
        <v>0</v>
      </c>
      <c r="Q109" s="35">
        <v>0</v>
      </c>
      <c r="R109" s="36">
        <v>0</v>
      </c>
      <c r="S109" s="36">
        <v>0</v>
      </c>
      <c r="T109" s="36">
        <v>0</v>
      </c>
      <c r="U109" s="36"/>
      <c r="V109" s="36">
        <v>0</v>
      </c>
      <c r="W109" s="36">
        <v>0</v>
      </c>
      <c r="X109" s="36">
        <v>0</v>
      </c>
      <c r="Y109" s="36">
        <v>0</v>
      </c>
      <c r="Z109" s="37">
        <v>0</v>
      </c>
      <c r="AA109" s="37"/>
    </row>
    <row r="110" spans="1:27" ht="13.5" thickBot="1">
      <c r="A110" s="44">
        <v>11778990</v>
      </c>
      <c r="B110" s="45">
        <v>3401</v>
      </c>
      <c r="C110" s="45" t="s">
        <v>46</v>
      </c>
      <c r="D110" s="45" t="s">
        <v>109</v>
      </c>
      <c r="E110" s="46"/>
      <c r="F110" s="46">
        <v>0</v>
      </c>
      <c r="G110" s="46"/>
      <c r="H110" s="46">
        <v>3762</v>
      </c>
      <c r="I110" s="46">
        <v>0</v>
      </c>
      <c r="J110" s="47">
        <v>0</v>
      </c>
      <c r="K110" s="46"/>
      <c r="L110" s="47">
        <v>0</v>
      </c>
      <c r="M110" s="46">
        <v>0</v>
      </c>
      <c r="N110" s="47">
        <v>30000</v>
      </c>
      <c r="O110" s="46">
        <v>30000</v>
      </c>
      <c r="P110" s="47">
        <v>30000</v>
      </c>
      <c r="Q110" s="46">
        <v>16315.7</v>
      </c>
      <c r="R110" s="47">
        <v>15000</v>
      </c>
      <c r="S110" s="47">
        <v>15000</v>
      </c>
      <c r="T110" s="47">
        <v>15000</v>
      </c>
      <c r="U110" s="47">
        <v>15000</v>
      </c>
      <c r="V110" s="47">
        <v>15000</v>
      </c>
      <c r="W110" s="47">
        <v>15000</v>
      </c>
      <c r="X110" s="47">
        <v>15000</v>
      </c>
      <c r="Y110" s="47">
        <v>15000</v>
      </c>
      <c r="Z110" s="48">
        <v>15000</v>
      </c>
      <c r="AA110" s="48">
        <v>15000</v>
      </c>
    </row>
    <row r="111" spans="1:27" ht="12.75">
      <c r="A111" s="56" t="s">
        <v>0</v>
      </c>
      <c r="B111" s="22"/>
      <c r="C111" s="22" t="s">
        <v>0</v>
      </c>
      <c r="D111" s="22" t="s">
        <v>0</v>
      </c>
      <c r="E111" s="22" t="s">
        <v>1</v>
      </c>
      <c r="F111" s="22" t="s">
        <v>1</v>
      </c>
      <c r="G111" s="22" t="s">
        <v>2</v>
      </c>
      <c r="H111" s="22" t="s">
        <v>2</v>
      </c>
      <c r="I111" s="21" t="s">
        <v>3</v>
      </c>
      <c r="J111" s="22" t="s">
        <v>4</v>
      </c>
      <c r="K111" s="21" t="s">
        <v>4</v>
      </c>
      <c r="L111" s="22" t="s">
        <v>5</v>
      </c>
      <c r="M111" s="21" t="s">
        <v>5</v>
      </c>
      <c r="N111" s="20" t="s">
        <v>6</v>
      </c>
      <c r="O111" s="21" t="s">
        <v>6</v>
      </c>
      <c r="P111" s="20" t="s">
        <v>7</v>
      </c>
      <c r="Q111" s="21" t="s">
        <v>7</v>
      </c>
      <c r="R111" s="22" t="s">
        <v>8</v>
      </c>
      <c r="S111" s="57" t="s">
        <v>9</v>
      </c>
      <c r="T111" s="20" t="s">
        <v>9</v>
      </c>
      <c r="U111" s="57" t="s">
        <v>10</v>
      </c>
      <c r="V111" s="57" t="s">
        <v>11</v>
      </c>
      <c r="W111" s="57" t="s">
        <v>12</v>
      </c>
      <c r="X111" s="57" t="s">
        <v>13</v>
      </c>
      <c r="Y111" s="57" t="s">
        <v>14</v>
      </c>
      <c r="Z111" s="23" t="s">
        <v>15</v>
      </c>
      <c r="AA111" s="58" t="s">
        <v>16</v>
      </c>
    </row>
    <row r="112" spans="1:27" ht="13.5" customHeight="1">
      <c r="A112" s="14" t="s">
        <v>17</v>
      </c>
      <c r="B112" s="15"/>
      <c r="C112" s="15" t="s">
        <v>18</v>
      </c>
      <c r="D112" s="15" t="s">
        <v>19</v>
      </c>
      <c r="E112" s="15" t="s">
        <v>20</v>
      </c>
      <c r="F112" s="15" t="s">
        <v>21</v>
      </c>
      <c r="G112" s="15" t="s">
        <v>20</v>
      </c>
      <c r="H112" s="15" t="s">
        <v>21</v>
      </c>
      <c r="I112" s="16" t="s">
        <v>20</v>
      </c>
      <c r="J112" s="16" t="s">
        <v>20</v>
      </c>
      <c r="K112" s="16" t="s">
        <v>21</v>
      </c>
      <c r="L112" s="16" t="s">
        <v>20</v>
      </c>
      <c r="M112" s="16" t="s">
        <v>21</v>
      </c>
      <c r="N112" s="16" t="s">
        <v>20</v>
      </c>
      <c r="O112" s="16" t="s">
        <v>21</v>
      </c>
      <c r="P112" s="16" t="s">
        <v>20</v>
      </c>
      <c r="Q112" s="16" t="s">
        <v>21</v>
      </c>
      <c r="R112" s="16" t="s">
        <v>20</v>
      </c>
      <c r="S112" s="17" t="s">
        <v>21</v>
      </c>
      <c r="T112" s="18" t="s">
        <v>20</v>
      </c>
      <c r="U112" s="17" t="s">
        <v>21</v>
      </c>
      <c r="V112" s="17" t="s">
        <v>21</v>
      </c>
      <c r="W112" s="17" t="s">
        <v>21</v>
      </c>
      <c r="X112" s="17" t="s">
        <v>21</v>
      </c>
      <c r="Y112" s="17" t="s">
        <v>21</v>
      </c>
      <c r="Z112" s="59" t="s">
        <v>20</v>
      </c>
      <c r="AA112" s="59" t="s">
        <v>20</v>
      </c>
    </row>
    <row r="113" spans="1:27" ht="13.5" customHeight="1">
      <c r="A113" s="14"/>
      <c r="B113" s="15"/>
      <c r="C113" s="15"/>
      <c r="D113" s="15"/>
      <c r="E113" s="15"/>
      <c r="F113" s="15"/>
      <c r="G113" s="15"/>
      <c r="H113" s="15"/>
      <c r="I113" s="16"/>
      <c r="J113" s="16"/>
      <c r="K113" s="16"/>
      <c r="L113" s="16"/>
      <c r="M113" s="16"/>
      <c r="N113" s="20"/>
      <c r="O113" s="21"/>
      <c r="P113" s="21"/>
      <c r="Q113" s="21"/>
      <c r="R113" s="22"/>
      <c r="S113" s="20"/>
      <c r="T113" s="20"/>
      <c r="U113" s="20"/>
      <c r="V113" s="20"/>
      <c r="W113" s="20"/>
      <c r="X113" s="20"/>
      <c r="Y113" s="20"/>
      <c r="Z113" s="23"/>
      <c r="AA113" s="23"/>
    </row>
    <row r="114" spans="1:27" ht="13.5" customHeight="1">
      <c r="A114" s="24" t="s">
        <v>68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6"/>
      <c r="P114" s="26"/>
      <c r="Q114" s="26"/>
      <c r="R114" s="22"/>
      <c r="S114" s="20"/>
      <c r="T114" s="20"/>
      <c r="U114" s="20"/>
      <c r="V114" s="20"/>
      <c r="W114" s="20"/>
      <c r="X114" s="20"/>
      <c r="Y114" s="20"/>
      <c r="Z114" s="23"/>
      <c r="AA114" s="23"/>
    </row>
    <row r="115" spans="1:27" ht="13.5" customHeight="1" thickBot="1">
      <c r="A115" s="33"/>
      <c r="B115" s="34"/>
      <c r="C115" s="34"/>
      <c r="D115" s="34"/>
      <c r="E115" s="35"/>
      <c r="F115" s="35"/>
      <c r="G115" s="35"/>
      <c r="H115" s="35"/>
      <c r="I115" s="35"/>
      <c r="J115" s="36"/>
      <c r="K115" s="35"/>
      <c r="L115" s="36"/>
      <c r="M115" s="35"/>
      <c r="N115" s="36"/>
      <c r="O115" s="35"/>
      <c r="P115" s="36"/>
      <c r="Q115" s="35"/>
      <c r="R115" s="36"/>
      <c r="S115" s="36"/>
      <c r="T115" s="36"/>
      <c r="U115" s="36"/>
      <c r="V115" s="36"/>
      <c r="W115" s="36"/>
      <c r="X115" s="36"/>
      <c r="Y115" s="36"/>
      <c r="Z115" s="37"/>
      <c r="AA115" s="37"/>
    </row>
    <row r="116" spans="1:27" ht="12.75">
      <c r="A116" s="60">
        <v>12172500</v>
      </c>
      <c r="B116" s="61">
        <v>3311</v>
      </c>
      <c r="C116" s="61" t="s">
        <v>51</v>
      </c>
      <c r="D116" s="61" t="s">
        <v>110</v>
      </c>
      <c r="E116" s="62">
        <v>0</v>
      </c>
      <c r="F116" s="62">
        <v>0</v>
      </c>
      <c r="G116" s="62">
        <v>0</v>
      </c>
      <c r="H116" s="62">
        <v>676269.81</v>
      </c>
      <c r="I116" s="62">
        <v>0</v>
      </c>
      <c r="J116" s="63">
        <v>0</v>
      </c>
      <c r="K116" s="62">
        <v>538.25</v>
      </c>
      <c r="L116" s="63">
        <v>0</v>
      </c>
      <c r="M116" s="62">
        <v>0</v>
      </c>
      <c r="N116" s="63">
        <v>0</v>
      </c>
      <c r="O116" s="62">
        <v>482198</v>
      </c>
      <c r="P116" s="63">
        <v>0</v>
      </c>
      <c r="Q116" s="62">
        <v>1011.1</v>
      </c>
      <c r="R116" s="63">
        <v>0</v>
      </c>
      <c r="S116" s="63">
        <f>23+4027.7+12288.96</f>
        <v>16339.66</v>
      </c>
      <c r="T116" s="63">
        <v>0</v>
      </c>
      <c r="U116" s="63">
        <v>3049.75</v>
      </c>
      <c r="V116" s="63">
        <v>10920.95</v>
      </c>
      <c r="W116" s="63">
        <v>2005</v>
      </c>
      <c r="X116" s="63">
        <v>4060.25</v>
      </c>
      <c r="Y116" s="63">
        <v>4802</v>
      </c>
      <c r="Z116" s="64">
        <v>0</v>
      </c>
      <c r="AA116" s="64">
        <v>0</v>
      </c>
    </row>
    <row r="117" spans="1:27" ht="12.75">
      <c r="A117" s="38">
        <v>12173020</v>
      </c>
      <c r="B117" s="39">
        <v>3290</v>
      </c>
      <c r="C117" s="39" t="s">
        <v>111</v>
      </c>
      <c r="D117" s="39" t="s">
        <v>110</v>
      </c>
      <c r="E117" s="40">
        <v>25000</v>
      </c>
      <c r="F117" s="40">
        <v>27038.55</v>
      </c>
      <c r="G117" s="40">
        <v>25000</v>
      </c>
      <c r="H117" s="40">
        <v>21347.56</v>
      </c>
      <c r="I117" s="40">
        <v>25000</v>
      </c>
      <c r="J117" s="41">
        <v>25000</v>
      </c>
      <c r="K117" s="40">
        <v>11936.6</v>
      </c>
      <c r="L117" s="41">
        <v>25000</v>
      </c>
      <c r="M117" s="40">
        <v>13210</v>
      </c>
      <c r="N117" s="41">
        <v>20000</v>
      </c>
      <c r="O117" s="40">
        <v>6203.22</v>
      </c>
      <c r="P117" s="41">
        <v>24593.876</v>
      </c>
      <c r="Q117" s="40">
        <v>28793.01</v>
      </c>
      <c r="R117" s="41">
        <v>24593.876</v>
      </c>
      <c r="S117" s="41">
        <v>20861.39</v>
      </c>
      <c r="T117" s="41">
        <v>21250</v>
      </c>
      <c r="U117" s="41">
        <v>25411.61</v>
      </c>
      <c r="V117" s="41">
        <v>13375.5</v>
      </c>
      <c r="W117" s="41">
        <v>58333.83</v>
      </c>
      <c r="X117" s="41">
        <v>18579.3</v>
      </c>
      <c r="Y117" s="41">
        <f>1440+28477</f>
        <v>29917</v>
      </c>
      <c r="Z117" s="42">
        <v>35000</v>
      </c>
      <c r="AA117" s="42">
        <v>29200</v>
      </c>
    </row>
    <row r="118" spans="1:27" ht="12.75">
      <c r="A118" s="33">
        <v>12173030</v>
      </c>
      <c r="B118" s="34">
        <v>3290</v>
      </c>
      <c r="C118" s="34" t="s">
        <v>112</v>
      </c>
      <c r="D118" s="34" t="s">
        <v>110</v>
      </c>
      <c r="E118" s="35">
        <v>3000</v>
      </c>
      <c r="F118" s="35">
        <v>2092</v>
      </c>
      <c r="G118" s="35">
        <v>3000</v>
      </c>
      <c r="H118" s="35">
        <v>1900</v>
      </c>
      <c r="I118" s="35">
        <v>3200</v>
      </c>
      <c r="J118" s="36">
        <v>2000</v>
      </c>
      <c r="K118" s="35">
        <v>1783.39</v>
      </c>
      <c r="L118" s="36">
        <v>2000</v>
      </c>
      <c r="M118" s="35">
        <v>1968</v>
      </c>
      <c r="N118" s="36">
        <v>2015.221612903226</v>
      </c>
      <c r="O118" s="35">
        <v>2824</v>
      </c>
      <c r="P118" s="36">
        <v>1994.615818181818</v>
      </c>
      <c r="Q118" s="35">
        <v>2600</v>
      </c>
      <c r="R118" s="36">
        <v>2300</v>
      </c>
      <c r="S118" s="36">
        <v>6466.46</v>
      </c>
      <c r="T118" s="36">
        <v>2400</v>
      </c>
      <c r="U118" s="36">
        <v>12112</v>
      </c>
      <c r="V118" s="36">
        <v>7878.5</v>
      </c>
      <c r="W118" s="36">
        <v>10304</v>
      </c>
      <c r="X118" s="36">
        <v>6318</v>
      </c>
      <c r="Y118" s="36">
        <v>1375</v>
      </c>
      <c r="Z118" s="37">
        <v>9300</v>
      </c>
      <c r="AA118" s="37">
        <v>7600</v>
      </c>
    </row>
    <row r="119" spans="1:27" ht="12.75">
      <c r="A119" s="38">
        <v>12174290</v>
      </c>
      <c r="B119" s="39">
        <v>3401</v>
      </c>
      <c r="C119" s="39" t="s">
        <v>35</v>
      </c>
      <c r="D119" s="39" t="s">
        <v>110</v>
      </c>
      <c r="E119" s="40">
        <v>4000</v>
      </c>
      <c r="F119" s="40">
        <v>2938.65</v>
      </c>
      <c r="G119" s="40">
        <v>4000</v>
      </c>
      <c r="H119" s="40">
        <v>2933.5</v>
      </c>
      <c r="I119" s="40">
        <v>4000</v>
      </c>
      <c r="J119" s="41">
        <v>3000</v>
      </c>
      <c r="K119" s="40">
        <v>2238.5</v>
      </c>
      <c r="L119" s="41">
        <v>3000</v>
      </c>
      <c r="M119" s="40">
        <v>1860</v>
      </c>
      <c r="N119" s="41">
        <v>2415.3670967741937</v>
      </c>
      <c r="O119" s="40">
        <v>1556.23</v>
      </c>
      <c r="P119" s="41">
        <v>2173.025090909091</v>
      </c>
      <c r="Q119" s="40">
        <f>11.5+1674.69</f>
        <v>1686.19</v>
      </c>
      <c r="R119" s="41">
        <v>2173.025090909091</v>
      </c>
      <c r="S119" s="41">
        <v>1225</v>
      </c>
      <c r="T119" s="41">
        <v>1775</v>
      </c>
      <c r="U119" s="41">
        <v>992.75</v>
      </c>
      <c r="V119" s="41">
        <v>1106.5</v>
      </c>
      <c r="W119" s="41">
        <v>1277.75</v>
      </c>
      <c r="X119" s="41">
        <v>1564.5</v>
      </c>
      <c r="Y119" s="41">
        <v>257</v>
      </c>
      <c r="Z119" s="42">
        <v>1175</v>
      </c>
      <c r="AA119" s="42">
        <v>1050</v>
      </c>
    </row>
    <row r="120" spans="1:27" ht="12.75">
      <c r="A120" s="33">
        <v>12174990</v>
      </c>
      <c r="B120" s="34">
        <v>3401</v>
      </c>
      <c r="C120" s="34" t="s">
        <v>40</v>
      </c>
      <c r="D120" s="34" t="s">
        <v>110</v>
      </c>
      <c r="E120" s="35">
        <v>100</v>
      </c>
      <c r="F120" s="35">
        <v>209</v>
      </c>
      <c r="G120" s="35">
        <v>100</v>
      </c>
      <c r="H120" s="35">
        <v>53.2</v>
      </c>
      <c r="I120" s="35">
        <v>200</v>
      </c>
      <c r="J120" s="36">
        <v>2200</v>
      </c>
      <c r="K120" s="35">
        <v>265</v>
      </c>
      <c r="L120" s="36">
        <v>2200</v>
      </c>
      <c r="M120" s="35">
        <v>500</v>
      </c>
      <c r="N120" s="36">
        <v>174.6516129032258</v>
      </c>
      <c r="O120" s="35">
        <v>775</v>
      </c>
      <c r="P120" s="36">
        <v>316.6218181818182</v>
      </c>
      <c r="Q120" s="35">
        <f>50+1050.16</f>
        <v>1100.16</v>
      </c>
      <c r="R120" s="36">
        <v>450</v>
      </c>
      <c r="S120" s="36">
        <v>0</v>
      </c>
      <c r="T120" s="36">
        <v>700</v>
      </c>
      <c r="U120" s="36">
        <v>0</v>
      </c>
      <c r="V120" s="36">
        <v>0</v>
      </c>
      <c r="W120" s="36">
        <v>0</v>
      </c>
      <c r="X120" s="36">
        <v>12</v>
      </c>
      <c r="Y120" s="36">
        <v>0</v>
      </c>
      <c r="Z120" s="37">
        <v>225</v>
      </c>
      <c r="AA120" s="37">
        <v>225</v>
      </c>
    </row>
    <row r="121" spans="1:27" ht="12.75">
      <c r="A121" s="38">
        <v>12178240</v>
      </c>
      <c r="B121" s="39">
        <v>3503</v>
      </c>
      <c r="C121" s="39" t="s">
        <v>113</v>
      </c>
      <c r="D121" s="39" t="s">
        <v>110</v>
      </c>
      <c r="E121" s="40"/>
      <c r="F121" s="40"/>
      <c r="G121" s="40"/>
      <c r="H121" s="40"/>
      <c r="I121" s="40"/>
      <c r="J121" s="41"/>
      <c r="K121" s="40"/>
      <c r="L121" s="41"/>
      <c r="M121" s="40">
        <v>154.56</v>
      </c>
      <c r="N121" s="41">
        <v>0</v>
      </c>
      <c r="O121" s="40">
        <v>264</v>
      </c>
      <c r="P121" s="41">
        <v>0</v>
      </c>
      <c r="Q121" s="40"/>
      <c r="R121" s="41">
        <v>0</v>
      </c>
      <c r="S121" s="41">
        <v>1349.63</v>
      </c>
      <c r="T121" s="41">
        <v>100</v>
      </c>
      <c r="U121" s="41">
        <v>0</v>
      </c>
      <c r="V121" s="41">
        <v>499.8</v>
      </c>
      <c r="W121" s="41">
        <v>275.16</v>
      </c>
      <c r="X121" s="41">
        <v>0</v>
      </c>
      <c r="Y121" s="41">
        <v>0</v>
      </c>
      <c r="Z121" s="42">
        <v>200</v>
      </c>
      <c r="AA121" s="42">
        <v>200</v>
      </c>
    </row>
    <row r="122" spans="1:27" ht="13.5" customHeight="1" thickBot="1">
      <c r="A122" s="49">
        <v>12178990</v>
      </c>
      <c r="B122" s="50">
        <v>3503</v>
      </c>
      <c r="C122" s="50" t="s">
        <v>46</v>
      </c>
      <c r="D122" s="50" t="s">
        <v>110</v>
      </c>
      <c r="E122" s="51">
        <v>1000</v>
      </c>
      <c r="F122" s="51">
        <v>1000</v>
      </c>
      <c r="G122" s="51">
        <v>1000</v>
      </c>
      <c r="H122" s="51">
        <v>163.88</v>
      </c>
      <c r="I122" s="51">
        <v>1000</v>
      </c>
      <c r="J122" s="52">
        <v>750</v>
      </c>
      <c r="K122" s="51">
        <v>550</v>
      </c>
      <c r="L122" s="52">
        <v>750</v>
      </c>
      <c r="M122" s="51">
        <f>-597.55+854</f>
        <v>256.45000000000005</v>
      </c>
      <c r="N122" s="52">
        <v>503.28354838709686</v>
      </c>
      <c r="O122" s="51">
        <v>94</v>
      </c>
      <c r="P122" s="52">
        <v>656.3234545454546</v>
      </c>
      <c r="Q122" s="51">
        <f>-2530.83+30</f>
        <v>-2500.83</v>
      </c>
      <c r="R122" s="52">
        <v>400</v>
      </c>
      <c r="S122" s="52">
        <v>0</v>
      </c>
      <c r="T122" s="52">
        <v>400</v>
      </c>
      <c r="U122" s="52">
        <v>475</v>
      </c>
      <c r="V122" s="52">
        <v>0</v>
      </c>
      <c r="W122" s="52">
        <v>0</v>
      </c>
      <c r="X122" s="52">
        <v>0</v>
      </c>
      <c r="Y122" s="52">
        <v>0</v>
      </c>
      <c r="Z122" s="53">
        <v>125</v>
      </c>
      <c r="AA122" s="53">
        <v>125</v>
      </c>
    </row>
    <row r="123" spans="1:27" ht="12.75">
      <c r="A123" s="38">
        <v>12471010</v>
      </c>
      <c r="B123" s="39">
        <v>9998</v>
      </c>
      <c r="C123" s="39" t="s">
        <v>114</v>
      </c>
      <c r="D123" s="39" t="s">
        <v>115</v>
      </c>
      <c r="E123" s="40">
        <v>12875413</v>
      </c>
      <c r="F123" s="40">
        <v>12884835</v>
      </c>
      <c r="G123" s="40">
        <v>12151669</v>
      </c>
      <c r="H123" s="40">
        <v>8555000</v>
      </c>
      <c r="I123" s="40"/>
      <c r="J123" s="41">
        <v>12915864</v>
      </c>
      <c r="K123" s="40">
        <v>12939310</v>
      </c>
      <c r="L123" s="41">
        <v>12904076</v>
      </c>
      <c r="M123" s="40">
        <v>12915392</v>
      </c>
      <c r="N123" s="41">
        <v>13309160</v>
      </c>
      <c r="O123" s="40">
        <v>13343617.32</v>
      </c>
      <c r="P123" s="41">
        <v>13939663</v>
      </c>
      <c r="Q123" s="40">
        <v>14369224.46</v>
      </c>
      <c r="R123" s="41">
        <v>14134235</v>
      </c>
      <c r="S123" s="41">
        <v>14796062.23</v>
      </c>
      <c r="T123" s="41">
        <v>14775898</v>
      </c>
      <c r="U123" s="41">
        <v>15656611.61</v>
      </c>
      <c r="V123" s="41">
        <v>15589577</v>
      </c>
      <c r="W123" s="41">
        <v>15978311.63</v>
      </c>
      <c r="X123" s="41">
        <v>16765557</v>
      </c>
      <c r="Y123" s="41">
        <v>15557842</v>
      </c>
      <c r="Z123" s="42">
        <v>17139076</v>
      </c>
      <c r="AA123" s="42">
        <v>18579836</v>
      </c>
    </row>
    <row r="124" spans="1:27" ht="12.75">
      <c r="A124" s="33">
        <v>12471020</v>
      </c>
      <c r="B124" s="34">
        <v>3120</v>
      </c>
      <c r="C124" s="34" t="s">
        <v>116</v>
      </c>
      <c r="D124" s="34" t="s">
        <v>115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6">
        <v>100000</v>
      </c>
      <c r="K124" s="35">
        <v>62318.63</v>
      </c>
      <c r="L124" s="36">
        <v>50000</v>
      </c>
      <c r="M124" s="35">
        <v>517300</v>
      </c>
      <c r="N124" s="36">
        <v>30109.299096774193</v>
      </c>
      <c r="O124" s="35">
        <v>96305</v>
      </c>
      <c r="P124" s="36">
        <v>105000</v>
      </c>
      <c r="Q124" s="35">
        <v>165067</v>
      </c>
      <c r="R124" s="36">
        <v>105000</v>
      </c>
      <c r="S124" s="36">
        <v>117084</v>
      </c>
      <c r="T124" s="36">
        <v>105000</v>
      </c>
      <c r="U124" s="36">
        <v>130412.5</v>
      </c>
      <c r="V124" s="36">
        <v>85465</v>
      </c>
      <c r="W124" s="36">
        <v>43430</v>
      </c>
      <c r="X124" s="36">
        <v>70410</v>
      </c>
      <c r="Y124" s="36">
        <v>119830</v>
      </c>
      <c r="Z124" s="37">
        <v>90000</v>
      </c>
      <c r="AA124" s="37">
        <v>65000</v>
      </c>
    </row>
    <row r="125" spans="1:27" ht="12.75">
      <c r="A125" s="38">
        <v>12471030</v>
      </c>
      <c r="B125" s="39">
        <v>3185</v>
      </c>
      <c r="C125" s="39" t="s">
        <v>117</v>
      </c>
      <c r="D125" s="39" t="s">
        <v>115</v>
      </c>
      <c r="E125" s="40">
        <v>10000</v>
      </c>
      <c r="F125" s="40">
        <v>29380</v>
      </c>
      <c r="G125" s="40">
        <v>22000</v>
      </c>
      <c r="H125" s="40">
        <v>13199.65</v>
      </c>
      <c r="I125" s="40">
        <v>15300</v>
      </c>
      <c r="J125" s="41">
        <v>15300</v>
      </c>
      <c r="K125" s="40">
        <v>13784.12</v>
      </c>
      <c r="L125" s="41">
        <v>5000</v>
      </c>
      <c r="M125" s="40">
        <v>2082.13</v>
      </c>
      <c r="N125" s="41">
        <v>2100</v>
      </c>
      <c r="O125" s="40">
        <v>0</v>
      </c>
      <c r="P125" s="41">
        <v>7931.286545454546</v>
      </c>
      <c r="Q125" s="40">
        <v>0</v>
      </c>
      <c r="R125" s="41">
        <v>5500</v>
      </c>
      <c r="S125" s="41">
        <f>650+8741.82</f>
        <v>9391.82</v>
      </c>
      <c r="T125" s="41">
        <v>2375</v>
      </c>
      <c r="U125" s="41">
        <v>1852.8799999999999</v>
      </c>
      <c r="V125" s="41">
        <v>14308.21</v>
      </c>
      <c r="W125" s="41">
        <v>1580.93</v>
      </c>
      <c r="X125" s="41">
        <v>3578.26</v>
      </c>
      <c r="Y125" s="41">
        <f>6773+400</f>
        <v>7173</v>
      </c>
      <c r="Z125" s="42">
        <v>5000</v>
      </c>
      <c r="AA125" s="42">
        <v>5700</v>
      </c>
    </row>
    <row r="126" spans="1:27" ht="12.75">
      <c r="A126" s="33">
        <v>12471120</v>
      </c>
      <c r="B126" s="34">
        <v>3186</v>
      </c>
      <c r="C126" s="34" t="s">
        <v>118</v>
      </c>
      <c r="D126" s="34" t="s">
        <v>115</v>
      </c>
      <c r="E126" s="35">
        <v>3900</v>
      </c>
      <c r="F126" s="35">
        <v>3012</v>
      </c>
      <c r="G126" s="35">
        <v>5664</v>
      </c>
      <c r="H126" s="35">
        <v>5512</v>
      </c>
      <c r="I126" s="35">
        <v>5512</v>
      </c>
      <c r="J126" s="36">
        <v>5332</v>
      </c>
      <c r="K126" s="35">
        <v>6184</v>
      </c>
      <c r="L126" s="36">
        <v>5979</v>
      </c>
      <c r="M126" s="35">
        <v>6088</v>
      </c>
      <c r="N126" s="36">
        <v>4908.548387096775</v>
      </c>
      <c r="O126" s="35">
        <v>3140</v>
      </c>
      <c r="P126" s="36">
        <v>5423.218181818182</v>
      </c>
      <c r="Q126" s="35">
        <v>8944</v>
      </c>
      <c r="R126" s="36">
        <v>4475</v>
      </c>
      <c r="S126" s="36">
        <v>3206</v>
      </c>
      <c r="T126" s="36">
        <v>6380</v>
      </c>
      <c r="U126" s="36">
        <v>6828</v>
      </c>
      <c r="V126" s="36">
        <v>6930</v>
      </c>
      <c r="W126" s="36">
        <v>7106</v>
      </c>
      <c r="X126" s="36">
        <v>7335</v>
      </c>
      <c r="Y126" s="36">
        <v>7517</v>
      </c>
      <c r="Z126" s="37">
        <v>7335</v>
      </c>
      <c r="AA126" s="37">
        <v>7150</v>
      </c>
    </row>
    <row r="127" spans="1:27" ht="12.75">
      <c r="A127" s="38">
        <v>12471150</v>
      </c>
      <c r="B127" s="39">
        <v>3199</v>
      </c>
      <c r="C127" s="39" t="s">
        <v>119</v>
      </c>
      <c r="D127" s="39" t="s">
        <v>115</v>
      </c>
      <c r="E127" s="40">
        <v>50</v>
      </c>
      <c r="F127" s="40">
        <v>485</v>
      </c>
      <c r="G127" s="40">
        <v>600</v>
      </c>
      <c r="H127" s="40">
        <v>897.6</v>
      </c>
      <c r="I127" s="40">
        <v>50</v>
      </c>
      <c r="J127" s="41">
        <v>500</v>
      </c>
      <c r="K127" s="40">
        <v>867.5</v>
      </c>
      <c r="L127" s="41">
        <v>500</v>
      </c>
      <c r="M127" s="40">
        <v>7520.47</v>
      </c>
      <c r="N127" s="41">
        <v>829.36</v>
      </c>
      <c r="O127" s="40">
        <v>12291.63</v>
      </c>
      <c r="P127" s="41">
        <v>3749.117090909091</v>
      </c>
      <c r="Q127" s="40">
        <v>11284.54</v>
      </c>
      <c r="R127" s="41">
        <v>6400</v>
      </c>
      <c r="S127" s="41">
        <v>330</v>
      </c>
      <c r="T127" s="41">
        <v>6500</v>
      </c>
      <c r="U127" s="41">
        <v>100</v>
      </c>
      <c r="V127" s="41">
        <v>0</v>
      </c>
      <c r="W127" s="41">
        <v>0</v>
      </c>
      <c r="X127" s="41">
        <v>400</v>
      </c>
      <c r="Y127" s="41">
        <v>0</v>
      </c>
      <c r="Z127" s="42">
        <v>1500</v>
      </c>
      <c r="AA127" s="42">
        <v>100</v>
      </c>
    </row>
    <row r="128" spans="1:27" ht="12.75">
      <c r="A128" s="33">
        <v>12471610</v>
      </c>
      <c r="B128" s="34">
        <v>3190</v>
      </c>
      <c r="C128" s="34" t="s">
        <v>120</v>
      </c>
      <c r="D128" s="34" t="s">
        <v>115</v>
      </c>
      <c r="E128" s="35">
        <v>120000</v>
      </c>
      <c r="F128" s="35">
        <v>114072.77</v>
      </c>
      <c r="G128" s="35">
        <v>120000</v>
      </c>
      <c r="H128" s="35">
        <v>111933.5</v>
      </c>
      <c r="I128" s="35">
        <v>120000</v>
      </c>
      <c r="J128" s="36">
        <v>115000</v>
      </c>
      <c r="K128" s="35">
        <v>142076.13</v>
      </c>
      <c r="L128" s="36">
        <v>115000</v>
      </c>
      <c r="M128" s="35">
        <v>74652.32</v>
      </c>
      <c r="N128" s="36">
        <v>117850.14903225808</v>
      </c>
      <c r="O128" s="35">
        <v>88747.36</v>
      </c>
      <c r="P128" s="36">
        <v>99000.18727272727</v>
      </c>
      <c r="Q128" s="35">
        <v>137949.37</v>
      </c>
      <c r="R128" s="36">
        <v>99000.18727272727</v>
      </c>
      <c r="S128" s="36">
        <v>110182.3</v>
      </c>
      <c r="T128" s="36">
        <v>100500</v>
      </c>
      <c r="U128" s="36">
        <v>83580.76</v>
      </c>
      <c r="V128" s="36">
        <v>75768.39</v>
      </c>
      <c r="W128" s="36">
        <v>73065.62</v>
      </c>
      <c r="X128" s="36">
        <v>86589.73</v>
      </c>
      <c r="Y128" s="36">
        <v>60262</v>
      </c>
      <c r="Z128" s="37">
        <v>75000</v>
      </c>
      <c r="AA128" s="37">
        <v>75850</v>
      </c>
    </row>
    <row r="129" spans="1:27" ht="12.75">
      <c r="A129" s="38">
        <v>12471620</v>
      </c>
      <c r="B129" s="39">
        <v>3190</v>
      </c>
      <c r="C129" s="39" t="s">
        <v>121</v>
      </c>
      <c r="D129" s="39" t="s">
        <v>115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1">
        <v>50</v>
      </c>
      <c r="K129" s="40">
        <v>567.8</v>
      </c>
      <c r="L129" s="41">
        <v>50</v>
      </c>
      <c r="M129" s="40">
        <v>9335.36</v>
      </c>
      <c r="N129" s="41">
        <v>293.05806451612904</v>
      </c>
      <c r="O129" s="40">
        <v>609.34</v>
      </c>
      <c r="P129" s="41">
        <v>4238.789818181819</v>
      </c>
      <c r="Q129" s="40">
        <v>3026.36</v>
      </c>
      <c r="R129" s="41">
        <v>4238.789818181819</v>
      </c>
      <c r="S129" s="41">
        <v>406.99</v>
      </c>
      <c r="T129" s="41">
        <v>3000</v>
      </c>
      <c r="U129" s="41">
        <v>973.91</v>
      </c>
      <c r="V129" s="41">
        <v>-7419.32</v>
      </c>
      <c r="W129" s="41">
        <v>3328.83</v>
      </c>
      <c r="X129" s="41">
        <v>0</v>
      </c>
      <c r="Y129" s="41">
        <v>3747</v>
      </c>
      <c r="Z129" s="42">
        <v>750</v>
      </c>
      <c r="AA129" s="42">
        <v>125</v>
      </c>
    </row>
    <row r="130" spans="1:27" ht="12.75">
      <c r="A130" s="33">
        <v>12471630</v>
      </c>
      <c r="B130" s="34">
        <v>3190</v>
      </c>
      <c r="C130" s="34" t="s">
        <v>122</v>
      </c>
      <c r="D130" s="34" t="s">
        <v>115</v>
      </c>
      <c r="E130" s="35">
        <v>25</v>
      </c>
      <c r="F130" s="35">
        <v>143.6</v>
      </c>
      <c r="G130" s="35">
        <v>25</v>
      </c>
      <c r="H130" s="35">
        <v>118.1</v>
      </c>
      <c r="I130" s="35">
        <v>25</v>
      </c>
      <c r="J130" s="36">
        <v>100</v>
      </c>
      <c r="K130" s="35">
        <v>0</v>
      </c>
      <c r="L130" s="36">
        <v>50</v>
      </c>
      <c r="M130" s="35">
        <v>248.43</v>
      </c>
      <c r="N130" s="36">
        <v>28.053548387096775</v>
      </c>
      <c r="O130" s="35">
        <v>17.84</v>
      </c>
      <c r="P130" s="36">
        <v>124.21781818181816</v>
      </c>
      <c r="Q130" s="35">
        <v>0.29</v>
      </c>
      <c r="R130" s="36">
        <v>124.21781818181816</v>
      </c>
      <c r="S130" s="36">
        <v>20.66</v>
      </c>
      <c r="T130" s="36">
        <v>100</v>
      </c>
      <c r="U130" s="36">
        <v>0</v>
      </c>
      <c r="V130" s="36">
        <v>27.53</v>
      </c>
      <c r="W130" s="36">
        <v>34.51</v>
      </c>
      <c r="X130" s="36">
        <v>209.49</v>
      </c>
      <c r="Y130" s="36">
        <v>0</v>
      </c>
      <c r="Z130" s="37">
        <v>36</v>
      </c>
      <c r="AA130" s="37">
        <v>55</v>
      </c>
    </row>
    <row r="131" spans="1:27" ht="12.75">
      <c r="A131" s="38">
        <v>12471690</v>
      </c>
      <c r="B131" s="39">
        <v>3190</v>
      </c>
      <c r="C131" s="39" t="s">
        <v>123</v>
      </c>
      <c r="D131" s="39" t="s">
        <v>115</v>
      </c>
      <c r="E131" s="40">
        <v>96000</v>
      </c>
      <c r="F131" s="40">
        <v>77125.05</v>
      </c>
      <c r="G131" s="40">
        <v>96000</v>
      </c>
      <c r="H131" s="40">
        <v>77728.75</v>
      </c>
      <c r="I131" s="40">
        <v>96000</v>
      </c>
      <c r="J131" s="41">
        <v>77000</v>
      </c>
      <c r="K131" s="40">
        <v>105962.63</v>
      </c>
      <c r="L131" s="41">
        <v>77000</v>
      </c>
      <c r="M131" s="40">
        <v>191032.24</v>
      </c>
      <c r="N131" s="41">
        <v>124883.50129032257</v>
      </c>
      <c r="O131" s="40">
        <v>229195.02</v>
      </c>
      <c r="P131" s="41">
        <v>153748.40545454543</v>
      </c>
      <c r="Q131" s="40">
        <v>169305.99</v>
      </c>
      <c r="R131" s="41">
        <v>180675</v>
      </c>
      <c r="S131" s="41">
        <v>203912.21</v>
      </c>
      <c r="T131" s="41">
        <v>181000</v>
      </c>
      <c r="U131" s="41">
        <v>133513.7</v>
      </c>
      <c r="V131" s="41">
        <v>101956.02</v>
      </c>
      <c r="W131" s="41">
        <v>131156.57</v>
      </c>
      <c r="X131" s="41">
        <v>81570.13</v>
      </c>
      <c r="Y131" s="41">
        <v>68515</v>
      </c>
      <c r="Z131" s="42">
        <v>145000</v>
      </c>
      <c r="AA131" s="42">
        <v>145000</v>
      </c>
    </row>
    <row r="132" spans="1:27" ht="12.75">
      <c r="A132" s="33">
        <v>12471720</v>
      </c>
      <c r="B132" s="34">
        <v>9997</v>
      </c>
      <c r="C132" s="34" t="s">
        <v>124</v>
      </c>
      <c r="D132" s="34" t="s">
        <v>115</v>
      </c>
      <c r="E132" s="35">
        <v>-420599</v>
      </c>
      <c r="F132" s="35">
        <v>-304803.4</v>
      </c>
      <c r="G132" s="35">
        <v>-383000</v>
      </c>
      <c r="H132" s="35">
        <f>-307338.39-121140.05</f>
        <v>-428478.44</v>
      </c>
      <c r="I132" s="35">
        <v>-394829</v>
      </c>
      <c r="J132" s="36">
        <v>-395064</v>
      </c>
      <c r="K132" s="35">
        <v>-115294.17</v>
      </c>
      <c r="L132" s="36">
        <f>-382744+33319</f>
        <v>-349425</v>
      </c>
      <c r="M132" s="35">
        <v>-283854.39</v>
      </c>
      <c r="N132" s="36">
        <v>-325000</v>
      </c>
      <c r="O132" s="35">
        <v>-199297.92</v>
      </c>
      <c r="P132" s="36">
        <v>-375340</v>
      </c>
      <c r="Q132" s="35">
        <v>-585188.47</v>
      </c>
      <c r="R132" s="36">
        <v>-325000</v>
      </c>
      <c r="S132" s="36">
        <v>-338353.37</v>
      </c>
      <c r="T132" s="36">
        <v>-322233</v>
      </c>
      <c r="U132" s="36">
        <v>-65667.11</v>
      </c>
      <c r="V132" s="36">
        <v>-1136103.43</v>
      </c>
      <c r="W132" s="36">
        <v>59566.5</v>
      </c>
      <c r="X132" s="36">
        <v>-287338.12</v>
      </c>
      <c r="Y132" s="36">
        <v>-21716</v>
      </c>
      <c r="Z132" s="37">
        <v>-375000</v>
      </c>
      <c r="AA132" s="37">
        <v>-375000</v>
      </c>
    </row>
    <row r="133" spans="1:27" ht="12.75">
      <c r="A133" s="38">
        <v>12473160</v>
      </c>
      <c r="B133" s="39">
        <v>3290</v>
      </c>
      <c r="C133" s="39" t="s">
        <v>125</v>
      </c>
      <c r="D133" s="39" t="s">
        <v>115</v>
      </c>
      <c r="E133" s="40">
        <v>7700</v>
      </c>
      <c r="F133" s="40">
        <v>7381.27</v>
      </c>
      <c r="G133" s="40">
        <v>7700</v>
      </c>
      <c r="H133" s="40">
        <v>5799.07</v>
      </c>
      <c r="I133" s="40">
        <v>0</v>
      </c>
      <c r="J133" s="41">
        <v>6000</v>
      </c>
      <c r="K133" s="40">
        <v>6226.2</v>
      </c>
      <c r="L133" s="41">
        <v>6000</v>
      </c>
      <c r="M133" s="40">
        <v>8236.47</v>
      </c>
      <c r="N133" s="41">
        <v>6323.692580645162</v>
      </c>
      <c r="O133" s="40">
        <v>6383.1</v>
      </c>
      <c r="P133" s="41">
        <v>7158.35909090909</v>
      </c>
      <c r="Q133" s="40">
        <v>7177.05</v>
      </c>
      <c r="R133" s="41">
        <v>7158.35909090909</v>
      </c>
      <c r="S133" s="41">
        <f>343+5296.23</f>
        <v>5639.23</v>
      </c>
      <c r="T133" s="41">
        <v>7000</v>
      </c>
      <c r="U133" s="41">
        <v>6152.34</v>
      </c>
      <c r="V133" s="41">
        <v>6012.64</v>
      </c>
      <c r="W133" s="41">
        <v>7695</v>
      </c>
      <c r="X133" s="41">
        <v>7545.05</v>
      </c>
      <c r="Y133" s="41">
        <f>4669+275</f>
        <v>4944</v>
      </c>
      <c r="Z133" s="42">
        <v>6350</v>
      </c>
      <c r="AA133" s="42">
        <v>6500</v>
      </c>
    </row>
    <row r="134" spans="1:27" ht="12.75">
      <c r="A134" s="33">
        <v>12473190</v>
      </c>
      <c r="B134" s="34">
        <v>3220</v>
      </c>
      <c r="C134" s="34" t="s">
        <v>126</v>
      </c>
      <c r="D134" s="34" t="s">
        <v>115</v>
      </c>
      <c r="E134" s="35">
        <v>4300000</v>
      </c>
      <c r="F134" s="35">
        <v>4292307.42</v>
      </c>
      <c r="G134" s="35">
        <v>4300000</v>
      </c>
      <c r="H134" s="35">
        <v>4164561.22</v>
      </c>
      <c r="I134" s="35">
        <v>4300000</v>
      </c>
      <c r="J134" s="36">
        <v>4200000</v>
      </c>
      <c r="K134" s="35">
        <v>3863404.18</v>
      </c>
      <c r="L134" s="36">
        <v>4100000</v>
      </c>
      <c r="M134" s="35">
        <v>3773666.61</v>
      </c>
      <c r="N134" s="36">
        <v>3900000</v>
      </c>
      <c r="O134" s="35">
        <v>3790632.2</v>
      </c>
      <c r="P134" s="36">
        <v>3850000</v>
      </c>
      <c r="Q134" s="35">
        <v>3861196.67</v>
      </c>
      <c r="R134" s="36">
        <v>3850000</v>
      </c>
      <c r="S134" s="36">
        <v>4256669.09</v>
      </c>
      <c r="T134" s="36">
        <v>3850000</v>
      </c>
      <c r="U134" s="36">
        <v>4834838.96</v>
      </c>
      <c r="V134" s="36">
        <v>5133914.3</v>
      </c>
      <c r="W134" s="36">
        <v>5293978</v>
      </c>
      <c r="X134" s="36">
        <v>5496246.5</v>
      </c>
      <c r="Y134" s="36">
        <v>5565027</v>
      </c>
      <c r="Z134" s="37">
        <v>5625000</v>
      </c>
      <c r="AA134" s="37">
        <v>5625000</v>
      </c>
    </row>
    <row r="135" spans="1:27" ht="12.75">
      <c r="A135" s="38">
        <v>12473200</v>
      </c>
      <c r="B135" s="39">
        <v>3290</v>
      </c>
      <c r="C135" s="39" t="s">
        <v>127</v>
      </c>
      <c r="D135" s="39" t="s">
        <v>115</v>
      </c>
      <c r="E135" s="40">
        <v>13500</v>
      </c>
      <c r="F135" s="40">
        <v>12316</v>
      </c>
      <c r="G135" s="40">
        <v>13500</v>
      </c>
      <c r="H135" s="40">
        <v>10084</v>
      </c>
      <c r="I135" s="40">
        <v>13000</v>
      </c>
      <c r="J135" s="41">
        <v>12000</v>
      </c>
      <c r="K135" s="40">
        <v>9430</v>
      </c>
      <c r="L135" s="41">
        <v>11500</v>
      </c>
      <c r="M135" s="40">
        <v>9459</v>
      </c>
      <c r="N135" s="41">
        <v>10265.645161290322</v>
      </c>
      <c r="O135" s="40">
        <v>9702</v>
      </c>
      <c r="P135" s="41">
        <v>9913.654545454545</v>
      </c>
      <c r="Q135" s="40">
        <v>9777</v>
      </c>
      <c r="R135" s="41">
        <v>9950</v>
      </c>
      <c r="S135" s="41">
        <v>10445</v>
      </c>
      <c r="T135" s="41">
        <v>9750</v>
      </c>
      <c r="U135" s="41">
        <v>11533</v>
      </c>
      <c r="V135" s="41">
        <v>11943</v>
      </c>
      <c r="W135" s="41">
        <v>12148</v>
      </c>
      <c r="X135" s="41">
        <v>11960</v>
      </c>
      <c r="Y135" s="41">
        <v>11554</v>
      </c>
      <c r="Z135" s="42">
        <v>11600</v>
      </c>
      <c r="AA135" s="42">
        <v>11900</v>
      </c>
    </row>
    <row r="136" spans="1:27" ht="12.75">
      <c r="A136" s="33">
        <v>12473210</v>
      </c>
      <c r="B136" s="34">
        <v>3290</v>
      </c>
      <c r="C136" s="34" t="s">
        <v>128</v>
      </c>
      <c r="D136" s="34" t="s">
        <v>115</v>
      </c>
      <c r="E136" s="35">
        <v>22000</v>
      </c>
      <c r="F136" s="35">
        <v>22113.5</v>
      </c>
      <c r="G136" s="35">
        <v>22000</v>
      </c>
      <c r="H136" s="35">
        <v>21487</v>
      </c>
      <c r="I136" s="35">
        <v>22500</v>
      </c>
      <c r="J136" s="36">
        <v>22500</v>
      </c>
      <c r="K136" s="35">
        <v>25275.5</v>
      </c>
      <c r="L136" s="36">
        <v>23000</v>
      </c>
      <c r="M136" s="35">
        <v>23774.5</v>
      </c>
      <c r="N136" s="36">
        <v>23877.75806451613</v>
      </c>
      <c r="O136" s="35">
        <f>10652.5+14775</f>
        <v>25427.5</v>
      </c>
      <c r="P136" s="36">
        <v>23832.7</v>
      </c>
      <c r="Q136" s="35">
        <f>10648+16534.15</f>
        <v>27182.15</v>
      </c>
      <c r="R136" s="36">
        <v>24400</v>
      </c>
      <c r="S136" s="36">
        <f>16163+10810.5</f>
        <v>26973.5</v>
      </c>
      <c r="T136" s="36">
        <v>25500</v>
      </c>
      <c r="U136" s="36">
        <v>24486.5</v>
      </c>
      <c r="V136" s="36">
        <v>25256</v>
      </c>
      <c r="W136" s="36">
        <v>25621</v>
      </c>
      <c r="X136" s="36">
        <v>27007.5</v>
      </c>
      <c r="Y136" s="36">
        <f>2214+9814</f>
        <v>12028</v>
      </c>
      <c r="Z136" s="37">
        <v>27900</v>
      </c>
      <c r="AA136" s="37">
        <v>22900</v>
      </c>
    </row>
    <row r="137" spans="1:27" ht="12.75">
      <c r="A137" s="38">
        <v>12473220</v>
      </c>
      <c r="B137" s="39">
        <v>3290</v>
      </c>
      <c r="C137" s="39" t="s">
        <v>129</v>
      </c>
      <c r="D137" s="39" t="s">
        <v>115</v>
      </c>
      <c r="E137" s="40">
        <v>1000</v>
      </c>
      <c r="F137" s="40">
        <v>521</v>
      </c>
      <c r="G137" s="40">
        <v>1000</v>
      </c>
      <c r="H137" s="40">
        <v>1882</v>
      </c>
      <c r="I137" s="40">
        <v>800</v>
      </c>
      <c r="J137" s="41">
        <v>1200</v>
      </c>
      <c r="K137" s="40">
        <v>834</v>
      </c>
      <c r="L137" s="41">
        <v>850</v>
      </c>
      <c r="M137" s="40">
        <v>851</v>
      </c>
      <c r="N137" s="41">
        <v>945.3548387096774</v>
      </c>
      <c r="O137" s="40">
        <f>5547-3401</f>
        <v>2146</v>
      </c>
      <c r="P137" s="41">
        <v>904.1818181818181</v>
      </c>
      <c r="Q137" s="40">
        <f>4218-3365</f>
        <v>853</v>
      </c>
      <c r="R137" s="41">
        <v>1250</v>
      </c>
      <c r="S137" s="41">
        <f>4294-3085</f>
        <v>1209</v>
      </c>
      <c r="T137" s="41">
        <v>1200</v>
      </c>
      <c r="U137" s="41">
        <v>1761</v>
      </c>
      <c r="V137" s="41">
        <v>101</v>
      </c>
      <c r="W137" s="41">
        <v>995</v>
      </c>
      <c r="X137" s="41">
        <v>986</v>
      </c>
      <c r="Y137" s="41">
        <f>5461-4828</f>
        <v>633</v>
      </c>
      <c r="Z137" s="42">
        <v>782</v>
      </c>
      <c r="AA137" s="42">
        <v>900</v>
      </c>
    </row>
    <row r="138" spans="1:27" ht="12.75">
      <c r="A138" s="33">
        <v>12473240</v>
      </c>
      <c r="B138" s="34">
        <v>3290</v>
      </c>
      <c r="C138" s="34" t="s">
        <v>130</v>
      </c>
      <c r="D138" s="34" t="s">
        <v>115</v>
      </c>
      <c r="E138" s="35">
        <v>700</v>
      </c>
      <c r="F138" s="35">
        <v>727.5</v>
      </c>
      <c r="G138" s="35">
        <v>700</v>
      </c>
      <c r="H138" s="35">
        <v>779.5</v>
      </c>
      <c r="I138" s="35">
        <v>700</v>
      </c>
      <c r="J138" s="36">
        <v>800</v>
      </c>
      <c r="K138" s="35">
        <v>853.5</v>
      </c>
      <c r="L138" s="36">
        <v>800</v>
      </c>
      <c r="M138" s="35">
        <v>2119</v>
      </c>
      <c r="N138" s="36">
        <v>817.4354838709677</v>
      </c>
      <c r="O138" s="35">
        <v>3294</v>
      </c>
      <c r="P138" s="36">
        <v>1385.3909090909092</v>
      </c>
      <c r="Q138" s="35">
        <v>2700</v>
      </c>
      <c r="R138" s="36">
        <v>2000</v>
      </c>
      <c r="S138" s="36">
        <v>2415</v>
      </c>
      <c r="T138" s="36">
        <v>2375</v>
      </c>
      <c r="U138" s="36">
        <v>2565</v>
      </c>
      <c r="V138" s="36">
        <v>2660</v>
      </c>
      <c r="W138" s="36">
        <v>2820</v>
      </c>
      <c r="X138" s="36">
        <v>2566</v>
      </c>
      <c r="Y138" s="36">
        <v>1825</v>
      </c>
      <c r="Z138" s="37">
        <v>2600</v>
      </c>
      <c r="AA138" s="37">
        <v>2500</v>
      </c>
    </row>
    <row r="139" spans="1:27" ht="12.75">
      <c r="A139" s="38">
        <v>12473300</v>
      </c>
      <c r="B139" s="39">
        <v>3290</v>
      </c>
      <c r="C139" s="39" t="s">
        <v>131</v>
      </c>
      <c r="D139" s="39" t="s">
        <v>115</v>
      </c>
      <c r="E139" s="40">
        <v>73900</v>
      </c>
      <c r="F139" s="40">
        <v>67140.5</v>
      </c>
      <c r="G139" s="40">
        <v>73900</v>
      </c>
      <c r="H139" s="40">
        <v>69112</v>
      </c>
      <c r="I139" s="40">
        <v>73900</v>
      </c>
      <c r="J139" s="41">
        <v>71000</v>
      </c>
      <c r="K139" s="40">
        <v>73850</v>
      </c>
      <c r="L139" s="41">
        <v>71000</v>
      </c>
      <c r="M139" s="40">
        <v>78465.5</v>
      </c>
      <c r="N139" s="41">
        <f>15000+71634.5161290323</f>
        <v>86634.5161290323</v>
      </c>
      <c r="O139" s="40">
        <v>91448</v>
      </c>
      <c r="P139" s="41">
        <v>78750</v>
      </c>
      <c r="Q139" s="40">
        <v>92793</v>
      </c>
      <c r="R139" s="41">
        <v>79950</v>
      </c>
      <c r="S139" s="41">
        <v>94185</v>
      </c>
      <c r="T139" s="41">
        <v>80000</v>
      </c>
      <c r="U139" s="41">
        <v>96165</v>
      </c>
      <c r="V139" s="41">
        <v>96366</v>
      </c>
      <c r="W139" s="41">
        <v>96341</v>
      </c>
      <c r="X139" s="41">
        <v>98788.2</v>
      </c>
      <c r="Y139" s="41">
        <v>97935</v>
      </c>
      <c r="Z139" s="42">
        <v>96000</v>
      </c>
      <c r="AA139" s="42">
        <v>97120</v>
      </c>
    </row>
    <row r="140" spans="1:27" ht="12.75">
      <c r="A140" s="33">
        <v>12474400</v>
      </c>
      <c r="B140" s="34">
        <v>3401</v>
      </c>
      <c r="C140" s="34" t="s">
        <v>132</v>
      </c>
      <c r="D140" s="34" t="s">
        <v>115</v>
      </c>
      <c r="E140" s="35">
        <v>3500</v>
      </c>
      <c r="F140" s="35">
        <v>6612</v>
      </c>
      <c r="G140" s="35">
        <v>3500</v>
      </c>
      <c r="H140" s="35">
        <v>1015</v>
      </c>
      <c r="I140" s="35">
        <v>7000</v>
      </c>
      <c r="J140" s="36">
        <v>4000</v>
      </c>
      <c r="K140" s="35">
        <v>5260</v>
      </c>
      <c r="L140" s="36">
        <v>4400</v>
      </c>
      <c r="M140" s="35">
        <v>4579</v>
      </c>
      <c r="N140" s="36">
        <v>4288.419354838709</v>
      </c>
      <c r="O140" s="35">
        <f>-8135+6864+6608</f>
        <v>5337</v>
      </c>
      <c r="P140" s="36">
        <v>4415.218181818182</v>
      </c>
      <c r="Q140" s="35">
        <f>-8811+6919+7602</f>
        <v>5710</v>
      </c>
      <c r="R140" s="36">
        <v>4950</v>
      </c>
      <c r="S140" s="36">
        <f>15.5+436+4756+5182</f>
        <v>10389.5</v>
      </c>
      <c r="T140" s="36">
        <v>5000</v>
      </c>
      <c r="U140" s="36">
        <v>12992</v>
      </c>
      <c r="V140" s="36">
        <v>11792.25</v>
      </c>
      <c r="W140" s="36">
        <v>11832</v>
      </c>
      <c r="X140" s="36">
        <v>12117</v>
      </c>
      <c r="Y140" s="36">
        <f>6760+6700-597+560</f>
        <v>13423</v>
      </c>
      <c r="Z140" s="37">
        <v>11735</v>
      </c>
      <c r="AA140" s="37">
        <v>12400</v>
      </c>
    </row>
    <row r="141" spans="1:27" ht="12.75">
      <c r="A141" s="38">
        <v>12474850</v>
      </c>
      <c r="B141" s="39">
        <v>3290</v>
      </c>
      <c r="C141" s="39" t="s">
        <v>133</v>
      </c>
      <c r="D141" s="39" t="s">
        <v>115</v>
      </c>
      <c r="E141" s="40">
        <v>30000</v>
      </c>
      <c r="F141" s="40">
        <v>30966</v>
      </c>
      <c r="G141" s="40">
        <v>30000</v>
      </c>
      <c r="H141" s="40">
        <v>30695</v>
      </c>
      <c r="I141" s="40">
        <v>31000</v>
      </c>
      <c r="J141" s="41">
        <v>31000</v>
      </c>
      <c r="K141" s="40">
        <v>30407</v>
      </c>
      <c r="L141" s="41">
        <v>31500</v>
      </c>
      <c r="M141" s="40">
        <v>30305</v>
      </c>
      <c r="N141" s="41">
        <v>30527.725806451614</v>
      </c>
      <c r="O141" s="40">
        <v>30488</v>
      </c>
      <c r="P141" s="41">
        <v>30430.536363636365</v>
      </c>
      <c r="Q141" s="40">
        <v>30882</v>
      </c>
      <c r="R141" s="41">
        <v>30550</v>
      </c>
      <c r="S141" s="41">
        <v>31257</v>
      </c>
      <c r="T141" s="41">
        <v>30600</v>
      </c>
      <c r="U141" s="41">
        <v>31928</v>
      </c>
      <c r="V141" s="41">
        <v>32116.56</v>
      </c>
      <c r="W141" s="41">
        <v>32295</v>
      </c>
      <c r="X141" s="41">
        <v>32482</v>
      </c>
      <c r="Y141" s="41">
        <v>32218</v>
      </c>
      <c r="Z141" s="42">
        <v>31800</v>
      </c>
      <c r="AA141" s="42">
        <v>32200</v>
      </c>
    </row>
    <row r="142" spans="1:27" ht="12.75">
      <c r="A142" s="33">
        <v>12474990</v>
      </c>
      <c r="B142" s="34">
        <v>3401</v>
      </c>
      <c r="C142" s="34" t="s">
        <v>40</v>
      </c>
      <c r="D142" s="34" t="s">
        <v>115</v>
      </c>
      <c r="E142" s="35">
        <v>3500</v>
      </c>
      <c r="F142" s="35">
        <v>5267.82</v>
      </c>
      <c r="G142" s="35">
        <v>3500</v>
      </c>
      <c r="H142" s="35">
        <f>-25.51-2+6126.36</f>
        <v>6098.849999999999</v>
      </c>
      <c r="I142" s="35">
        <v>3500</v>
      </c>
      <c r="J142" s="36">
        <v>6200</v>
      </c>
      <c r="K142" s="35">
        <f>-83.33+4485.79</f>
        <v>4402.46</v>
      </c>
      <c r="L142" s="36">
        <v>6200</v>
      </c>
      <c r="M142" s="35">
        <f>-46.55+1198.85</f>
        <v>1152.3</v>
      </c>
      <c r="N142" s="36">
        <v>5354.429677419354</v>
      </c>
      <c r="O142" s="35">
        <v>3620.14</v>
      </c>
      <c r="P142" s="36">
        <v>3541.085818181818</v>
      </c>
      <c r="Q142" s="35">
        <v>5376.41</v>
      </c>
      <c r="R142" s="36">
        <v>3550</v>
      </c>
      <c r="S142" s="36">
        <v>4096.67</v>
      </c>
      <c r="T142" s="36">
        <v>3500</v>
      </c>
      <c r="U142" s="36">
        <v>6849.77</v>
      </c>
      <c r="V142" s="36">
        <v>6753.46</v>
      </c>
      <c r="W142" s="36">
        <v>4644</v>
      </c>
      <c r="X142" s="36">
        <v>4800.7</v>
      </c>
      <c r="Y142" s="36">
        <v>3292</v>
      </c>
      <c r="Z142" s="37">
        <v>4325</v>
      </c>
      <c r="AA142" s="37">
        <v>5300</v>
      </c>
    </row>
    <row r="143" spans="1:27" ht="12.75">
      <c r="A143" s="38">
        <v>12475010</v>
      </c>
      <c r="B143" s="39">
        <v>3503</v>
      </c>
      <c r="C143" s="39" t="s">
        <v>134</v>
      </c>
      <c r="D143" s="39" t="s">
        <v>115</v>
      </c>
      <c r="E143" s="40">
        <v>5900</v>
      </c>
      <c r="F143" s="40">
        <v>2746</v>
      </c>
      <c r="G143" s="40">
        <v>5500</v>
      </c>
      <c r="H143" s="40">
        <v>3931</v>
      </c>
      <c r="I143" s="40">
        <v>2500</v>
      </c>
      <c r="J143" s="41">
        <v>2900</v>
      </c>
      <c r="K143" s="40">
        <v>4264.5</v>
      </c>
      <c r="L143" s="41">
        <v>2500</v>
      </c>
      <c r="M143" s="40">
        <v>4065</v>
      </c>
      <c r="N143" s="41">
        <v>3185.7419354838707</v>
      </c>
      <c r="O143" s="40">
        <v>2880</v>
      </c>
      <c r="P143" s="41">
        <v>3569.418181818182</v>
      </c>
      <c r="Q143" s="40">
        <v>4125</v>
      </c>
      <c r="R143" s="41">
        <v>3075</v>
      </c>
      <c r="S143" s="41">
        <v>6165</v>
      </c>
      <c r="T143" s="41">
        <v>3075</v>
      </c>
      <c r="U143" s="41">
        <v>390</v>
      </c>
      <c r="V143" s="41">
        <v>5175</v>
      </c>
      <c r="W143" s="41">
        <v>4110</v>
      </c>
      <c r="X143" s="41">
        <v>5895</v>
      </c>
      <c r="Y143" s="41">
        <v>5520</v>
      </c>
      <c r="Z143" s="42">
        <v>3275</v>
      </c>
      <c r="AA143" s="42">
        <v>4225</v>
      </c>
    </row>
    <row r="144" spans="1:27" ht="12.75">
      <c r="A144" s="33">
        <v>12475020</v>
      </c>
      <c r="B144" s="34">
        <v>3503</v>
      </c>
      <c r="C144" s="34" t="s">
        <v>135</v>
      </c>
      <c r="D144" s="34" t="s">
        <v>115</v>
      </c>
      <c r="E144" s="35">
        <v>11000</v>
      </c>
      <c r="F144" s="35">
        <v>9000</v>
      </c>
      <c r="G144" s="35">
        <v>11000</v>
      </c>
      <c r="H144" s="35">
        <v>7895</v>
      </c>
      <c r="I144" s="35">
        <v>9500</v>
      </c>
      <c r="J144" s="36">
        <v>8000</v>
      </c>
      <c r="K144" s="35">
        <v>7575</v>
      </c>
      <c r="L144" s="36">
        <v>8000</v>
      </c>
      <c r="M144" s="35">
        <v>8105</v>
      </c>
      <c r="N144" s="36">
        <v>8438.064516129032</v>
      </c>
      <c r="O144" s="35">
        <v>8055</v>
      </c>
      <c r="P144" s="36">
        <v>8292.727272727272</v>
      </c>
      <c r="Q144" s="35">
        <v>8130</v>
      </c>
      <c r="R144" s="36">
        <v>8325</v>
      </c>
      <c r="S144" s="36">
        <f>11217.5-100.31-54.42</f>
        <v>11062.77</v>
      </c>
      <c r="T144" s="36">
        <v>8100</v>
      </c>
      <c r="U144" s="36">
        <v>5152</v>
      </c>
      <c r="V144" s="36">
        <v>8366</v>
      </c>
      <c r="W144" s="36">
        <v>6393</v>
      </c>
      <c r="X144" s="36">
        <v>8416</v>
      </c>
      <c r="Y144" s="36">
        <v>6052</v>
      </c>
      <c r="Z144" s="37">
        <v>7000</v>
      </c>
      <c r="AA144" s="37">
        <v>6975</v>
      </c>
    </row>
    <row r="145" spans="1:27" ht="13.5" thickBot="1">
      <c r="A145" s="44">
        <v>12478310</v>
      </c>
      <c r="B145" s="45">
        <v>3503</v>
      </c>
      <c r="C145" s="45" t="s">
        <v>136</v>
      </c>
      <c r="D145" s="45" t="s">
        <v>115</v>
      </c>
      <c r="E145" s="46">
        <v>0</v>
      </c>
      <c r="F145" s="46">
        <f>-29.42+34.88</f>
        <v>5.460000000000001</v>
      </c>
      <c r="G145" s="46">
        <v>0</v>
      </c>
      <c r="H145" s="46">
        <v>-58.36</v>
      </c>
      <c r="I145" s="46">
        <v>0</v>
      </c>
      <c r="J145" s="47">
        <v>0</v>
      </c>
      <c r="K145" s="46">
        <v>-74.7</v>
      </c>
      <c r="L145" s="47">
        <v>0</v>
      </c>
      <c r="M145" s="46">
        <v>0</v>
      </c>
      <c r="N145" s="47">
        <v>0</v>
      </c>
      <c r="O145" s="46">
        <f>-341.56+105.62</f>
        <v>-235.94</v>
      </c>
      <c r="P145" s="47">
        <v>0</v>
      </c>
      <c r="Q145" s="46">
        <f>-589.2+84.29</f>
        <v>-504.91</v>
      </c>
      <c r="R145" s="47">
        <v>0</v>
      </c>
      <c r="S145" s="47">
        <v>0</v>
      </c>
      <c r="T145" s="47">
        <v>0</v>
      </c>
      <c r="U145" s="47">
        <v>-43.44</v>
      </c>
      <c r="V145" s="47">
        <v>-121.44</v>
      </c>
      <c r="W145" s="47">
        <v>-178</v>
      </c>
      <c r="X145" s="47">
        <v>148.2</v>
      </c>
      <c r="Y145" s="47">
        <v>-133</v>
      </c>
      <c r="Z145" s="48">
        <v>0</v>
      </c>
      <c r="AA145" s="48">
        <v>0</v>
      </c>
    </row>
    <row r="146" spans="1:27" ht="12.75">
      <c r="A146" s="33">
        <v>12578240</v>
      </c>
      <c r="B146" s="34">
        <v>3503</v>
      </c>
      <c r="C146" s="34" t="s">
        <v>42</v>
      </c>
      <c r="D146" s="34" t="s">
        <v>137</v>
      </c>
      <c r="E146" s="35">
        <v>0</v>
      </c>
      <c r="F146" s="35">
        <v>2870</v>
      </c>
      <c r="G146" s="35">
        <v>0</v>
      </c>
      <c r="H146" s="35">
        <v>0</v>
      </c>
      <c r="I146" s="35">
        <v>0</v>
      </c>
      <c r="J146" s="36">
        <v>0</v>
      </c>
      <c r="K146" s="35"/>
      <c r="L146" s="36">
        <v>2000</v>
      </c>
      <c r="M146" s="35">
        <v>1000</v>
      </c>
      <c r="N146" s="36">
        <v>1500</v>
      </c>
      <c r="O146" s="35">
        <v>1500</v>
      </c>
      <c r="P146" s="36">
        <v>878.8705454545454</v>
      </c>
      <c r="Q146" s="35">
        <v>644.06</v>
      </c>
      <c r="R146" s="36">
        <v>1500</v>
      </c>
      <c r="S146" s="36">
        <v>405.94</v>
      </c>
      <c r="T146" s="36">
        <v>1000</v>
      </c>
      <c r="U146" s="36">
        <v>0</v>
      </c>
      <c r="V146" s="36">
        <v>1045.37</v>
      </c>
      <c r="W146" s="36">
        <v>400</v>
      </c>
      <c r="X146" s="36">
        <v>0</v>
      </c>
      <c r="Y146" s="36">
        <v>0</v>
      </c>
      <c r="Z146" s="37">
        <v>0</v>
      </c>
      <c r="AA146" s="37">
        <v>0</v>
      </c>
    </row>
    <row r="147" spans="1:27" ht="15.75" thickBot="1">
      <c r="A147" s="44">
        <v>12578330</v>
      </c>
      <c r="B147" s="45">
        <v>3503</v>
      </c>
      <c r="C147" s="45" t="s">
        <v>138</v>
      </c>
      <c r="D147" s="45" t="s">
        <v>137</v>
      </c>
      <c r="E147" s="46">
        <v>23000</v>
      </c>
      <c r="F147" s="72">
        <v>30487.19</v>
      </c>
      <c r="G147" s="72">
        <v>23000</v>
      </c>
      <c r="H147" s="72">
        <f>708.1+58516.42</f>
        <v>59224.52</v>
      </c>
      <c r="I147" s="72">
        <v>20000</v>
      </c>
      <c r="J147" s="73">
        <v>20000</v>
      </c>
      <c r="K147" s="72">
        <v>879.68</v>
      </c>
      <c r="L147" s="73">
        <v>15000</v>
      </c>
      <c r="M147" s="72">
        <v>4278.43</v>
      </c>
      <c r="N147" s="73">
        <v>785.0929032258064</v>
      </c>
      <c r="O147" s="72">
        <v>4942.25</v>
      </c>
      <c r="P147" s="73">
        <v>5000</v>
      </c>
      <c r="Q147" s="72">
        <v>3883.55</v>
      </c>
      <c r="R147" s="73">
        <v>5000</v>
      </c>
      <c r="S147" s="73">
        <v>6377.06</v>
      </c>
      <c r="T147" s="73">
        <v>5000</v>
      </c>
      <c r="U147" s="73">
        <v>18927.42</v>
      </c>
      <c r="V147" s="74">
        <v>250</v>
      </c>
      <c r="W147" s="74">
        <v>73192.51</v>
      </c>
      <c r="X147" s="74">
        <v>9052.44</v>
      </c>
      <c r="Y147" s="74">
        <v>13456</v>
      </c>
      <c r="Z147" s="75">
        <v>12000</v>
      </c>
      <c r="AA147" s="75">
        <v>12000</v>
      </c>
    </row>
    <row r="148" spans="1:27" ht="12.75">
      <c r="A148" s="33"/>
      <c r="B148" s="34"/>
      <c r="C148" s="34" t="s">
        <v>139</v>
      </c>
      <c r="D148" s="34"/>
      <c r="E148" s="35">
        <f>SUM(E10:E147)</f>
        <v>21587887</v>
      </c>
      <c r="F148" s="35">
        <f>SUM(F10:F147)</f>
        <v>21542002.56900001</v>
      </c>
      <c r="G148" s="35">
        <f>SUM(G10:G147)</f>
        <v>20643600</v>
      </c>
      <c r="H148" s="35">
        <f>SUM(H10:H147)</f>
        <v>21215207.740000002</v>
      </c>
      <c r="I148" s="35">
        <f>SUM(I11:I147)</f>
        <v>10814098</v>
      </c>
      <c r="J148" s="36" t="e">
        <f>#N/A</f>
        <v>#N/A</v>
      </c>
      <c r="K148" s="35" t="e">
        <f>#N/A</f>
        <v>#N/A</v>
      </c>
      <c r="L148" s="36" t="e">
        <f>#N/A</f>
        <v>#N/A</v>
      </c>
      <c r="M148" s="35" t="e">
        <f>#N/A</f>
        <v>#N/A</v>
      </c>
      <c r="N148" s="36" t="e">
        <f>#N/A</f>
        <v>#N/A</v>
      </c>
      <c r="O148" s="35">
        <f aca="true" t="shared" si="0" ref="O148:AA148">SUM(O10:O147)</f>
        <v>22077125.769999996</v>
      </c>
      <c r="P148" s="36">
        <f t="shared" si="0"/>
        <v>21933862.81363637</v>
      </c>
      <c r="Q148" s="36">
        <f t="shared" si="0"/>
        <v>21539400.04</v>
      </c>
      <c r="R148" s="36">
        <f t="shared" si="0"/>
        <v>24733072.414727274</v>
      </c>
      <c r="S148" s="36">
        <f t="shared" si="0"/>
        <v>24724121.3</v>
      </c>
      <c r="T148" s="36">
        <f t="shared" si="0"/>
        <v>23822802</v>
      </c>
      <c r="U148" s="36">
        <f t="shared" si="0"/>
        <v>26650481.62</v>
      </c>
      <c r="V148" s="36">
        <f t="shared" si="0"/>
        <v>26416069.880000003</v>
      </c>
      <c r="W148" s="36">
        <f t="shared" si="0"/>
        <v>27992264.990000002</v>
      </c>
      <c r="X148" s="36">
        <f t="shared" si="0"/>
        <v>26864927.009999998</v>
      </c>
      <c r="Y148" s="36">
        <f t="shared" si="0"/>
        <v>30455617.5</v>
      </c>
      <c r="Z148" s="37">
        <f>SUM(Z10:Z147)</f>
        <v>29393355</v>
      </c>
      <c r="AA148" s="37">
        <f t="shared" si="0"/>
        <v>30695374</v>
      </c>
    </row>
    <row r="149" spans="1:27" ht="12.75">
      <c r="A149" s="76"/>
      <c r="B149" s="77"/>
      <c r="C149" s="77"/>
      <c r="D149" s="77"/>
      <c r="E149" s="77"/>
      <c r="F149" s="77"/>
      <c r="G149" s="77"/>
      <c r="H149" s="77"/>
      <c r="I149" s="78"/>
      <c r="J149" s="77"/>
      <c r="K149" s="78"/>
      <c r="L149" s="77"/>
      <c r="M149" s="78"/>
      <c r="N149" s="79"/>
      <c r="O149" s="78"/>
      <c r="P149" s="79"/>
      <c r="Q149" s="78"/>
      <c r="R149" s="79"/>
      <c r="S149" s="79"/>
      <c r="T149" s="79"/>
      <c r="U149" s="79"/>
      <c r="V149" s="79"/>
      <c r="W149" s="36"/>
      <c r="X149" s="36"/>
      <c r="Y149" s="36"/>
      <c r="Z149" s="37"/>
      <c r="AA149" s="37"/>
    </row>
    <row r="150" spans="1:27" ht="13.5" thickBot="1">
      <c r="A150" s="80"/>
      <c r="B150" s="81"/>
      <c r="C150" s="81"/>
      <c r="D150" s="81"/>
      <c r="E150" s="81"/>
      <c r="F150" s="81"/>
      <c r="G150" s="81"/>
      <c r="H150" s="81"/>
      <c r="I150" s="82"/>
      <c r="J150" s="81"/>
      <c r="K150" s="82"/>
      <c r="L150" s="81"/>
      <c r="M150" s="82"/>
      <c r="N150" s="52"/>
      <c r="O150" s="51"/>
      <c r="P150" s="52"/>
      <c r="Q150" s="51"/>
      <c r="R150" s="52"/>
      <c r="S150" s="52"/>
      <c r="T150" s="52"/>
      <c r="U150" s="52"/>
      <c r="V150" s="52"/>
      <c r="W150" s="52"/>
      <c r="X150" s="52"/>
      <c r="Y150" s="52"/>
      <c r="Z150" s="53"/>
      <c r="AA150" s="53"/>
    </row>
    <row r="151" spans="1:27" ht="12.75">
      <c r="A151" s="83" t="s">
        <v>140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4"/>
      <c r="P151" s="85"/>
      <c r="Q151" s="84"/>
      <c r="R151" s="85"/>
      <c r="S151" s="86"/>
      <c r="T151" s="86"/>
      <c r="U151" s="86"/>
      <c r="V151" s="86"/>
      <c r="W151" s="36"/>
      <c r="X151" s="36"/>
      <c r="Y151" s="36"/>
      <c r="Z151" s="64"/>
      <c r="AA151" s="36"/>
    </row>
    <row r="152" spans="1:27" ht="12.75">
      <c r="A152" s="85"/>
      <c r="B152" s="85"/>
      <c r="C152" s="85"/>
      <c r="D152" s="85"/>
      <c r="E152" s="85"/>
      <c r="F152" s="85"/>
      <c r="G152" s="85"/>
      <c r="H152" s="85"/>
      <c r="I152" s="84"/>
      <c r="J152" s="85"/>
      <c r="K152" s="84"/>
      <c r="L152" s="85"/>
      <c r="M152" s="84"/>
      <c r="N152" s="86"/>
      <c r="O152" s="84"/>
      <c r="P152" s="86"/>
      <c r="Q152" s="84"/>
      <c r="R152" s="86"/>
      <c r="S152" s="86"/>
      <c r="T152" s="86"/>
      <c r="U152" s="86"/>
      <c r="V152" s="86"/>
      <c r="W152" s="36"/>
      <c r="X152" s="36"/>
      <c r="Y152" s="36"/>
      <c r="Z152" s="37"/>
      <c r="AA152" s="36"/>
    </row>
    <row r="153" spans="1:27" s="87" customFormat="1" ht="12" customHeight="1">
      <c r="A153" s="22" t="s">
        <v>0</v>
      </c>
      <c r="B153" s="22"/>
      <c r="C153" s="22" t="s">
        <v>0</v>
      </c>
      <c r="D153" s="22" t="s">
        <v>0</v>
      </c>
      <c r="E153" s="22" t="s">
        <v>1</v>
      </c>
      <c r="F153" s="22" t="s">
        <v>1</v>
      </c>
      <c r="G153" s="22" t="s">
        <v>2</v>
      </c>
      <c r="H153" s="22" t="s">
        <v>2</v>
      </c>
      <c r="I153" s="21" t="s">
        <v>3</v>
      </c>
      <c r="J153" s="22" t="s">
        <v>4</v>
      </c>
      <c r="K153" s="21" t="s">
        <v>4</v>
      </c>
      <c r="L153" s="22" t="str">
        <f>+L5</f>
        <v>2009-10</v>
      </c>
      <c r="M153" s="21" t="s">
        <v>5</v>
      </c>
      <c r="N153" s="20" t="s">
        <v>6</v>
      </c>
      <c r="O153" s="21" t="s">
        <v>6</v>
      </c>
      <c r="P153" s="20" t="s">
        <v>7</v>
      </c>
      <c r="Q153" s="21" t="s">
        <v>7</v>
      </c>
      <c r="R153" s="22" t="s">
        <v>8</v>
      </c>
      <c r="S153" s="57" t="s">
        <v>9</v>
      </c>
      <c r="T153" s="20" t="s">
        <v>9</v>
      </c>
      <c r="U153" s="57" t="s">
        <v>10</v>
      </c>
      <c r="V153" s="57" t="s">
        <v>11</v>
      </c>
      <c r="W153" s="57" t="s">
        <v>12</v>
      </c>
      <c r="X153" s="57" t="s">
        <v>13</v>
      </c>
      <c r="Y153" s="20" t="s">
        <v>14</v>
      </c>
      <c r="Z153" s="23" t="s">
        <v>15</v>
      </c>
      <c r="AA153" s="23" t="s">
        <v>15</v>
      </c>
    </row>
    <row r="154" spans="1:27" s="87" customFormat="1" ht="12" customHeight="1">
      <c r="A154" s="15" t="s">
        <v>17</v>
      </c>
      <c r="B154" s="15"/>
      <c r="C154" s="15" t="s">
        <v>18</v>
      </c>
      <c r="D154" s="15" t="s">
        <v>19</v>
      </c>
      <c r="E154" s="15" t="s">
        <v>20</v>
      </c>
      <c r="F154" s="15" t="s">
        <v>21</v>
      </c>
      <c r="G154" s="15" t="s">
        <v>20</v>
      </c>
      <c r="H154" s="15" t="s">
        <v>21</v>
      </c>
      <c r="I154" s="16" t="s">
        <v>20</v>
      </c>
      <c r="J154" s="16" t="s">
        <v>20</v>
      </c>
      <c r="K154" s="16" t="s">
        <v>21</v>
      </c>
      <c r="L154" s="16" t="str">
        <f>+L6</f>
        <v>Budget</v>
      </c>
      <c r="M154" s="16" t="s">
        <v>21</v>
      </c>
      <c r="N154" s="16" t="s">
        <v>20</v>
      </c>
      <c r="O154" s="16" t="s">
        <v>21</v>
      </c>
      <c r="P154" s="16" t="s">
        <v>20</v>
      </c>
      <c r="Q154" s="16" t="s">
        <v>21</v>
      </c>
      <c r="R154" s="16" t="s">
        <v>20</v>
      </c>
      <c r="S154" s="17" t="s">
        <v>21</v>
      </c>
      <c r="T154" s="18" t="s">
        <v>20</v>
      </c>
      <c r="U154" s="17" t="s">
        <v>21</v>
      </c>
      <c r="V154" s="17" t="s">
        <v>21</v>
      </c>
      <c r="W154" s="17" t="s">
        <v>21</v>
      </c>
      <c r="X154" s="17" t="s">
        <v>21</v>
      </c>
      <c r="Y154" s="18" t="s">
        <v>21</v>
      </c>
      <c r="Z154" s="59" t="s">
        <v>20</v>
      </c>
      <c r="AA154" s="18" t="s">
        <v>20</v>
      </c>
    </row>
    <row r="155" spans="1:27" ht="12.75">
      <c r="A155" s="39">
        <v>311071720</v>
      </c>
      <c r="B155" s="39">
        <v>9997</v>
      </c>
      <c r="C155" s="39" t="s">
        <v>141</v>
      </c>
      <c r="D155" s="39" t="s">
        <v>142</v>
      </c>
      <c r="E155" s="40">
        <v>0</v>
      </c>
      <c r="F155" s="40">
        <v>0</v>
      </c>
      <c r="G155" s="40">
        <v>0</v>
      </c>
      <c r="H155" s="40">
        <v>0</v>
      </c>
      <c r="I155" s="40">
        <v>900000</v>
      </c>
      <c r="J155" s="41">
        <v>0</v>
      </c>
      <c r="K155" s="40">
        <v>-175</v>
      </c>
      <c r="L155" s="41">
        <v>0</v>
      </c>
      <c r="M155" s="40"/>
      <c r="N155" s="41">
        <v>0</v>
      </c>
      <c r="O155" s="40">
        <v>-44.5</v>
      </c>
      <c r="P155" s="41">
        <v>0</v>
      </c>
      <c r="Q155" s="40"/>
      <c r="R155" s="41">
        <v>0</v>
      </c>
      <c r="S155" s="41">
        <v>-161.62</v>
      </c>
      <c r="T155" s="41"/>
      <c r="U155" s="41">
        <v>0</v>
      </c>
      <c r="V155" s="41">
        <v>-122.21</v>
      </c>
      <c r="W155" s="41">
        <v>-11736.4</v>
      </c>
      <c r="X155" s="41">
        <v>-5250.41</v>
      </c>
      <c r="Y155" s="41">
        <v>-526</v>
      </c>
      <c r="Z155" s="42">
        <v>0</v>
      </c>
      <c r="AA155" s="41">
        <v>0</v>
      </c>
    </row>
    <row r="156" spans="1:27" ht="12.75" hidden="1">
      <c r="A156" s="34">
        <v>311072290</v>
      </c>
      <c r="B156" s="34">
        <v>3359</v>
      </c>
      <c r="C156" s="34" t="s">
        <v>29</v>
      </c>
      <c r="D156" s="34" t="s">
        <v>142</v>
      </c>
      <c r="E156" s="35">
        <v>0</v>
      </c>
      <c r="F156" s="35">
        <v>0</v>
      </c>
      <c r="G156" s="35">
        <v>0</v>
      </c>
      <c r="H156" s="35">
        <v>89059</v>
      </c>
      <c r="I156" s="35">
        <v>900000</v>
      </c>
      <c r="J156" s="36">
        <v>0</v>
      </c>
      <c r="K156" s="35">
        <v>668866</v>
      </c>
      <c r="L156" s="36">
        <v>50000</v>
      </c>
      <c r="M156" s="35">
        <v>0</v>
      </c>
      <c r="N156" s="36"/>
      <c r="O156" s="35"/>
      <c r="P156" s="36">
        <v>0</v>
      </c>
      <c r="Q156" s="35"/>
      <c r="R156" s="36">
        <v>0</v>
      </c>
      <c r="S156" s="36">
        <v>0</v>
      </c>
      <c r="T156" s="36"/>
      <c r="U156" s="36"/>
      <c r="V156" s="36">
        <v>0</v>
      </c>
      <c r="W156" s="36">
        <v>0</v>
      </c>
      <c r="X156" s="36">
        <v>0</v>
      </c>
      <c r="Y156" s="36">
        <v>0</v>
      </c>
      <c r="Z156" s="37">
        <v>0</v>
      </c>
      <c r="AA156" s="36"/>
    </row>
    <row r="157" spans="1:27" ht="12.75" hidden="1">
      <c r="A157" s="39">
        <v>311072500</v>
      </c>
      <c r="B157" s="39">
        <v>3311</v>
      </c>
      <c r="C157" s="39" t="s">
        <v>30</v>
      </c>
      <c r="D157" s="39" t="s">
        <v>142</v>
      </c>
      <c r="E157" s="40"/>
      <c r="F157" s="40">
        <v>75489.92</v>
      </c>
      <c r="G157" s="40"/>
      <c r="H157" s="40">
        <v>214870.23</v>
      </c>
      <c r="I157" s="40">
        <v>0</v>
      </c>
      <c r="J157" s="41">
        <v>0</v>
      </c>
      <c r="K157" s="40">
        <v>0</v>
      </c>
      <c r="L157" s="41">
        <v>0</v>
      </c>
      <c r="M157" s="40">
        <v>0</v>
      </c>
      <c r="N157" s="41"/>
      <c r="O157" s="40"/>
      <c r="P157" s="41">
        <v>0</v>
      </c>
      <c r="Q157" s="40"/>
      <c r="R157" s="41">
        <v>0</v>
      </c>
      <c r="S157" s="41">
        <v>0</v>
      </c>
      <c r="T157" s="41">
        <v>0</v>
      </c>
      <c r="U157" s="41"/>
      <c r="V157" s="41">
        <v>0</v>
      </c>
      <c r="W157" s="41">
        <v>0</v>
      </c>
      <c r="X157" s="41">
        <v>0</v>
      </c>
      <c r="Y157" s="41">
        <v>0</v>
      </c>
      <c r="Z157" s="42">
        <v>0</v>
      </c>
      <c r="AA157" s="41"/>
    </row>
    <row r="158" spans="1:27" s="13" customFormat="1" ht="12.75">
      <c r="A158" s="34">
        <v>311073310</v>
      </c>
      <c r="B158" s="34">
        <v>3290</v>
      </c>
      <c r="C158" s="34" t="s">
        <v>143</v>
      </c>
      <c r="D158" s="34" t="s">
        <v>142</v>
      </c>
      <c r="E158" s="35">
        <v>600</v>
      </c>
      <c r="F158" s="35">
        <v>725</v>
      </c>
      <c r="G158" s="35">
        <v>600</v>
      </c>
      <c r="H158" s="35">
        <v>1150</v>
      </c>
      <c r="I158" s="35">
        <v>600</v>
      </c>
      <c r="J158" s="36">
        <v>800</v>
      </c>
      <c r="K158" s="35">
        <v>1250</v>
      </c>
      <c r="L158" s="36">
        <v>3100</v>
      </c>
      <c r="M158" s="35">
        <v>1326</v>
      </c>
      <c r="N158" s="36">
        <v>1300</v>
      </c>
      <c r="O158" s="35">
        <v>1350</v>
      </c>
      <c r="P158" s="36">
        <v>1406.3818181818183</v>
      </c>
      <c r="Q158" s="35">
        <v>1000</v>
      </c>
      <c r="R158" s="20">
        <v>1350</v>
      </c>
      <c r="S158" s="36">
        <v>2252.3</v>
      </c>
      <c r="T158" s="36">
        <v>1350</v>
      </c>
      <c r="U158" s="36">
        <v>685</v>
      </c>
      <c r="V158" s="88">
        <v>725</v>
      </c>
      <c r="W158" s="88">
        <v>1100</v>
      </c>
      <c r="X158" s="88">
        <v>1186.75</v>
      </c>
      <c r="Y158" s="20">
        <v>250</v>
      </c>
      <c r="Z158" s="23">
        <v>1200</v>
      </c>
      <c r="AA158" s="20">
        <v>789</v>
      </c>
    </row>
    <row r="159" spans="1:27" s="13" customFormat="1" ht="12.75">
      <c r="A159" s="39">
        <v>311074010</v>
      </c>
      <c r="B159" s="39">
        <v>3401</v>
      </c>
      <c r="C159" s="39" t="s">
        <v>144</v>
      </c>
      <c r="D159" s="39" t="s">
        <v>142</v>
      </c>
      <c r="E159" s="40">
        <v>2700000</v>
      </c>
      <c r="F159" s="40">
        <v>2291715.35</v>
      </c>
      <c r="G159" s="40">
        <v>2700000</v>
      </c>
      <c r="H159" s="40">
        <v>1954950.88</v>
      </c>
      <c r="I159" s="40">
        <v>2157840</v>
      </c>
      <c r="J159" s="41">
        <v>1900000</v>
      </c>
      <c r="K159" s="40">
        <v>1602465.49</v>
      </c>
      <c r="L159" s="41">
        <f>404985+1835143</f>
        <v>2240128</v>
      </c>
      <c r="M159" s="40">
        <f>1922977.24+89691.82</f>
        <v>2012669.06</v>
      </c>
      <c r="N159" s="41">
        <v>1771087</v>
      </c>
      <c r="O159" s="40">
        <v>115135.08</v>
      </c>
      <c r="P159" s="41">
        <v>2100000</v>
      </c>
      <c r="Q159" s="40">
        <f>400611.64+105571.53</f>
        <v>506183.17000000004</v>
      </c>
      <c r="R159" s="54">
        <v>370000</v>
      </c>
      <c r="S159" s="54">
        <f>112837.21+170855.89</f>
        <v>283693.10000000003</v>
      </c>
      <c r="T159" s="54">
        <v>338909</v>
      </c>
      <c r="U159" s="54">
        <v>40625.850000000006</v>
      </c>
      <c r="V159" s="89">
        <v>193499.17</v>
      </c>
      <c r="W159" s="89">
        <v>168601.48</v>
      </c>
      <c r="X159" s="89">
        <v>171877.89</v>
      </c>
      <c r="Y159" s="54">
        <v>173307</v>
      </c>
      <c r="Z159" s="55">
        <v>171878</v>
      </c>
      <c r="AA159" s="54">
        <v>175000</v>
      </c>
    </row>
    <row r="160" spans="1:27" ht="12.75">
      <c r="A160" s="34">
        <v>311074020</v>
      </c>
      <c r="B160" s="34">
        <v>3401</v>
      </c>
      <c r="C160" s="34" t="s">
        <v>145</v>
      </c>
      <c r="D160" s="34" t="s">
        <v>142</v>
      </c>
      <c r="E160" s="35">
        <v>800000</v>
      </c>
      <c r="F160" s="35">
        <v>860599</v>
      </c>
      <c r="G160" s="35">
        <v>800000</v>
      </c>
      <c r="H160" s="35">
        <v>866868</v>
      </c>
      <c r="I160" s="35">
        <v>860000</v>
      </c>
      <c r="J160" s="36">
        <v>870000</v>
      </c>
      <c r="K160" s="35">
        <v>928443</v>
      </c>
      <c r="L160" s="36">
        <v>1008201</v>
      </c>
      <c r="M160" s="35">
        <v>966642</v>
      </c>
      <c r="N160" s="36">
        <v>968502</v>
      </c>
      <c r="O160" s="35">
        <v>1002750</v>
      </c>
      <c r="P160" s="36">
        <f>1.12*928468.027272727-51</f>
        <v>1039833.1905454543</v>
      </c>
      <c r="Q160" s="35">
        <v>1035540</v>
      </c>
      <c r="R160" s="36">
        <v>1078000</v>
      </c>
      <c r="S160" s="20">
        <v>1096822.1</v>
      </c>
      <c r="T160" s="20">
        <v>1178155</v>
      </c>
      <c r="U160" s="20">
        <v>1228945.86</v>
      </c>
      <c r="V160" s="88">
        <v>1258171</v>
      </c>
      <c r="W160" s="88">
        <v>1305348</v>
      </c>
      <c r="X160" s="88">
        <v>1392470</v>
      </c>
      <c r="Y160" s="36">
        <v>1488202</v>
      </c>
      <c r="Z160" s="37">
        <v>1447000</v>
      </c>
      <c r="AA160" s="36">
        <v>1450000</v>
      </c>
    </row>
    <row r="161" spans="1:27" ht="12.75">
      <c r="A161" s="39">
        <v>311074030</v>
      </c>
      <c r="B161" s="39">
        <v>3401</v>
      </c>
      <c r="C161" s="39" t="s">
        <v>146</v>
      </c>
      <c r="D161" s="39" t="s">
        <v>142</v>
      </c>
      <c r="E161" s="40">
        <v>225000</v>
      </c>
      <c r="F161" s="40">
        <v>298779.85</v>
      </c>
      <c r="G161" s="40">
        <v>225000</v>
      </c>
      <c r="H161" s="40">
        <v>279451.73</v>
      </c>
      <c r="I161" s="40">
        <v>275000</v>
      </c>
      <c r="J161" s="41">
        <v>280000</v>
      </c>
      <c r="K161" s="40">
        <v>236303.55</v>
      </c>
      <c r="L161" s="41">
        <v>349809</v>
      </c>
      <c r="M161" s="40">
        <v>261286.94</v>
      </c>
      <c r="N161" s="41">
        <v>336034</v>
      </c>
      <c r="O161" s="40">
        <v>305053.87</v>
      </c>
      <c r="P161" s="41">
        <v>280000</v>
      </c>
      <c r="Q161" s="40">
        <v>314805.06</v>
      </c>
      <c r="R161" s="41">
        <v>300000</v>
      </c>
      <c r="S161" s="41">
        <v>315931.19</v>
      </c>
      <c r="T161" s="41">
        <v>315000</v>
      </c>
      <c r="U161" s="41">
        <v>330807.51</v>
      </c>
      <c r="V161" s="89">
        <v>348663.15</v>
      </c>
      <c r="W161" s="89">
        <v>352342.75</v>
      </c>
      <c r="X161" s="89">
        <v>363225.48</v>
      </c>
      <c r="Y161" s="41">
        <v>408701</v>
      </c>
      <c r="Z161" s="42">
        <v>414118</v>
      </c>
      <c r="AA161" s="41">
        <v>425000</v>
      </c>
    </row>
    <row r="162" spans="1:27" ht="12.75" hidden="1">
      <c r="A162" s="34">
        <v>311074040</v>
      </c>
      <c r="B162" s="34">
        <v>3401</v>
      </c>
      <c r="C162" s="34" t="s">
        <v>147</v>
      </c>
      <c r="D162" s="34" t="s">
        <v>142</v>
      </c>
      <c r="E162" s="35">
        <v>50</v>
      </c>
      <c r="F162" s="35">
        <v>71.5</v>
      </c>
      <c r="G162" s="35">
        <v>50</v>
      </c>
      <c r="H162" s="35">
        <v>427</v>
      </c>
      <c r="I162" s="35">
        <v>50</v>
      </c>
      <c r="J162" s="36">
        <v>400</v>
      </c>
      <c r="K162" s="35">
        <v>0</v>
      </c>
      <c r="L162" s="36">
        <v>400</v>
      </c>
      <c r="M162" s="35">
        <v>0</v>
      </c>
      <c r="N162" s="36">
        <v>124</v>
      </c>
      <c r="O162" s="35">
        <v>8014.92</v>
      </c>
      <c r="P162" s="36">
        <v>70.09545454545454</v>
      </c>
      <c r="Q162" s="35">
        <v>0</v>
      </c>
      <c r="R162" s="36">
        <v>70</v>
      </c>
      <c r="S162" s="36">
        <v>0</v>
      </c>
      <c r="T162" s="36">
        <v>0</v>
      </c>
      <c r="U162" s="36">
        <v>0</v>
      </c>
      <c r="V162" s="88">
        <v>0</v>
      </c>
      <c r="W162" s="88">
        <v>0</v>
      </c>
      <c r="X162" s="88">
        <v>0</v>
      </c>
      <c r="Y162" s="36">
        <v>0</v>
      </c>
      <c r="Z162" s="37">
        <v>0</v>
      </c>
      <c r="AA162" s="36"/>
    </row>
    <row r="163" spans="1:27" ht="12.75">
      <c r="A163" s="39">
        <v>311074050</v>
      </c>
      <c r="B163" s="39">
        <v>3401</v>
      </c>
      <c r="C163" s="39" t="s">
        <v>148</v>
      </c>
      <c r="D163" s="39" t="s">
        <v>142</v>
      </c>
      <c r="E163" s="40">
        <v>1300</v>
      </c>
      <c r="F163" s="40">
        <v>1678.62</v>
      </c>
      <c r="G163" s="40">
        <v>1300</v>
      </c>
      <c r="H163" s="40">
        <v>1603.24</v>
      </c>
      <c r="I163" s="40">
        <v>1500</v>
      </c>
      <c r="J163" s="41">
        <v>1500</v>
      </c>
      <c r="K163" s="40">
        <v>3239.96</v>
      </c>
      <c r="L163" s="41">
        <v>1500</v>
      </c>
      <c r="M163" s="40">
        <v>1751.77</v>
      </c>
      <c r="N163" s="41">
        <v>2775</v>
      </c>
      <c r="O163" s="40">
        <v>1228.01</v>
      </c>
      <c r="P163" s="41">
        <v>2328.4052727272724</v>
      </c>
      <c r="Q163" s="40">
        <v>2292.79</v>
      </c>
      <c r="R163" s="41">
        <v>1500</v>
      </c>
      <c r="S163" s="41">
        <v>4409.46</v>
      </c>
      <c r="T163" s="41">
        <v>2200</v>
      </c>
      <c r="U163" s="41">
        <v>1996.38</v>
      </c>
      <c r="V163" s="89">
        <v>2546.96</v>
      </c>
      <c r="W163" s="89">
        <v>2312.34</v>
      </c>
      <c r="X163" s="89">
        <v>2369.41</v>
      </c>
      <c r="Y163" s="41">
        <v>1473</v>
      </c>
      <c r="Z163" s="42">
        <v>2300</v>
      </c>
      <c r="AA163" s="41">
        <v>2140</v>
      </c>
    </row>
    <row r="164" spans="1:27" ht="12.75">
      <c r="A164" s="34">
        <v>311074060</v>
      </c>
      <c r="B164" s="34">
        <v>3401</v>
      </c>
      <c r="C164" s="34" t="s">
        <v>149</v>
      </c>
      <c r="D164" s="34" t="s">
        <v>142</v>
      </c>
      <c r="E164" s="35">
        <v>1000</v>
      </c>
      <c r="F164" s="35">
        <v>1434.44</v>
      </c>
      <c r="G164" s="35">
        <v>1000</v>
      </c>
      <c r="H164" s="35">
        <v>2488.21</v>
      </c>
      <c r="I164" s="35">
        <v>1000</v>
      </c>
      <c r="J164" s="36">
        <v>2500</v>
      </c>
      <c r="K164" s="35">
        <v>2573.45</v>
      </c>
      <c r="L164" s="36">
        <v>2500</v>
      </c>
      <c r="M164" s="35">
        <v>2846.92</v>
      </c>
      <c r="N164" s="36">
        <v>2029</v>
      </c>
      <c r="O164" s="35">
        <v>1972.24</v>
      </c>
      <c r="P164" s="36">
        <v>2386.1592727272723</v>
      </c>
      <c r="Q164" s="35">
        <v>1923.94</v>
      </c>
      <c r="R164" s="36">
        <v>2000</v>
      </c>
      <c r="S164" s="36">
        <v>712.5</v>
      </c>
      <c r="T164" s="36">
        <v>2000</v>
      </c>
      <c r="U164" s="36">
        <v>2374.05</v>
      </c>
      <c r="V164" s="88">
        <v>1977.98</v>
      </c>
      <c r="W164" s="88">
        <v>1681.09</v>
      </c>
      <c r="X164" s="88">
        <v>2414.25</v>
      </c>
      <c r="Y164" s="36">
        <v>1201</v>
      </c>
      <c r="Z164" s="37">
        <v>1600</v>
      </c>
      <c r="AA164" s="36">
        <v>1930</v>
      </c>
    </row>
    <row r="165" spans="1:27" ht="12.75">
      <c r="A165" s="39">
        <v>311074070</v>
      </c>
      <c r="B165" s="39">
        <v>3401</v>
      </c>
      <c r="C165" s="39" t="s">
        <v>150</v>
      </c>
      <c r="D165" s="39" t="s">
        <v>142</v>
      </c>
      <c r="E165" s="40">
        <v>70000</v>
      </c>
      <c r="F165" s="40">
        <v>104726.38</v>
      </c>
      <c r="G165" s="40">
        <v>70000</v>
      </c>
      <c r="H165" s="40">
        <v>37214.3</v>
      </c>
      <c r="I165" s="40">
        <v>75000</v>
      </c>
      <c r="J165" s="41">
        <v>57000</v>
      </c>
      <c r="K165" s="40">
        <v>58235.84</v>
      </c>
      <c r="L165" s="41">
        <v>77855</v>
      </c>
      <c r="M165" s="40">
        <v>75411.66</v>
      </c>
      <c r="N165" s="41">
        <v>77365</v>
      </c>
      <c r="O165" s="40">
        <v>54950.38</v>
      </c>
      <c r="P165" s="41">
        <v>76512.84854545454</v>
      </c>
      <c r="Q165" s="40">
        <v>147191.53</v>
      </c>
      <c r="R165" s="41">
        <v>85000</v>
      </c>
      <c r="S165" s="41">
        <v>160438.43</v>
      </c>
      <c r="T165" s="41">
        <v>125000</v>
      </c>
      <c r="U165" s="41">
        <v>231639.28</v>
      </c>
      <c r="V165" s="89">
        <v>152243.01</v>
      </c>
      <c r="W165" s="89">
        <v>127453.37</v>
      </c>
      <c r="X165" s="89">
        <v>191620.74</v>
      </c>
      <c r="Y165" s="41">
        <v>286975</v>
      </c>
      <c r="Z165" s="42">
        <v>198000</v>
      </c>
      <c r="AA165" s="41">
        <v>198000</v>
      </c>
    </row>
    <row r="166" spans="1:27" ht="12.75">
      <c r="A166" s="34">
        <v>311074080</v>
      </c>
      <c r="B166" s="34">
        <v>3401</v>
      </c>
      <c r="C166" s="34" t="s">
        <v>151</v>
      </c>
      <c r="D166" s="34" t="s">
        <v>142</v>
      </c>
      <c r="E166" s="35">
        <v>3500</v>
      </c>
      <c r="F166" s="35">
        <v>4590.6</v>
      </c>
      <c r="G166" s="35">
        <v>3500</v>
      </c>
      <c r="H166" s="35">
        <v>4461.25</v>
      </c>
      <c r="I166" s="35">
        <v>3500</v>
      </c>
      <c r="J166" s="36">
        <v>4500</v>
      </c>
      <c r="K166" s="35">
        <v>4019.3</v>
      </c>
      <c r="L166" s="36">
        <v>5760</v>
      </c>
      <c r="M166" s="35">
        <v>5607.6</v>
      </c>
      <c r="N166" s="36">
        <v>4800</v>
      </c>
      <c r="O166" s="35">
        <v>4602.3</v>
      </c>
      <c r="P166" s="36">
        <v>4859.541818181819</v>
      </c>
      <c r="Q166" s="35">
        <v>4398.6</v>
      </c>
      <c r="R166" s="36">
        <v>5500</v>
      </c>
      <c r="S166" s="36">
        <v>4367.3</v>
      </c>
      <c r="T166" s="36">
        <v>4500</v>
      </c>
      <c r="U166" s="36">
        <v>8434.1</v>
      </c>
      <c r="V166" s="88">
        <v>10899.06</v>
      </c>
      <c r="W166" s="88">
        <v>6494.1</v>
      </c>
      <c r="X166" s="88">
        <v>2525.88</v>
      </c>
      <c r="Y166" s="36">
        <v>5463</v>
      </c>
      <c r="Z166" s="37">
        <v>5900</v>
      </c>
      <c r="AA166" s="36">
        <v>6800</v>
      </c>
    </row>
    <row r="167" spans="1:27" ht="12.75">
      <c r="A167" s="39">
        <v>311074090</v>
      </c>
      <c r="B167" s="39">
        <v>3401</v>
      </c>
      <c r="C167" s="39" t="s">
        <v>152</v>
      </c>
      <c r="D167" s="39" t="s">
        <v>142</v>
      </c>
      <c r="E167" s="40"/>
      <c r="F167" s="40">
        <v>0</v>
      </c>
      <c r="G167" s="40"/>
      <c r="H167" s="40">
        <v>0</v>
      </c>
      <c r="I167" s="40"/>
      <c r="J167" s="41">
        <v>0</v>
      </c>
      <c r="K167" s="40">
        <v>25324</v>
      </c>
      <c r="L167" s="41"/>
      <c r="M167" s="40"/>
      <c r="N167" s="41"/>
      <c r="O167" s="40">
        <f>-1531.34+1735904.38</f>
        <v>1734373.0399999998</v>
      </c>
      <c r="P167" s="41">
        <v>0</v>
      </c>
      <c r="Q167" s="40">
        <v>1670859.61</v>
      </c>
      <c r="R167" s="41">
        <v>1900000</v>
      </c>
      <c r="S167" s="41">
        <v>1212780.87</v>
      </c>
      <c r="T167" s="41">
        <v>1545618</v>
      </c>
      <c r="U167" s="41">
        <v>1754875.85</v>
      </c>
      <c r="V167" s="89">
        <v>2153944.26</v>
      </c>
      <c r="W167" s="89">
        <v>2032200.94</v>
      </c>
      <c r="X167" s="89">
        <v>2018801.66</v>
      </c>
      <c r="Y167" s="41">
        <v>2192014</v>
      </c>
      <c r="Z167" s="42">
        <v>2069747</v>
      </c>
      <c r="AA167" s="41">
        <v>2030000</v>
      </c>
    </row>
    <row r="168" spans="1:27" ht="12.75">
      <c r="A168" s="34">
        <v>311074100</v>
      </c>
      <c r="B168" s="34">
        <v>3401</v>
      </c>
      <c r="C168" s="34" t="s">
        <v>153</v>
      </c>
      <c r="D168" s="34" t="s">
        <v>142</v>
      </c>
      <c r="E168" s="35"/>
      <c r="F168" s="35"/>
      <c r="G168" s="35"/>
      <c r="H168" s="35"/>
      <c r="I168" s="35"/>
      <c r="J168" s="36"/>
      <c r="K168" s="35"/>
      <c r="L168" s="36"/>
      <c r="M168" s="35"/>
      <c r="N168" s="36"/>
      <c r="O168" s="35"/>
      <c r="P168" s="36"/>
      <c r="Q168" s="35"/>
      <c r="R168" s="36"/>
      <c r="S168" s="36">
        <v>320546.07</v>
      </c>
      <c r="T168" s="36"/>
      <c r="U168" s="36">
        <v>317336.79</v>
      </c>
      <c r="V168" s="88">
        <v>161413.91</v>
      </c>
      <c r="W168" s="88">
        <v>212105.27</v>
      </c>
      <c r="X168" s="88">
        <v>394068.33</v>
      </c>
      <c r="Y168" s="36">
        <v>344683</v>
      </c>
      <c r="Z168" s="37">
        <v>190750</v>
      </c>
      <c r="AA168" s="36">
        <v>286000</v>
      </c>
    </row>
    <row r="169" spans="1:27" ht="12.75">
      <c r="A169" s="39">
        <v>311074300</v>
      </c>
      <c r="B169" s="39">
        <v>3401</v>
      </c>
      <c r="C169" s="39" t="s">
        <v>154</v>
      </c>
      <c r="D169" s="39" t="s">
        <v>142</v>
      </c>
      <c r="E169" s="40">
        <v>1200</v>
      </c>
      <c r="F169" s="40">
        <v>850</v>
      </c>
      <c r="G169" s="40">
        <v>1200</v>
      </c>
      <c r="H169" s="40">
        <v>750</v>
      </c>
      <c r="I169" s="40">
        <v>1000</v>
      </c>
      <c r="J169" s="41">
        <v>1000</v>
      </c>
      <c r="K169" s="40">
        <v>350</v>
      </c>
      <c r="L169" s="41">
        <v>68000</v>
      </c>
      <c r="M169" s="40">
        <v>0</v>
      </c>
      <c r="N169" s="41">
        <v>20000</v>
      </c>
      <c r="O169" s="40">
        <v>4000</v>
      </c>
      <c r="P169" s="41">
        <v>6000</v>
      </c>
      <c r="Q169" s="40">
        <v>0</v>
      </c>
      <c r="R169" s="41">
        <v>6000</v>
      </c>
      <c r="S169" s="41">
        <v>12770</v>
      </c>
      <c r="T169" s="41">
        <v>6000</v>
      </c>
      <c r="U169" s="41">
        <v>88000</v>
      </c>
      <c r="V169" s="89">
        <v>16825</v>
      </c>
      <c r="W169" s="89">
        <v>49845</v>
      </c>
      <c r="X169" s="89">
        <v>180280</v>
      </c>
      <c r="Y169" s="41">
        <v>259750</v>
      </c>
      <c r="Z169" s="42">
        <v>40000</v>
      </c>
      <c r="AA169" s="41">
        <v>119000</v>
      </c>
    </row>
    <row r="170" spans="1:27" ht="12.75">
      <c r="A170" s="34">
        <v>311074980</v>
      </c>
      <c r="B170" s="34">
        <v>3401</v>
      </c>
      <c r="C170" s="34" t="s">
        <v>155</v>
      </c>
      <c r="D170" s="34" t="s">
        <v>142</v>
      </c>
      <c r="E170" s="35">
        <v>125000</v>
      </c>
      <c r="F170" s="35">
        <v>114552.65</v>
      </c>
      <c r="G170" s="35">
        <v>125000</v>
      </c>
      <c r="H170" s="35">
        <v>141173.45</v>
      </c>
      <c r="I170" s="35">
        <v>53625</v>
      </c>
      <c r="J170" s="36">
        <v>27500</v>
      </c>
      <c r="K170" s="35">
        <v>31163.75</v>
      </c>
      <c r="L170" s="36">
        <v>184355</v>
      </c>
      <c r="M170" s="35">
        <v>0</v>
      </c>
      <c r="N170" s="36">
        <v>31000</v>
      </c>
      <c r="O170" s="35">
        <v>62478.63</v>
      </c>
      <c r="P170" s="36">
        <v>26158.52909090909</v>
      </c>
      <c r="Q170" s="35">
        <v>192272.52</v>
      </c>
      <c r="R170" s="36">
        <v>140000</v>
      </c>
      <c r="S170" s="36">
        <v>247522.37</v>
      </c>
      <c r="T170" s="36">
        <v>179220</v>
      </c>
      <c r="U170" s="36">
        <v>279686.28</v>
      </c>
      <c r="V170" s="88">
        <v>324278.59</v>
      </c>
      <c r="W170" s="88">
        <v>276927.17</v>
      </c>
      <c r="X170" s="88">
        <v>332726.31</v>
      </c>
      <c r="Y170" s="36">
        <v>338827</v>
      </c>
      <c r="Z170" s="37">
        <v>270000</v>
      </c>
      <c r="AA170" s="36">
        <v>311000</v>
      </c>
    </row>
    <row r="171" spans="1:27" ht="12.75">
      <c r="A171" s="39">
        <v>311074990</v>
      </c>
      <c r="B171" s="39">
        <v>3401</v>
      </c>
      <c r="C171" s="39" t="s">
        <v>40</v>
      </c>
      <c r="D171" s="39" t="s">
        <v>142</v>
      </c>
      <c r="E171" s="40">
        <v>25</v>
      </c>
      <c r="F171" s="40">
        <v>136184.99</v>
      </c>
      <c r="G171" s="40">
        <v>25</v>
      </c>
      <c r="H171" s="40">
        <f>40+42993.85</f>
        <v>43033.85</v>
      </c>
      <c r="I171" s="40">
        <v>25</v>
      </c>
      <c r="J171" s="41">
        <v>0</v>
      </c>
      <c r="K171" s="40">
        <f>13119.52+16201.06</f>
        <v>29320.58</v>
      </c>
      <c r="L171" s="41">
        <v>0</v>
      </c>
      <c r="M171" s="40">
        <f>89651.95+2507.68-30393.47</f>
        <v>61766.15999999999</v>
      </c>
      <c r="N171" s="41">
        <v>29671</v>
      </c>
      <c r="O171" s="40">
        <f>34655.15+0</f>
        <v>34655.15</v>
      </c>
      <c r="P171" s="41">
        <v>56938.49781818182</v>
      </c>
      <c r="Q171" s="40">
        <v>-3060.32</v>
      </c>
      <c r="R171" s="41">
        <v>30000</v>
      </c>
      <c r="S171" s="41">
        <f>2810+20667.47+3763.49</f>
        <v>27240.96</v>
      </c>
      <c r="T171" s="41"/>
      <c r="U171" s="41">
        <v>13320.31</v>
      </c>
      <c r="V171" s="89">
        <v>46234.11</v>
      </c>
      <c r="W171" s="89">
        <v>34944.31</v>
      </c>
      <c r="X171" s="89">
        <v>46181.61</v>
      </c>
      <c r="Y171" s="41">
        <v>20876</v>
      </c>
      <c r="Z171" s="42">
        <v>21894</v>
      </c>
      <c r="AA171" s="41">
        <v>32300</v>
      </c>
    </row>
    <row r="172" spans="1:27" ht="12.75">
      <c r="A172" s="34">
        <v>311078010</v>
      </c>
      <c r="B172" s="34">
        <v>3502</v>
      </c>
      <c r="C172" s="34" t="s">
        <v>41</v>
      </c>
      <c r="D172" s="34" t="s">
        <v>142</v>
      </c>
      <c r="E172" s="35">
        <v>125000</v>
      </c>
      <c r="F172" s="35">
        <v>255119.19</v>
      </c>
      <c r="G172" s="35">
        <v>125000</v>
      </c>
      <c r="H172" s="35">
        <v>31185.73</v>
      </c>
      <c r="I172" s="35">
        <v>125000</v>
      </c>
      <c r="J172" s="36">
        <v>50000</v>
      </c>
      <c r="K172" s="35">
        <v>24204.44</v>
      </c>
      <c r="L172" s="36">
        <v>90000</v>
      </c>
      <c r="M172" s="35">
        <v>11856.15</v>
      </c>
      <c r="N172" s="36">
        <v>54723</v>
      </c>
      <c r="O172" s="35">
        <v>17552.49</v>
      </c>
      <c r="P172" s="36">
        <v>36017.68272727272</v>
      </c>
      <c r="Q172" s="35">
        <v>3597.45</v>
      </c>
      <c r="R172" s="36">
        <v>15000</v>
      </c>
      <c r="S172" s="36">
        <v>2210.84</v>
      </c>
      <c r="T172" s="36">
        <v>15000</v>
      </c>
      <c r="U172" s="36">
        <v>3522.18</v>
      </c>
      <c r="V172" s="36">
        <v>12268.17</v>
      </c>
      <c r="W172" s="36">
        <v>33013.84</v>
      </c>
      <c r="X172" s="36">
        <v>60847.93</v>
      </c>
      <c r="Y172" s="36">
        <v>56170</v>
      </c>
      <c r="Z172" s="37">
        <v>33000</v>
      </c>
      <c r="AA172" s="36">
        <v>13000</v>
      </c>
    </row>
    <row r="173" spans="1:27" ht="12.75" hidden="1">
      <c r="A173" s="34">
        <v>311078240</v>
      </c>
      <c r="B173" s="34">
        <v>3503</v>
      </c>
      <c r="C173" s="34" t="s">
        <v>42</v>
      </c>
      <c r="D173" s="34" t="s">
        <v>142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6">
        <v>0</v>
      </c>
      <c r="K173" s="35"/>
      <c r="L173" s="36">
        <v>0</v>
      </c>
      <c r="M173" s="35"/>
      <c r="N173" s="36"/>
      <c r="O173" s="35">
        <v>0</v>
      </c>
      <c r="P173" s="36">
        <v>0</v>
      </c>
      <c r="Q173" s="35"/>
      <c r="R173" s="36"/>
      <c r="S173" s="36"/>
      <c r="T173" s="36"/>
      <c r="U173" s="36"/>
      <c r="V173" s="36"/>
      <c r="W173" s="36">
        <v>0</v>
      </c>
      <c r="X173" s="36"/>
      <c r="Y173" s="36"/>
      <c r="Z173" s="37"/>
      <c r="AA173" s="36"/>
    </row>
    <row r="174" spans="1:27" ht="12.75">
      <c r="A174" s="39">
        <v>311078340</v>
      </c>
      <c r="B174" s="39">
        <v>3501</v>
      </c>
      <c r="C174" s="39" t="s">
        <v>44</v>
      </c>
      <c r="D174" s="39" t="s">
        <v>142</v>
      </c>
      <c r="E174" s="40">
        <v>1500</v>
      </c>
      <c r="F174" s="40">
        <v>574.8</v>
      </c>
      <c r="G174" s="40">
        <v>1500</v>
      </c>
      <c r="H174" s="40">
        <v>547</v>
      </c>
      <c r="I174" s="40">
        <v>1500</v>
      </c>
      <c r="J174" s="41">
        <v>0</v>
      </c>
      <c r="K174" s="40">
        <v>3350</v>
      </c>
      <c r="L174" s="41">
        <v>0</v>
      </c>
      <c r="M174" s="40">
        <v>1</v>
      </c>
      <c r="N174" s="41">
        <v>3220</v>
      </c>
      <c r="O174" s="40">
        <v>0</v>
      </c>
      <c r="P174" s="41">
        <v>1815.3330909090907</v>
      </c>
      <c r="Q174" s="40"/>
      <c r="R174" s="41"/>
      <c r="S174" s="41">
        <v>1166.55</v>
      </c>
      <c r="T174" s="41"/>
      <c r="U174" s="41">
        <v>1945</v>
      </c>
      <c r="V174" s="41">
        <v>0</v>
      </c>
      <c r="W174" s="41">
        <v>1400</v>
      </c>
      <c r="X174" s="41">
        <v>68.89</v>
      </c>
      <c r="Y174" s="41">
        <v>0</v>
      </c>
      <c r="Z174" s="42">
        <v>1000</v>
      </c>
      <c r="AA174" s="41">
        <v>750</v>
      </c>
    </row>
    <row r="175" spans="1:27" ht="12.75">
      <c r="A175" s="34">
        <v>311079090</v>
      </c>
      <c r="B175" s="34">
        <v>3915</v>
      </c>
      <c r="C175" s="34" t="s">
        <v>47</v>
      </c>
      <c r="D175" s="34" t="s">
        <v>142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6">
        <v>0</v>
      </c>
      <c r="K175" s="35"/>
      <c r="L175" s="36">
        <v>312500</v>
      </c>
      <c r="M175" s="35">
        <v>56072.15</v>
      </c>
      <c r="N175" s="36">
        <v>320500</v>
      </c>
      <c r="O175" s="35">
        <v>143552</v>
      </c>
      <c r="P175" s="36">
        <v>0</v>
      </c>
      <c r="Q175" s="35"/>
      <c r="R175" s="36">
        <v>161500</v>
      </c>
      <c r="S175" s="36">
        <v>163010.5</v>
      </c>
      <c r="T175" s="36">
        <v>101000</v>
      </c>
      <c r="U175" s="36">
        <v>212843.53</v>
      </c>
      <c r="V175" s="36">
        <v>136820.8</v>
      </c>
      <c r="W175" s="36">
        <v>536281.8</v>
      </c>
      <c r="X175" s="36">
        <v>403762.73</v>
      </c>
      <c r="Y175" s="36">
        <v>353379</v>
      </c>
      <c r="Z175" s="37">
        <v>0</v>
      </c>
      <c r="AA175" s="36">
        <v>0</v>
      </c>
    </row>
    <row r="176" spans="1:27" ht="12.75">
      <c r="A176" s="39">
        <v>311079210</v>
      </c>
      <c r="B176" s="39">
        <v>3401</v>
      </c>
      <c r="C176" s="39" t="s">
        <v>48</v>
      </c>
      <c r="D176" s="39" t="s">
        <v>142</v>
      </c>
      <c r="E176" s="40">
        <v>-670468</v>
      </c>
      <c r="F176" s="40">
        <v>4739373.79</v>
      </c>
      <c r="G176" s="40">
        <v>-417968</v>
      </c>
      <c r="H176" s="40">
        <v>152605.16</v>
      </c>
      <c r="I176" s="40">
        <v>-957039</v>
      </c>
      <c r="J176" s="41">
        <v>222017</v>
      </c>
      <c r="K176" s="40">
        <v>-113932.75</v>
      </c>
      <c r="L176" s="41">
        <f>-46623-33319</f>
        <v>-79942</v>
      </c>
      <c r="M176" s="40">
        <v>528353</v>
      </c>
      <c r="N176" s="41">
        <v>759688</v>
      </c>
      <c r="O176" s="40">
        <v>439978.93</v>
      </c>
      <c r="P176" s="41">
        <v>232927</v>
      </c>
      <c r="Q176" s="40">
        <v>-174281.65</v>
      </c>
      <c r="R176" s="41">
        <v>-8113</v>
      </c>
      <c r="S176" s="41">
        <v>112903.82</v>
      </c>
      <c r="T176" s="41">
        <v>228779</v>
      </c>
      <c r="U176" s="41">
        <v>-755070.74</v>
      </c>
      <c r="V176" s="41">
        <v>-576847.01</v>
      </c>
      <c r="W176" s="41">
        <v>-271532</v>
      </c>
      <c r="X176" s="41">
        <v>-762353.15</v>
      </c>
      <c r="Y176" s="41">
        <v>0</v>
      </c>
      <c r="Z176" s="42">
        <v>204330</v>
      </c>
      <c r="AA176" s="41">
        <v>59489</v>
      </c>
    </row>
    <row r="177" spans="1:27" ht="12.75">
      <c r="A177" s="34">
        <v>312772290</v>
      </c>
      <c r="B177" s="34">
        <v>3359</v>
      </c>
      <c r="C177" s="34" t="s">
        <v>29</v>
      </c>
      <c r="D177" s="34" t="s">
        <v>156</v>
      </c>
      <c r="E177" s="35">
        <v>72452</v>
      </c>
      <c r="F177" s="35">
        <v>72451.48</v>
      </c>
      <c r="G177" s="35">
        <v>72452</v>
      </c>
      <c r="H177" s="35">
        <v>72451</v>
      </c>
      <c r="I177" s="35">
        <v>72452</v>
      </c>
      <c r="J177" s="36">
        <v>72451</v>
      </c>
      <c r="K177" s="35">
        <v>72451</v>
      </c>
      <c r="L177" s="36">
        <f>33319+72452</f>
        <v>105771</v>
      </c>
      <c r="M177" s="35">
        <v>72451</v>
      </c>
      <c r="N177" s="36">
        <v>72451</v>
      </c>
      <c r="O177" s="35">
        <v>72452</v>
      </c>
      <c r="P177" s="36">
        <v>72451</v>
      </c>
      <c r="Q177" s="35">
        <v>72451</v>
      </c>
      <c r="R177" s="36">
        <v>72451</v>
      </c>
      <c r="S177" s="36">
        <v>117299</v>
      </c>
      <c r="T177" s="36">
        <v>72452</v>
      </c>
      <c r="U177" s="36">
        <v>44848</v>
      </c>
      <c r="V177" s="36">
        <v>44848</v>
      </c>
      <c r="W177" s="36">
        <v>125356</v>
      </c>
      <c r="X177" s="36">
        <v>79711</v>
      </c>
      <c r="Y177" s="36">
        <v>78536</v>
      </c>
      <c r="Z177" s="37">
        <v>173325</v>
      </c>
      <c r="AA177" s="36">
        <v>173325</v>
      </c>
    </row>
    <row r="178" spans="1:27" ht="15">
      <c r="A178" s="39">
        <v>312778240</v>
      </c>
      <c r="B178" s="39">
        <v>3503</v>
      </c>
      <c r="C178" s="39" t="s">
        <v>42</v>
      </c>
      <c r="D178" s="39" t="s">
        <v>156</v>
      </c>
      <c r="E178" s="90">
        <v>3215</v>
      </c>
      <c r="F178" s="90">
        <v>3215.47</v>
      </c>
      <c r="G178" s="90">
        <v>3215</v>
      </c>
      <c r="H178" s="90">
        <v>3215.47</v>
      </c>
      <c r="I178" s="90">
        <v>3215</v>
      </c>
      <c r="J178" s="91">
        <v>3215</v>
      </c>
      <c r="K178" s="90">
        <v>3215.17</v>
      </c>
      <c r="L178" s="91">
        <v>3215</v>
      </c>
      <c r="M178" s="90">
        <v>3215.47</v>
      </c>
      <c r="N178" s="91">
        <v>3215</v>
      </c>
      <c r="O178" s="90">
        <v>3215.47</v>
      </c>
      <c r="P178" s="91">
        <v>3215.47</v>
      </c>
      <c r="Q178" s="90">
        <v>3215.47</v>
      </c>
      <c r="R178" s="41">
        <v>3215</v>
      </c>
      <c r="S178" s="92">
        <v>3215.47</v>
      </c>
      <c r="T178" s="92">
        <v>3215</v>
      </c>
      <c r="U178" s="92">
        <v>0</v>
      </c>
      <c r="V178" s="92">
        <v>12076.98</v>
      </c>
      <c r="W178" s="92">
        <v>10770.46</v>
      </c>
      <c r="X178" s="92">
        <v>9594.2</v>
      </c>
      <c r="Y178" s="92">
        <v>0</v>
      </c>
      <c r="Z178" s="93">
        <v>0</v>
      </c>
      <c r="AA178" s="92">
        <v>0</v>
      </c>
    </row>
    <row r="179" spans="1:27" ht="12.75">
      <c r="A179" s="34"/>
      <c r="B179" s="34"/>
      <c r="C179" s="34" t="s">
        <v>157</v>
      </c>
      <c r="D179" s="34"/>
      <c r="E179" s="36">
        <f>+SUM(E155:E178)</f>
        <v>3459374</v>
      </c>
      <c r="F179" s="36">
        <f>+SUM(F155:F178)</f>
        <v>8962133.030000001</v>
      </c>
      <c r="G179" s="36">
        <f>+SUM(G155:G178)</f>
        <v>3711874</v>
      </c>
      <c r="H179" s="36">
        <f>+SUM(H155:H178)</f>
        <v>3897505.5000000005</v>
      </c>
      <c r="I179" s="36">
        <f>+SUM(I155:I178)</f>
        <v>4474268</v>
      </c>
      <c r="J179" s="35" t="e">
        <f>#N/A</f>
        <v>#N/A</v>
      </c>
      <c r="K179" s="35" t="e">
        <f>#N/A</f>
        <v>#N/A</v>
      </c>
      <c r="L179" s="35" t="e">
        <f>#N/A</f>
        <v>#N/A</v>
      </c>
      <c r="M179" s="35" t="e">
        <f>#N/A</f>
        <v>#N/A</v>
      </c>
      <c r="N179" s="36" t="e">
        <f>#N/A</f>
        <v>#N/A</v>
      </c>
      <c r="O179" s="35">
        <f aca="true" t="shared" si="1" ref="O179:AA179">+SUM(O155:O178)</f>
        <v>4007270.0100000002</v>
      </c>
      <c r="P179" s="36">
        <f t="shared" si="1"/>
        <v>3942920.1354545453</v>
      </c>
      <c r="Q179" s="36">
        <f t="shared" si="1"/>
        <v>3778389.170000001</v>
      </c>
      <c r="R179" s="36">
        <f t="shared" si="1"/>
        <v>4163473</v>
      </c>
      <c r="S179" s="36">
        <f t="shared" si="1"/>
        <v>4089131.2099999995</v>
      </c>
      <c r="T179" s="36">
        <f t="shared" si="1"/>
        <v>4118398</v>
      </c>
      <c r="U179" s="36">
        <f t="shared" si="1"/>
        <v>3806815.2299999995</v>
      </c>
      <c r="V179" s="36">
        <f t="shared" si="1"/>
        <v>4300465.930000001</v>
      </c>
      <c r="W179" s="36">
        <f t="shared" si="1"/>
        <v>4994909.52</v>
      </c>
      <c r="X179" s="36">
        <f t="shared" si="1"/>
        <v>4886129.499999999</v>
      </c>
      <c r="Y179" s="36">
        <f t="shared" si="1"/>
        <v>6009281</v>
      </c>
      <c r="Z179" s="37">
        <f>+SUM(Z155:Z178)</f>
        <v>5246042</v>
      </c>
      <c r="AA179" s="36">
        <f t="shared" si="1"/>
        <v>5284523</v>
      </c>
    </row>
    <row r="180" spans="1:27" ht="12.75">
      <c r="A180" s="77"/>
      <c r="B180" s="77"/>
      <c r="C180" s="77"/>
      <c r="D180" s="77"/>
      <c r="E180" s="77"/>
      <c r="F180" s="77"/>
      <c r="G180" s="77"/>
      <c r="H180" s="77"/>
      <c r="I180" s="78"/>
      <c r="J180" s="77"/>
      <c r="K180" s="78"/>
      <c r="L180" s="77"/>
      <c r="M180" s="78"/>
      <c r="N180" s="36"/>
      <c r="O180" s="35"/>
      <c r="P180" s="36"/>
      <c r="Q180" s="35"/>
      <c r="R180" s="36"/>
      <c r="S180" s="36"/>
      <c r="T180" s="36"/>
      <c r="U180" s="36"/>
      <c r="V180" s="36"/>
      <c r="W180" s="36"/>
      <c r="X180" s="36"/>
      <c r="Y180" s="36"/>
      <c r="Z180" s="37"/>
      <c r="AA180" s="36"/>
    </row>
    <row r="181" spans="1:27" ht="12.75">
      <c r="A181" s="83" t="s">
        <v>158</v>
      </c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4"/>
      <c r="P181" s="85"/>
      <c r="Q181" s="84"/>
      <c r="R181" s="85"/>
      <c r="S181" s="86"/>
      <c r="T181" s="86"/>
      <c r="U181" s="86"/>
      <c r="V181" s="86"/>
      <c r="W181" s="36"/>
      <c r="X181" s="36"/>
      <c r="Y181" s="36"/>
      <c r="Z181" s="37"/>
      <c r="AA181" s="36"/>
    </row>
    <row r="182" spans="1:27" s="87" customFormat="1" ht="12.75">
      <c r="A182" s="85"/>
      <c r="B182" s="85"/>
      <c r="C182" s="85"/>
      <c r="D182" s="85"/>
      <c r="E182" s="85"/>
      <c r="F182" s="85"/>
      <c r="G182" s="85"/>
      <c r="H182" s="85"/>
      <c r="I182" s="84"/>
      <c r="J182" s="85"/>
      <c r="K182" s="84"/>
      <c r="L182" s="85"/>
      <c r="M182" s="84"/>
      <c r="N182" s="36"/>
      <c r="O182" s="35"/>
      <c r="P182" s="36"/>
      <c r="Q182" s="35"/>
      <c r="R182" s="36"/>
      <c r="S182" s="36"/>
      <c r="T182" s="36"/>
      <c r="U182" s="36"/>
      <c r="V182" s="36"/>
      <c r="W182" s="36"/>
      <c r="X182" s="36"/>
      <c r="Y182" s="36"/>
      <c r="Z182" s="94"/>
      <c r="AA182" s="79"/>
    </row>
    <row r="183" spans="1:27" s="95" customFormat="1" ht="12.75">
      <c r="A183" s="22" t="s">
        <v>0</v>
      </c>
      <c r="B183" s="22"/>
      <c r="C183" s="22" t="s">
        <v>0</v>
      </c>
      <c r="D183" s="22" t="s">
        <v>0</v>
      </c>
      <c r="E183" s="22" t="s">
        <v>1</v>
      </c>
      <c r="F183" s="22" t="s">
        <v>1</v>
      </c>
      <c r="G183" s="22" t="s">
        <v>2</v>
      </c>
      <c r="H183" s="22" t="s">
        <v>2</v>
      </c>
      <c r="I183" s="21" t="s">
        <v>3</v>
      </c>
      <c r="J183" s="22" t="s">
        <v>4</v>
      </c>
      <c r="K183" s="21" t="s">
        <v>4</v>
      </c>
      <c r="L183" s="22" t="str">
        <f>+L5</f>
        <v>2009-10</v>
      </c>
      <c r="M183" s="21" t="s">
        <v>5</v>
      </c>
      <c r="N183" s="20" t="s">
        <v>6</v>
      </c>
      <c r="O183" s="21" t="s">
        <v>6</v>
      </c>
      <c r="P183" s="20" t="s">
        <v>7</v>
      </c>
      <c r="Q183" s="21" t="s">
        <v>7</v>
      </c>
      <c r="R183" s="22" t="s">
        <v>8</v>
      </c>
      <c r="S183" s="57" t="s">
        <v>9</v>
      </c>
      <c r="T183" s="20" t="s">
        <v>9</v>
      </c>
      <c r="U183" s="57" t="s">
        <v>10</v>
      </c>
      <c r="V183" s="57" t="s">
        <v>11</v>
      </c>
      <c r="W183" s="57" t="s">
        <v>12</v>
      </c>
      <c r="X183" s="57" t="s">
        <v>13</v>
      </c>
      <c r="Y183" s="20" t="s">
        <v>14</v>
      </c>
      <c r="Z183" s="23" t="s">
        <v>15</v>
      </c>
      <c r="AA183" s="23" t="s">
        <v>16</v>
      </c>
    </row>
    <row r="184" spans="1:27" s="95" customFormat="1" ht="12.75">
      <c r="A184" s="15" t="s">
        <v>17</v>
      </c>
      <c r="B184" s="15"/>
      <c r="C184" s="15" t="s">
        <v>18</v>
      </c>
      <c r="D184" s="15" t="s">
        <v>19</v>
      </c>
      <c r="E184" s="15" t="s">
        <v>20</v>
      </c>
      <c r="F184" s="15" t="s">
        <v>21</v>
      </c>
      <c r="G184" s="15" t="s">
        <v>20</v>
      </c>
      <c r="H184" s="15" t="s">
        <v>21</v>
      </c>
      <c r="I184" s="16" t="s">
        <v>20</v>
      </c>
      <c r="J184" s="16" t="s">
        <v>20</v>
      </c>
      <c r="K184" s="16" t="s">
        <v>21</v>
      </c>
      <c r="L184" s="16" t="str">
        <f>+L154</f>
        <v>Budget</v>
      </c>
      <c r="M184" s="16" t="s">
        <v>21</v>
      </c>
      <c r="N184" s="16" t="s">
        <v>20</v>
      </c>
      <c r="O184" s="16" t="s">
        <v>21</v>
      </c>
      <c r="P184" s="16" t="s">
        <v>20</v>
      </c>
      <c r="Q184" s="16" t="s">
        <v>21</v>
      </c>
      <c r="R184" s="16" t="s">
        <v>20</v>
      </c>
      <c r="S184" s="17" t="s">
        <v>21</v>
      </c>
      <c r="T184" s="18" t="s">
        <v>20</v>
      </c>
      <c r="U184" s="17" t="s">
        <v>21</v>
      </c>
      <c r="V184" s="17" t="s">
        <v>21</v>
      </c>
      <c r="W184" s="17" t="s">
        <v>21</v>
      </c>
      <c r="X184" s="17" t="s">
        <v>21</v>
      </c>
      <c r="Y184" s="18" t="s">
        <v>21</v>
      </c>
      <c r="Z184" s="59" t="s">
        <v>20</v>
      </c>
      <c r="AA184" s="18" t="s">
        <v>20</v>
      </c>
    </row>
    <row r="185" spans="1:27" s="95" customFormat="1" ht="12.75">
      <c r="A185" s="39">
        <v>320171200</v>
      </c>
      <c r="B185" s="39">
        <v>3189</v>
      </c>
      <c r="C185" s="39" t="s">
        <v>159</v>
      </c>
      <c r="D185" s="39" t="s">
        <v>160</v>
      </c>
      <c r="E185" s="40">
        <v>305000</v>
      </c>
      <c r="F185" s="40">
        <v>329127.35</v>
      </c>
      <c r="G185" s="40">
        <v>305000</v>
      </c>
      <c r="H185" s="40">
        <v>201000</v>
      </c>
      <c r="I185" s="40">
        <v>305000</v>
      </c>
      <c r="J185" s="41">
        <v>60000</v>
      </c>
      <c r="K185" s="40">
        <v>140229.07</v>
      </c>
      <c r="L185" s="41">
        <v>247500</v>
      </c>
      <c r="M185" s="40">
        <v>289714.87</v>
      </c>
      <c r="N185" s="41">
        <v>280000</v>
      </c>
      <c r="O185" s="40">
        <v>345075.06</v>
      </c>
      <c r="P185" s="41">
        <v>300000</v>
      </c>
      <c r="Q185" s="40">
        <v>321070.4</v>
      </c>
      <c r="R185" s="41">
        <v>300000</v>
      </c>
      <c r="S185" s="41">
        <v>243003.99</v>
      </c>
      <c r="T185" s="41">
        <v>272000</v>
      </c>
      <c r="U185" s="41">
        <v>302102</v>
      </c>
      <c r="V185" s="41">
        <v>274591.9</v>
      </c>
      <c r="W185" s="41">
        <v>205456.29</v>
      </c>
      <c r="X185" s="41">
        <v>139682.73</v>
      </c>
      <c r="Y185" s="41">
        <v>133398</v>
      </c>
      <c r="Z185" s="42">
        <v>150000</v>
      </c>
      <c r="AA185" s="41">
        <v>150000</v>
      </c>
    </row>
    <row r="186" spans="1:27" s="13" customFormat="1" ht="12.75">
      <c r="A186" s="34">
        <v>320174990</v>
      </c>
      <c r="B186" s="34">
        <v>3401</v>
      </c>
      <c r="C186" s="34" t="s">
        <v>161</v>
      </c>
      <c r="D186" s="34" t="s">
        <v>160</v>
      </c>
      <c r="E186" s="35">
        <v>2000</v>
      </c>
      <c r="F186" s="35">
        <v>440</v>
      </c>
      <c r="G186" s="35">
        <v>2000</v>
      </c>
      <c r="H186" s="35">
        <v>0</v>
      </c>
      <c r="I186" s="35">
        <v>1500</v>
      </c>
      <c r="J186" s="36">
        <v>1500</v>
      </c>
      <c r="K186" s="35">
        <v>0</v>
      </c>
      <c r="L186" s="36">
        <v>1500</v>
      </c>
      <c r="M186" s="35">
        <v>154.92</v>
      </c>
      <c r="N186" s="36"/>
      <c r="O186" s="35">
        <v>11609</v>
      </c>
      <c r="P186" s="36">
        <v>64</v>
      </c>
      <c r="Q186" s="35">
        <v>3154.65</v>
      </c>
      <c r="R186" s="36">
        <v>64</v>
      </c>
      <c r="S186" s="36">
        <v>75</v>
      </c>
      <c r="T186" s="36">
        <v>3000</v>
      </c>
      <c r="U186" s="36">
        <v>0</v>
      </c>
      <c r="V186" s="36">
        <v>0</v>
      </c>
      <c r="W186" s="36">
        <v>0</v>
      </c>
      <c r="X186" s="36">
        <v>0</v>
      </c>
      <c r="Y186" s="20">
        <v>0</v>
      </c>
      <c r="Z186" s="23"/>
      <c r="AA186" s="20">
        <v>0</v>
      </c>
    </row>
    <row r="187" spans="1:27" s="13" customFormat="1" ht="12.75">
      <c r="A187" s="39">
        <v>320178010</v>
      </c>
      <c r="B187" s="39">
        <v>3502</v>
      </c>
      <c r="C187" s="39" t="s">
        <v>41</v>
      </c>
      <c r="D187" s="39" t="s">
        <v>160</v>
      </c>
      <c r="E187" s="40">
        <v>8500</v>
      </c>
      <c r="F187" s="40">
        <v>21121.6</v>
      </c>
      <c r="G187" s="40">
        <v>8500</v>
      </c>
      <c r="H187" s="40">
        <v>28389.88</v>
      </c>
      <c r="I187" s="40">
        <v>9000</v>
      </c>
      <c r="J187" s="41">
        <v>30000</v>
      </c>
      <c r="K187" s="40">
        <v>8588.97</v>
      </c>
      <c r="L187" s="41">
        <v>20000</v>
      </c>
      <c r="M187" s="40">
        <v>4087.04</v>
      </c>
      <c r="N187" s="41">
        <v>10000</v>
      </c>
      <c r="O187" s="40">
        <v>2008.66</v>
      </c>
      <c r="P187" s="41">
        <v>4000</v>
      </c>
      <c r="Q187" s="40">
        <v>1164.11</v>
      </c>
      <c r="R187" s="41">
        <v>3500</v>
      </c>
      <c r="S187" s="41">
        <v>749.75</v>
      </c>
      <c r="T187" s="41">
        <v>1200</v>
      </c>
      <c r="U187" s="41">
        <v>1719.93</v>
      </c>
      <c r="V187" s="41">
        <v>3993.45</v>
      </c>
      <c r="W187" s="41">
        <v>9970.19</v>
      </c>
      <c r="X187" s="41">
        <v>14819.52</v>
      </c>
      <c r="Y187" s="54">
        <v>8077</v>
      </c>
      <c r="Z187" s="55">
        <v>10000</v>
      </c>
      <c r="AA187" s="54">
        <v>5000</v>
      </c>
    </row>
    <row r="188" spans="1:27" ht="12.75" hidden="1">
      <c r="A188" s="34">
        <v>320178240</v>
      </c>
      <c r="B188" s="34">
        <v>3503</v>
      </c>
      <c r="C188" s="34" t="s">
        <v>42</v>
      </c>
      <c r="D188" s="34" t="s">
        <v>160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6">
        <v>0</v>
      </c>
      <c r="K188" s="35">
        <v>0</v>
      </c>
      <c r="L188" s="36">
        <v>0</v>
      </c>
      <c r="M188" s="35"/>
      <c r="N188" s="36"/>
      <c r="O188" s="35">
        <v>0</v>
      </c>
      <c r="P188" s="36">
        <v>0</v>
      </c>
      <c r="Q188" s="35">
        <v>0</v>
      </c>
      <c r="R188" s="36">
        <v>0</v>
      </c>
      <c r="S188" s="36"/>
      <c r="T188" s="36">
        <v>0</v>
      </c>
      <c r="U188" s="36"/>
      <c r="V188" s="36"/>
      <c r="W188" s="36"/>
      <c r="X188" s="36"/>
      <c r="Y188" s="36"/>
      <c r="Z188" s="37"/>
      <c r="AA188" s="36"/>
    </row>
    <row r="189" spans="1:27" ht="15">
      <c r="A189" s="34">
        <v>320179210</v>
      </c>
      <c r="B189" s="34">
        <v>3401</v>
      </c>
      <c r="C189" s="34" t="s">
        <v>48</v>
      </c>
      <c r="D189" s="34" t="s">
        <v>160</v>
      </c>
      <c r="E189" s="96">
        <v>-95901</v>
      </c>
      <c r="F189" s="96">
        <v>-94010.24</v>
      </c>
      <c r="G189" s="96">
        <v>-90259</v>
      </c>
      <c r="H189" s="96">
        <v>-57966.45</v>
      </c>
      <c r="I189" s="96">
        <v>-34017</v>
      </c>
      <c r="J189" s="97">
        <f>300000-24260</f>
        <v>275740</v>
      </c>
      <c r="K189" s="96">
        <v>174660.22</v>
      </c>
      <c r="L189" s="97">
        <v>23449</v>
      </c>
      <c r="M189" s="96">
        <f>-293956.83+239865.28</f>
        <v>-54091.55000000002</v>
      </c>
      <c r="N189" s="97">
        <v>247177</v>
      </c>
      <c r="O189" s="96">
        <f>0.27+243161.28</f>
        <v>243161.55</v>
      </c>
      <c r="P189" s="97">
        <v>9239</v>
      </c>
      <c r="Q189" s="96">
        <v>-28061.43</v>
      </c>
      <c r="R189" s="97">
        <v>1675</v>
      </c>
      <c r="S189" s="97">
        <v>44974.88</v>
      </c>
      <c r="T189" s="97">
        <v>2811</v>
      </c>
      <c r="U189" s="97">
        <v>-76681.98</v>
      </c>
      <c r="V189" s="97">
        <v>-33351.24</v>
      </c>
      <c r="W189" s="97">
        <v>-2387</v>
      </c>
      <c r="X189" s="97">
        <v>127491</v>
      </c>
      <c r="Y189" s="98">
        <v>0</v>
      </c>
      <c r="Z189" s="99">
        <v>149677</v>
      </c>
      <c r="AA189" s="98">
        <v>175460</v>
      </c>
    </row>
    <row r="190" spans="1:27" ht="12.75">
      <c r="A190" s="34"/>
      <c r="B190" s="34"/>
      <c r="C190" s="34" t="s">
        <v>162</v>
      </c>
      <c r="D190" s="34"/>
      <c r="E190" s="36">
        <f>SUM(E185:E189)</f>
        <v>219599</v>
      </c>
      <c r="F190" s="36">
        <f>SUM(F185:F189)</f>
        <v>256678.70999999996</v>
      </c>
      <c r="G190" s="36">
        <f>SUM(G185:G189)</f>
        <v>225241</v>
      </c>
      <c r="H190" s="36">
        <f>SUM(H185:H189)</f>
        <v>171423.43</v>
      </c>
      <c r="I190" s="36">
        <f>SUM(I185:I189)</f>
        <v>281483</v>
      </c>
      <c r="J190" s="35" t="e">
        <f>#N/A</f>
        <v>#N/A</v>
      </c>
      <c r="K190" s="35" t="e">
        <f>#N/A</f>
        <v>#N/A</v>
      </c>
      <c r="L190" s="35" t="e">
        <f>#N/A</f>
        <v>#N/A</v>
      </c>
      <c r="M190" s="35" t="e">
        <f>#N/A</f>
        <v>#N/A</v>
      </c>
      <c r="N190" s="35" t="e">
        <f>#N/A</f>
        <v>#N/A</v>
      </c>
      <c r="O190" s="35">
        <f aca="true" t="shared" si="2" ref="O190:Y190">SUM(O185:O189)</f>
        <v>601854.27</v>
      </c>
      <c r="P190" s="35">
        <f t="shared" si="2"/>
        <v>313303</v>
      </c>
      <c r="Q190" s="35">
        <f t="shared" si="2"/>
        <v>297327.73000000004</v>
      </c>
      <c r="R190" s="35">
        <f t="shared" si="2"/>
        <v>305239</v>
      </c>
      <c r="S190" s="36">
        <f t="shared" si="2"/>
        <v>288803.62</v>
      </c>
      <c r="T190" s="36">
        <f t="shared" si="2"/>
        <v>279011</v>
      </c>
      <c r="U190" s="36">
        <f t="shared" si="2"/>
        <v>227139.95</v>
      </c>
      <c r="V190" s="36">
        <f t="shared" si="2"/>
        <v>245234.11000000004</v>
      </c>
      <c r="W190" s="36">
        <f t="shared" si="2"/>
        <v>213039.48</v>
      </c>
      <c r="X190" s="36">
        <f t="shared" si="2"/>
        <v>281993.25</v>
      </c>
      <c r="Y190" s="36">
        <f t="shared" si="2"/>
        <v>141475</v>
      </c>
      <c r="Z190" s="37">
        <f>SUM(Z185:Z189)</f>
        <v>309677</v>
      </c>
      <c r="AA190" s="36">
        <f>SUM(AA185:AA189)</f>
        <v>330460</v>
      </c>
    </row>
    <row r="191" spans="1:27" ht="12.75">
      <c r="A191" s="100"/>
      <c r="B191" s="100"/>
      <c r="C191" s="100"/>
      <c r="D191" s="100"/>
      <c r="E191" s="100"/>
      <c r="F191" s="100"/>
      <c r="G191" s="100"/>
      <c r="H191" s="100"/>
      <c r="I191" s="101"/>
      <c r="J191" s="100"/>
      <c r="K191" s="101"/>
      <c r="L191" s="100"/>
      <c r="M191" s="101"/>
      <c r="N191" s="36"/>
      <c r="O191" s="35"/>
      <c r="P191" s="36"/>
      <c r="Q191" s="35"/>
      <c r="R191" s="36"/>
      <c r="S191" s="36"/>
      <c r="T191" s="36"/>
      <c r="U191" s="36"/>
      <c r="V191" s="36"/>
      <c r="W191" s="36"/>
      <c r="X191" s="36"/>
      <c r="Y191" s="36"/>
      <c r="Z191" s="37"/>
      <c r="AA191" s="36"/>
    </row>
    <row r="192" spans="1:27" ht="12.75">
      <c r="A192" s="83" t="s">
        <v>163</v>
      </c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4"/>
      <c r="P192" s="85"/>
      <c r="Q192" s="84"/>
      <c r="R192" s="85"/>
      <c r="S192" s="86"/>
      <c r="T192" s="86"/>
      <c r="U192" s="86"/>
      <c r="V192" s="86"/>
      <c r="W192" s="36"/>
      <c r="X192" s="36"/>
      <c r="Y192" s="36"/>
      <c r="Z192" s="37"/>
      <c r="AA192" s="36"/>
    </row>
    <row r="193" spans="1:27" ht="12.75">
      <c r="A193" s="100"/>
      <c r="B193" s="100"/>
      <c r="C193" s="100"/>
      <c r="D193" s="100"/>
      <c r="E193" s="100"/>
      <c r="F193" s="100"/>
      <c r="G193" s="100"/>
      <c r="H193" s="100"/>
      <c r="I193" s="101"/>
      <c r="J193" s="100"/>
      <c r="K193" s="101"/>
      <c r="L193" s="100"/>
      <c r="M193" s="101"/>
      <c r="N193" s="36"/>
      <c r="O193" s="35"/>
      <c r="P193" s="36"/>
      <c r="Q193" s="35"/>
      <c r="R193" s="36"/>
      <c r="S193" s="36"/>
      <c r="T193" s="36"/>
      <c r="U193" s="36"/>
      <c r="V193" s="36"/>
      <c r="W193" s="36"/>
      <c r="X193" s="36"/>
      <c r="Y193" s="36"/>
      <c r="Z193" s="37"/>
      <c r="AA193" s="36"/>
    </row>
    <row r="194" spans="1:27" ht="12.75">
      <c r="A194" s="22" t="s">
        <v>0</v>
      </c>
      <c r="B194" s="22"/>
      <c r="C194" s="22" t="s">
        <v>0</v>
      </c>
      <c r="D194" s="22" t="s">
        <v>0</v>
      </c>
      <c r="E194" s="22" t="s">
        <v>1</v>
      </c>
      <c r="F194" s="22" t="s">
        <v>1</v>
      </c>
      <c r="G194" s="22" t="s">
        <v>2</v>
      </c>
      <c r="H194" s="22" t="s">
        <v>2</v>
      </c>
      <c r="I194" s="21" t="s">
        <v>3</v>
      </c>
      <c r="J194" s="22" t="s">
        <v>4</v>
      </c>
      <c r="K194" s="21" t="s">
        <v>4</v>
      </c>
      <c r="L194" s="22" t="str">
        <f>+L183</f>
        <v>2009-10</v>
      </c>
      <c r="M194" s="21" t="s">
        <v>5</v>
      </c>
      <c r="N194" s="20" t="s">
        <v>6</v>
      </c>
      <c r="O194" s="21" t="s">
        <v>6</v>
      </c>
      <c r="P194" s="20" t="s">
        <v>7</v>
      </c>
      <c r="Q194" s="21" t="s">
        <v>7</v>
      </c>
      <c r="R194" s="22" t="s">
        <v>8</v>
      </c>
      <c r="S194" s="57" t="s">
        <v>9</v>
      </c>
      <c r="T194" s="20" t="s">
        <v>9</v>
      </c>
      <c r="U194" s="57" t="s">
        <v>10</v>
      </c>
      <c r="V194" s="57" t="s">
        <v>11</v>
      </c>
      <c r="W194" s="57" t="s">
        <v>12</v>
      </c>
      <c r="X194" s="57" t="s">
        <v>13</v>
      </c>
      <c r="Y194" s="20" t="s">
        <v>14</v>
      </c>
      <c r="Z194" s="23" t="s">
        <v>15</v>
      </c>
      <c r="AA194" s="23" t="s">
        <v>16</v>
      </c>
    </row>
    <row r="195" spans="1:27" ht="12.75">
      <c r="A195" s="15" t="s">
        <v>17</v>
      </c>
      <c r="B195" s="15"/>
      <c r="C195" s="15" t="s">
        <v>18</v>
      </c>
      <c r="D195" s="15" t="s">
        <v>19</v>
      </c>
      <c r="E195" s="15" t="s">
        <v>20</v>
      </c>
      <c r="F195" s="15" t="s">
        <v>21</v>
      </c>
      <c r="G195" s="15" t="s">
        <v>20</v>
      </c>
      <c r="H195" s="15" t="s">
        <v>21</v>
      </c>
      <c r="I195" s="16" t="s">
        <v>20</v>
      </c>
      <c r="J195" s="16" t="s">
        <v>20</v>
      </c>
      <c r="K195" s="16" t="s">
        <v>21</v>
      </c>
      <c r="L195" s="16" t="str">
        <f>+L184</f>
        <v>Budget</v>
      </c>
      <c r="M195" s="16" t="s">
        <v>21</v>
      </c>
      <c r="N195" s="16" t="s">
        <v>20</v>
      </c>
      <c r="O195" s="16" t="s">
        <v>21</v>
      </c>
      <c r="P195" s="16" t="s">
        <v>20</v>
      </c>
      <c r="Q195" s="16" t="s">
        <v>21</v>
      </c>
      <c r="R195" s="16" t="s">
        <v>20</v>
      </c>
      <c r="S195" s="17" t="s">
        <v>21</v>
      </c>
      <c r="T195" s="18" t="s">
        <v>20</v>
      </c>
      <c r="U195" s="17" t="s">
        <v>21</v>
      </c>
      <c r="V195" s="17" t="s">
        <v>21</v>
      </c>
      <c r="W195" s="17" t="s">
        <v>21</v>
      </c>
      <c r="X195" s="17" t="s">
        <v>21</v>
      </c>
      <c r="Y195" s="18" t="s">
        <v>21</v>
      </c>
      <c r="Z195" s="59" t="s">
        <v>20</v>
      </c>
      <c r="AA195" s="18" t="s">
        <v>20</v>
      </c>
    </row>
    <row r="196" spans="1:27" ht="12.75">
      <c r="A196" s="39">
        <v>330174360</v>
      </c>
      <c r="B196" s="39">
        <v>3401</v>
      </c>
      <c r="C196" s="39" t="s">
        <v>164</v>
      </c>
      <c r="D196" s="39" t="s">
        <v>165</v>
      </c>
      <c r="E196" s="40">
        <v>45875</v>
      </c>
      <c r="F196" s="40">
        <v>47014</v>
      </c>
      <c r="G196" s="40">
        <v>57875</v>
      </c>
      <c r="H196" s="40">
        <v>59238</v>
      </c>
      <c r="I196" s="40">
        <v>72185</v>
      </c>
      <c r="J196" s="41">
        <v>72185</v>
      </c>
      <c r="K196" s="40">
        <v>72465</v>
      </c>
      <c r="L196" s="41">
        <v>75725</v>
      </c>
      <c r="M196" s="40">
        <v>78257</v>
      </c>
      <c r="N196" s="41">
        <v>86480</v>
      </c>
      <c r="O196" s="40">
        <v>87095</v>
      </c>
      <c r="P196" s="41">
        <v>86204</v>
      </c>
      <c r="Q196" s="40">
        <v>86684.54</v>
      </c>
      <c r="R196" s="41">
        <v>85305</v>
      </c>
      <c r="S196" s="41">
        <v>88725</v>
      </c>
      <c r="T196" s="41">
        <v>85386</v>
      </c>
      <c r="U196" s="41">
        <v>86051</v>
      </c>
      <c r="V196" s="41">
        <v>86539</v>
      </c>
      <c r="W196" s="41">
        <v>101216</v>
      </c>
      <c r="X196" s="41">
        <v>100674</v>
      </c>
      <c r="Y196" s="41">
        <v>89470</v>
      </c>
      <c r="Z196" s="42">
        <v>91763</v>
      </c>
      <c r="AA196" s="41">
        <v>101839</v>
      </c>
    </row>
    <row r="197" spans="1:27" s="13" customFormat="1" ht="12.75" hidden="1">
      <c r="A197" s="34">
        <v>330174370</v>
      </c>
      <c r="B197" s="34">
        <v>3401</v>
      </c>
      <c r="C197" s="34" t="s">
        <v>166</v>
      </c>
      <c r="D197" s="34" t="s">
        <v>165</v>
      </c>
      <c r="E197" s="35">
        <v>25</v>
      </c>
      <c r="F197" s="35">
        <v>32.65</v>
      </c>
      <c r="G197" s="35">
        <v>25</v>
      </c>
      <c r="H197" s="35">
        <v>77.83</v>
      </c>
      <c r="I197" s="35">
        <v>25</v>
      </c>
      <c r="J197" s="36">
        <v>25</v>
      </c>
      <c r="K197" s="35">
        <v>138.55</v>
      </c>
      <c r="L197" s="36">
        <v>25</v>
      </c>
      <c r="M197" s="35">
        <v>164.36</v>
      </c>
      <c r="N197" s="36">
        <v>100</v>
      </c>
      <c r="O197" s="35">
        <v>94.06</v>
      </c>
      <c r="P197" s="36">
        <v>134</v>
      </c>
      <c r="Q197" s="35">
        <v>0</v>
      </c>
      <c r="R197" s="36">
        <v>134</v>
      </c>
      <c r="S197" s="36"/>
      <c r="T197" s="36">
        <v>0</v>
      </c>
      <c r="U197" s="36"/>
      <c r="V197" s="36"/>
      <c r="W197" s="36"/>
      <c r="X197" s="36"/>
      <c r="Y197" s="20"/>
      <c r="Z197" s="23"/>
      <c r="AA197" s="20"/>
    </row>
    <row r="198" spans="1:27" s="13" customFormat="1" ht="12.75">
      <c r="A198" s="34">
        <v>330178010</v>
      </c>
      <c r="B198" s="34">
        <v>3502</v>
      </c>
      <c r="C198" s="34" t="s">
        <v>41</v>
      </c>
      <c r="D198" s="34" t="s">
        <v>165</v>
      </c>
      <c r="E198" s="35">
        <v>1000</v>
      </c>
      <c r="F198" s="35">
        <v>1488.06</v>
      </c>
      <c r="G198" s="35">
        <v>1000</v>
      </c>
      <c r="H198" s="35">
        <v>1855.63</v>
      </c>
      <c r="I198" s="35">
        <v>1000</v>
      </c>
      <c r="J198" s="36">
        <v>2000</v>
      </c>
      <c r="K198" s="35">
        <v>443.91</v>
      </c>
      <c r="L198" s="36">
        <v>2000</v>
      </c>
      <c r="M198" s="35">
        <v>113.73</v>
      </c>
      <c r="N198" s="36">
        <v>500</v>
      </c>
      <c r="O198" s="35">
        <v>303.49</v>
      </c>
      <c r="P198" s="36">
        <v>742</v>
      </c>
      <c r="Q198" s="35">
        <v>30.11</v>
      </c>
      <c r="R198" s="36">
        <v>150</v>
      </c>
      <c r="S198" s="36">
        <v>79.83</v>
      </c>
      <c r="T198" s="36">
        <v>150</v>
      </c>
      <c r="U198" s="36">
        <v>221.65</v>
      </c>
      <c r="V198" s="36">
        <v>443.08</v>
      </c>
      <c r="W198" s="36">
        <v>1243.54</v>
      </c>
      <c r="X198" s="36">
        <v>2266.36</v>
      </c>
      <c r="Y198" s="20">
        <v>1501</v>
      </c>
      <c r="Z198" s="23">
        <v>1500</v>
      </c>
      <c r="AA198" s="20">
        <v>750</v>
      </c>
    </row>
    <row r="199" spans="1:27" ht="15">
      <c r="A199" s="39">
        <v>330179210</v>
      </c>
      <c r="B199" s="39">
        <v>3401</v>
      </c>
      <c r="C199" s="39" t="s">
        <v>48</v>
      </c>
      <c r="D199" s="39" t="s">
        <v>165</v>
      </c>
      <c r="E199" s="102">
        <v>12000</v>
      </c>
      <c r="F199" s="102">
        <v>7626.99</v>
      </c>
      <c r="G199" s="102">
        <v>0</v>
      </c>
      <c r="H199" s="102">
        <v>-3590.7</v>
      </c>
      <c r="I199" s="102">
        <v>0</v>
      </c>
      <c r="J199" s="92">
        <v>-1000</v>
      </c>
      <c r="K199" s="102">
        <v>-1190.08</v>
      </c>
      <c r="L199" s="92">
        <v>0</v>
      </c>
      <c r="M199" s="102">
        <v>-9481.1</v>
      </c>
      <c r="N199" s="92">
        <v>0</v>
      </c>
      <c r="O199" s="102">
        <f>-8327.55+0.32</f>
        <v>-8327.23</v>
      </c>
      <c r="P199" s="91">
        <v>0</v>
      </c>
      <c r="Q199" s="90">
        <v>-3208.97</v>
      </c>
      <c r="R199" s="91">
        <v>0</v>
      </c>
      <c r="S199" s="91">
        <v>-793.79</v>
      </c>
      <c r="T199" s="91">
        <v>2954</v>
      </c>
      <c r="U199" s="91">
        <v>-2738.24</v>
      </c>
      <c r="V199" s="92">
        <v>-2533.28</v>
      </c>
      <c r="W199" s="92">
        <v>-14076</v>
      </c>
      <c r="X199" s="92">
        <v>-9677.4</v>
      </c>
      <c r="Y199" s="92">
        <v>0</v>
      </c>
      <c r="Z199" s="93">
        <v>0</v>
      </c>
      <c r="AA199" s="92">
        <v>0</v>
      </c>
    </row>
    <row r="200" spans="1:27" ht="12.75">
      <c r="A200" s="100"/>
      <c r="B200" s="100"/>
      <c r="C200" s="103" t="s">
        <v>167</v>
      </c>
      <c r="D200" s="100"/>
      <c r="E200" s="57">
        <f>SUM(E196:E199)</f>
        <v>58900</v>
      </c>
      <c r="F200" s="57">
        <f>SUM(F196:F199)</f>
        <v>56161.7</v>
      </c>
      <c r="G200" s="57">
        <f>SUM(G196:G199)</f>
        <v>58900</v>
      </c>
      <c r="H200" s="57">
        <f>SUM(H196:H199)</f>
        <v>57580.76</v>
      </c>
      <c r="I200" s="57">
        <f>SUM(I196:I199)</f>
        <v>73210</v>
      </c>
      <c r="J200" s="57" t="e">
        <f>#N/A</f>
        <v>#N/A</v>
      </c>
      <c r="K200" s="101" t="e">
        <f>#N/A</f>
        <v>#N/A</v>
      </c>
      <c r="L200" s="57" t="e">
        <f>#N/A</f>
        <v>#N/A</v>
      </c>
      <c r="M200" s="101" t="e">
        <f>#N/A</f>
        <v>#N/A</v>
      </c>
      <c r="N200" s="101" t="e">
        <f>#N/A</f>
        <v>#N/A</v>
      </c>
      <c r="O200" s="101">
        <f aca="true" t="shared" si="3" ref="O200:Y200">SUM(O196:O199)</f>
        <v>79165.32</v>
      </c>
      <c r="P200" s="57">
        <f t="shared" si="3"/>
        <v>87080</v>
      </c>
      <c r="Q200" s="57">
        <f t="shared" si="3"/>
        <v>83505.68</v>
      </c>
      <c r="R200" s="57">
        <f t="shared" si="3"/>
        <v>85589</v>
      </c>
      <c r="S200" s="57">
        <f t="shared" si="3"/>
        <v>88011.04000000001</v>
      </c>
      <c r="T200" s="57">
        <f t="shared" si="3"/>
        <v>88490</v>
      </c>
      <c r="U200" s="57">
        <f t="shared" si="3"/>
        <v>83534.40999999999</v>
      </c>
      <c r="V200" s="57">
        <f t="shared" si="3"/>
        <v>84448.8</v>
      </c>
      <c r="W200" s="57">
        <f t="shared" si="3"/>
        <v>88383.54</v>
      </c>
      <c r="X200" s="57">
        <f t="shared" si="3"/>
        <v>93262.96</v>
      </c>
      <c r="Y200" s="57">
        <f t="shared" si="3"/>
        <v>90971</v>
      </c>
      <c r="Z200" s="104">
        <f>SUM(Z196:Z199)</f>
        <v>93263</v>
      </c>
      <c r="AA200" s="57">
        <f>SUM(AA196:AA199)</f>
        <v>102589</v>
      </c>
    </row>
    <row r="201" spans="1:27" ht="12.75">
      <c r="A201" s="100"/>
      <c r="B201" s="100"/>
      <c r="C201" s="100"/>
      <c r="D201" s="100"/>
      <c r="E201" s="57"/>
      <c r="F201" s="57"/>
      <c r="G201" s="57"/>
      <c r="H201" s="57"/>
      <c r="I201" s="57"/>
      <c r="J201" s="57"/>
      <c r="K201" s="101"/>
      <c r="L201" s="57"/>
      <c r="M201" s="101"/>
      <c r="N201" s="101"/>
      <c r="O201" s="101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104"/>
      <c r="AA201" s="57"/>
    </row>
    <row r="202" spans="1:27" ht="12.75">
      <c r="A202" s="83" t="s">
        <v>168</v>
      </c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4"/>
      <c r="P202" s="85"/>
      <c r="Q202" s="84"/>
      <c r="R202" s="85"/>
      <c r="S202" s="86"/>
      <c r="T202" s="86"/>
      <c r="U202" s="86"/>
      <c r="V202" s="86"/>
      <c r="W202" s="36"/>
      <c r="X202" s="36"/>
      <c r="Y202" s="36"/>
      <c r="Z202" s="37"/>
      <c r="AA202" s="36"/>
    </row>
    <row r="203" spans="1:27" ht="12.75">
      <c r="A203" s="85"/>
      <c r="B203" s="85"/>
      <c r="C203" s="85"/>
      <c r="D203" s="85"/>
      <c r="E203" s="85"/>
      <c r="F203" s="85"/>
      <c r="G203" s="85"/>
      <c r="H203" s="85"/>
      <c r="I203" s="84"/>
      <c r="J203" s="85"/>
      <c r="K203" s="84"/>
      <c r="L203" s="85"/>
      <c r="M203" s="84"/>
      <c r="N203" s="36"/>
      <c r="O203" s="35"/>
      <c r="P203" s="36"/>
      <c r="Q203" s="35"/>
      <c r="R203" s="36"/>
      <c r="S203" s="36"/>
      <c r="T203" s="36"/>
      <c r="U203" s="36"/>
      <c r="V203" s="36"/>
      <c r="W203" s="36"/>
      <c r="X203" s="36"/>
      <c r="Y203" s="36"/>
      <c r="Z203" s="37"/>
      <c r="AA203" s="36"/>
    </row>
    <row r="204" spans="1:27" s="105" customFormat="1" ht="12.75">
      <c r="A204" s="83" t="s">
        <v>169</v>
      </c>
      <c r="B204" s="83"/>
      <c r="C204" s="83"/>
      <c r="D204" s="83"/>
      <c r="E204" s="83"/>
      <c r="F204" s="85"/>
      <c r="G204" s="85"/>
      <c r="H204" s="85"/>
      <c r="I204" s="84"/>
      <c r="J204" s="85"/>
      <c r="K204" s="84"/>
      <c r="L204" s="85"/>
      <c r="M204" s="84"/>
      <c r="N204" s="36"/>
      <c r="O204" s="35"/>
      <c r="P204" s="36"/>
      <c r="Q204" s="35"/>
      <c r="R204" s="36"/>
      <c r="S204" s="36"/>
      <c r="T204" s="36"/>
      <c r="U204" s="36"/>
      <c r="V204" s="36"/>
      <c r="W204" s="36"/>
      <c r="X204" s="36"/>
      <c r="Y204" s="36"/>
      <c r="Z204" s="104"/>
      <c r="AA204" s="57"/>
    </row>
    <row r="205" spans="1:27" ht="12.75">
      <c r="A205" s="22" t="s">
        <v>0</v>
      </c>
      <c r="B205" s="22"/>
      <c r="C205" s="22" t="s">
        <v>0</v>
      </c>
      <c r="D205" s="22" t="s">
        <v>0</v>
      </c>
      <c r="E205" s="22" t="s">
        <v>1</v>
      </c>
      <c r="F205" s="22" t="s">
        <v>1</v>
      </c>
      <c r="G205" s="22" t="s">
        <v>2</v>
      </c>
      <c r="H205" s="22" t="s">
        <v>2</v>
      </c>
      <c r="I205" s="21" t="s">
        <v>3</v>
      </c>
      <c r="J205" s="22" t="s">
        <v>4</v>
      </c>
      <c r="K205" s="21" t="s">
        <v>4</v>
      </c>
      <c r="L205" s="22" t="str">
        <f>+L194</f>
        <v>2009-10</v>
      </c>
      <c r="M205" s="21" t="s">
        <v>5</v>
      </c>
      <c r="N205" s="20" t="s">
        <v>6</v>
      </c>
      <c r="O205" s="21" t="s">
        <v>6</v>
      </c>
      <c r="P205" s="20" t="s">
        <v>7</v>
      </c>
      <c r="Q205" s="21" t="s">
        <v>7</v>
      </c>
      <c r="R205" s="22" t="s">
        <v>8</v>
      </c>
      <c r="S205" s="57" t="s">
        <v>9</v>
      </c>
      <c r="T205" s="20" t="s">
        <v>9</v>
      </c>
      <c r="U205" s="57" t="s">
        <v>10</v>
      </c>
      <c r="V205" s="57" t="s">
        <v>11</v>
      </c>
      <c r="W205" s="57" t="s">
        <v>12</v>
      </c>
      <c r="X205" s="57" t="s">
        <v>13</v>
      </c>
      <c r="Y205" s="20" t="s">
        <v>14</v>
      </c>
      <c r="Z205" s="23" t="s">
        <v>15</v>
      </c>
      <c r="AA205" s="23" t="s">
        <v>16</v>
      </c>
    </row>
    <row r="206" spans="1:27" ht="12.75">
      <c r="A206" s="15" t="s">
        <v>17</v>
      </c>
      <c r="B206" s="15"/>
      <c r="C206" s="15" t="s">
        <v>18</v>
      </c>
      <c r="D206" s="15" t="s">
        <v>19</v>
      </c>
      <c r="E206" s="15" t="s">
        <v>20</v>
      </c>
      <c r="F206" s="15" t="s">
        <v>21</v>
      </c>
      <c r="G206" s="15" t="s">
        <v>20</v>
      </c>
      <c r="H206" s="15" t="s">
        <v>21</v>
      </c>
      <c r="I206" s="16" t="s">
        <v>20</v>
      </c>
      <c r="J206" s="16" t="s">
        <v>20</v>
      </c>
      <c r="K206" s="16" t="s">
        <v>21</v>
      </c>
      <c r="L206" s="16" t="str">
        <f>+L195</f>
        <v>Budget</v>
      </c>
      <c r="M206" s="16" t="s">
        <v>21</v>
      </c>
      <c r="N206" s="16" t="s">
        <v>20</v>
      </c>
      <c r="O206" s="16" t="s">
        <v>21</v>
      </c>
      <c r="P206" s="16" t="s">
        <v>20</v>
      </c>
      <c r="Q206" s="16" t="s">
        <v>21</v>
      </c>
      <c r="R206" s="16" t="s">
        <v>20</v>
      </c>
      <c r="S206" s="17" t="s">
        <v>21</v>
      </c>
      <c r="T206" s="18" t="s">
        <v>20</v>
      </c>
      <c r="U206" s="17" t="s">
        <v>21</v>
      </c>
      <c r="V206" s="17" t="s">
        <v>21</v>
      </c>
      <c r="W206" s="17" t="s">
        <v>21</v>
      </c>
      <c r="X206" s="17" t="s">
        <v>21</v>
      </c>
      <c r="Y206" s="18" t="s">
        <v>21</v>
      </c>
      <c r="Z206" s="59" t="s">
        <v>20</v>
      </c>
      <c r="AA206" s="18" t="s">
        <v>20</v>
      </c>
    </row>
    <row r="207" spans="1:27" ht="12.75">
      <c r="A207" s="15"/>
      <c r="B207" s="15"/>
      <c r="C207" s="15"/>
      <c r="D207" s="15"/>
      <c r="E207" s="15"/>
      <c r="F207" s="15"/>
      <c r="G207" s="15"/>
      <c r="H207" s="15"/>
      <c r="I207" s="16"/>
      <c r="J207" s="16"/>
      <c r="K207" s="16"/>
      <c r="L207" s="16"/>
      <c r="M207" s="16"/>
      <c r="N207" s="18"/>
      <c r="O207" s="16"/>
      <c r="P207" s="18"/>
      <c r="Q207" s="16"/>
      <c r="R207" s="18"/>
      <c r="S207" s="18"/>
      <c r="T207" s="18"/>
      <c r="U207" s="18"/>
      <c r="V207" s="18"/>
      <c r="W207" s="36"/>
      <c r="X207" s="36"/>
      <c r="Y207" s="36"/>
      <c r="Z207" s="37"/>
      <c r="AA207" s="36"/>
    </row>
    <row r="208" spans="1:27" ht="12.75">
      <c r="A208" s="39">
        <v>10474320</v>
      </c>
      <c r="B208" s="39">
        <v>3401</v>
      </c>
      <c r="C208" s="39" t="s">
        <v>170</v>
      </c>
      <c r="D208" s="39" t="s">
        <v>58</v>
      </c>
      <c r="E208" s="40">
        <v>422480</v>
      </c>
      <c r="F208" s="40">
        <v>416232.48</v>
      </c>
      <c r="G208" s="40">
        <v>483384</v>
      </c>
      <c r="H208" s="40">
        <v>196058.63</v>
      </c>
      <c r="I208" s="40">
        <v>468772</v>
      </c>
      <c r="J208" s="41">
        <v>546500</v>
      </c>
      <c r="K208" s="40">
        <f>303176.04+23598.67</f>
        <v>326774.70999999996</v>
      </c>
      <c r="L208" s="41">
        <v>573981</v>
      </c>
      <c r="M208" s="40">
        <f>384023.76-3571.3</f>
        <v>380452.46</v>
      </c>
      <c r="N208" s="41">
        <v>650735</v>
      </c>
      <c r="O208" s="40">
        <v>396422.46</v>
      </c>
      <c r="P208" s="41">
        <v>693941</v>
      </c>
      <c r="Q208" s="40">
        <f>-14755.45+396712.59</f>
        <v>381957.14</v>
      </c>
      <c r="R208" s="41">
        <v>661068</v>
      </c>
      <c r="S208" s="41">
        <v>339807.25</v>
      </c>
      <c r="T208" s="41">
        <v>513373</v>
      </c>
      <c r="U208" s="41">
        <v>432606.97</v>
      </c>
      <c r="V208" s="41">
        <v>606787.62</v>
      </c>
      <c r="W208" s="41">
        <v>507304.94</v>
      </c>
      <c r="X208" s="41">
        <v>379778.26</v>
      </c>
      <c r="Y208" s="41">
        <v>380332</v>
      </c>
      <c r="Z208" s="42">
        <v>431465</v>
      </c>
      <c r="AA208" s="41">
        <v>481754</v>
      </c>
    </row>
    <row r="209" spans="1:27" s="13" customFormat="1" ht="12.75" hidden="1">
      <c r="A209" s="34"/>
      <c r="B209" s="34">
        <v>3401</v>
      </c>
      <c r="C209" s="34" t="s">
        <v>48</v>
      </c>
      <c r="D209" s="34" t="s">
        <v>58</v>
      </c>
      <c r="E209" s="35"/>
      <c r="F209" s="35">
        <v>0</v>
      </c>
      <c r="G209" s="35">
        <v>0</v>
      </c>
      <c r="H209" s="35">
        <v>0</v>
      </c>
      <c r="I209" s="35">
        <v>0</v>
      </c>
      <c r="J209" s="36">
        <v>-13308</v>
      </c>
      <c r="K209" s="35"/>
      <c r="L209" s="36"/>
      <c r="M209" s="35">
        <v>0</v>
      </c>
      <c r="N209" s="36"/>
      <c r="O209" s="35"/>
      <c r="P209" s="36">
        <v>0</v>
      </c>
      <c r="Q209" s="35"/>
      <c r="R209" s="36">
        <v>0</v>
      </c>
      <c r="S209" s="36"/>
      <c r="T209" s="36">
        <v>0</v>
      </c>
      <c r="U209" s="36"/>
      <c r="V209" s="36"/>
      <c r="W209" s="36"/>
      <c r="X209" s="36"/>
      <c r="Y209" s="20"/>
      <c r="Z209" s="23"/>
      <c r="AA209" s="20"/>
    </row>
    <row r="210" spans="1:27" s="13" customFormat="1" ht="12.75">
      <c r="A210" s="34">
        <v>10374320</v>
      </c>
      <c r="B210" s="34">
        <v>3401</v>
      </c>
      <c r="C210" s="34" t="s">
        <v>171</v>
      </c>
      <c r="D210" s="34" t="s">
        <v>172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6">
        <v>9000</v>
      </c>
      <c r="K210" s="35"/>
      <c r="L210" s="36">
        <v>9000</v>
      </c>
      <c r="M210" s="35">
        <v>1440</v>
      </c>
      <c r="N210" s="36">
        <v>9000</v>
      </c>
      <c r="O210" s="35">
        <v>6155.5</v>
      </c>
      <c r="P210" s="36">
        <v>9000</v>
      </c>
      <c r="Q210" s="35">
        <v>13725</v>
      </c>
      <c r="R210" s="36">
        <v>9000</v>
      </c>
      <c r="S210" s="36">
        <v>7425</v>
      </c>
      <c r="T210" s="36">
        <v>9000</v>
      </c>
      <c r="U210" s="36">
        <v>19383.54</v>
      </c>
      <c r="V210" s="36">
        <v>9021.86</v>
      </c>
      <c r="W210" s="36">
        <v>13445.44</v>
      </c>
      <c r="X210" s="36">
        <v>13972.12</v>
      </c>
      <c r="Y210" s="20">
        <v>3124</v>
      </c>
      <c r="Z210" s="23">
        <v>12068</v>
      </c>
      <c r="AA210" s="20">
        <v>12795</v>
      </c>
    </row>
    <row r="211" spans="1:27" s="13" customFormat="1" ht="12.75">
      <c r="A211" s="39">
        <v>381579120</v>
      </c>
      <c r="B211" s="39">
        <v>3916</v>
      </c>
      <c r="C211" s="39" t="s">
        <v>173</v>
      </c>
      <c r="D211" s="39" t="s">
        <v>105</v>
      </c>
      <c r="E211" s="40">
        <v>2000</v>
      </c>
      <c r="F211" s="40">
        <v>16022.41</v>
      </c>
      <c r="G211" s="40">
        <v>2000</v>
      </c>
      <c r="H211" s="40">
        <v>19976.84</v>
      </c>
      <c r="I211" s="71">
        <v>2000</v>
      </c>
      <c r="J211" s="41">
        <v>0</v>
      </c>
      <c r="K211" s="40">
        <v>-9908.3</v>
      </c>
      <c r="L211" s="41">
        <v>0</v>
      </c>
      <c r="M211" s="40">
        <v>12545.31</v>
      </c>
      <c r="N211" s="41">
        <v>0</v>
      </c>
      <c r="O211" s="40">
        <v>5813.85</v>
      </c>
      <c r="P211" s="41">
        <v>0</v>
      </c>
      <c r="Q211" s="40">
        <v>11298.27</v>
      </c>
      <c r="R211" s="41">
        <v>3500</v>
      </c>
      <c r="S211" s="41">
        <v>1258.81</v>
      </c>
      <c r="T211" s="41">
        <v>3500</v>
      </c>
      <c r="U211" s="41">
        <v>16054.45</v>
      </c>
      <c r="V211" s="41">
        <v>1257.76</v>
      </c>
      <c r="W211" s="41">
        <v>1625.72</v>
      </c>
      <c r="X211" s="41">
        <v>10604.87</v>
      </c>
      <c r="Y211" s="41">
        <v>9050</v>
      </c>
      <c r="Z211" s="42">
        <v>11000</v>
      </c>
      <c r="AA211" s="41">
        <v>12000</v>
      </c>
    </row>
    <row r="212" spans="1:27" s="13" customFormat="1" ht="12.75">
      <c r="A212" s="34">
        <v>381579210</v>
      </c>
      <c r="B212" s="34">
        <v>3401</v>
      </c>
      <c r="C212" s="34" t="s">
        <v>174</v>
      </c>
      <c r="D212" s="34" t="s">
        <v>105</v>
      </c>
      <c r="E212" s="35">
        <v>0</v>
      </c>
      <c r="F212" s="35">
        <v>-27323.04</v>
      </c>
      <c r="G212" s="35">
        <v>0</v>
      </c>
      <c r="H212" s="35">
        <v>29372.64</v>
      </c>
      <c r="I212" s="35">
        <v>0</v>
      </c>
      <c r="J212" s="36">
        <v>0</v>
      </c>
      <c r="K212" s="35">
        <v>11937.98</v>
      </c>
      <c r="L212" s="36">
        <v>0</v>
      </c>
      <c r="M212" s="35">
        <f>-12545+3100.64</f>
        <v>-9444.36</v>
      </c>
      <c r="N212" s="36">
        <v>0</v>
      </c>
      <c r="O212" s="35">
        <v>-2367.71</v>
      </c>
      <c r="P212" s="36">
        <v>0</v>
      </c>
      <c r="Q212" s="35">
        <v>-8289.59</v>
      </c>
      <c r="R212" s="36">
        <v>0</v>
      </c>
      <c r="S212" s="36">
        <v>2945.37</v>
      </c>
      <c r="T212" s="36">
        <v>0</v>
      </c>
      <c r="U212" s="36">
        <v>-12584.46</v>
      </c>
      <c r="V212" s="36">
        <v>7415.85</v>
      </c>
      <c r="W212" s="36">
        <v>2760</v>
      </c>
      <c r="X212" s="36">
        <v>-5404.63</v>
      </c>
      <c r="Y212" s="36">
        <v>0</v>
      </c>
      <c r="Z212" s="37">
        <v>0</v>
      </c>
      <c r="AA212" s="36">
        <v>0</v>
      </c>
    </row>
    <row r="213" spans="1:27" s="13" customFormat="1" ht="15">
      <c r="A213" s="39">
        <v>11374870</v>
      </c>
      <c r="B213" s="39">
        <v>3401</v>
      </c>
      <c r="C213" s="39" t="s">
        <v>175</v>
      </c>
      <c r="D213" s="39" t="s">
        <v>101</v>
      </c>
      <c r="E213" s="90">
        <v>138000</v>
      </c>
      <c r="F213" s="90">
        <v>139217.5</v>
      </c>
      <c r="G213" s="90">
        <v>138000</v>
      </c>
      <c r="H213" s="90">
        <v>132935</v>
      </c>
      <c r="I213" s="90">
        <v>138000</v>
      </c>
      <c r="J213" s="92">
        <v>192380</v>
      </c>
      <c r="K213" s="102">
        <v>125371.5</v>
      </c>
      <c r="L213" s="92">
        <v>175171</v>
      </c>
      <c r="M213" s="102">
        <v>151964</v>
      </c>
      <c r="N213" s="92">
        <v>179679</v>
      </c>
      <c r="O213" s="102">
        <v>134360.58</v>
      </c>
      <c r="P213" s="92">
        <v>198579</v>
      </c>
      <c r="Q213" s="102">
        <v>170611</v>
      </c>
      <c r="R213" s="92">
        <v>204538</v>
      </c>
      <c r="S213" s="92">
        <v>168922.5</v>
      </c>
      <c r="T213" s="92">
        <v>172467</v>
      </c>
      <c r="U213" s="92">
        <v>179728</v>
      </c>
      <c r="V213" s="92">
        <v>158597.91</v>
      </c>
      <c r="W213" s="92">
        <v>0</v>
      </c>
      <c r="X213" s="92">
        <v>0</v>
      </c>
      <c r="Y213" s="106">
        <v>0</v>
      </c>
      <c r="Z213" s="107">
        <v>0</v>
      </c>
      <c r="AA213" s="106">
        <v>0</v>
      </c>
    </row>
    <row r="214" spans="1:27" ht="12.75" hidden="1">
      <c r="A214" s="67"/>
      <c r="B214" s="67">
        <v>3401</v>
      </c>
      <c r="C214" s="34" t="s">
        <v>176</v>
      </c>
      <c r="D214" s="34" t="s">
        <v>101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6">
        <v>-1093</v>
      </c>
      <c r="K214" s="35"/>
      <c r="L214" s="36">
        <v>0</v>
      </c>
      <c r="M214" s="35"/>
      <c r="N214" s="36">
        <v>0</v>
      </c>
      <c r="O214" s="35"/>
      <c r="P214" s="36"/>
      <c r="Q214" s="35"/>
      <c r="R214" s="36"/>
      <c r="S214" s="36"/>
      <c r="T214" s="36"/>
      <c r="U214" s="36"/>
      <c r="V214" s="36"/>
      <c r="W214" s="36"/>
      <c r="X214" s="36"/>
      <c r="Y214" s="36"/>
      <c r="Z214" s="37"/>
      <c r="AA214" s="36"/>
    </row>
    <row r="215" spans="1:27" ht="12.75">
      <c r="A215" s="67"/>
      <c r="B215" s="67"/>
      <c r="C215" s="34" t="s">
        <v>177</v>
      </c>
      <c r="D215" s="34"/>
      <c r="E215" s="36">
        <f>SUM(E208:E213)</f>
        <v>562480</v>
      </c>
      <c r="F215" s="36">
        <f>SUM(F208:F213)</f>
        <v>544149.35</v>
      </c>
      <c r="G215" s="36">
        <f>SUM(G208:G213)</f>
        <v>623384</v>
      </c>
      <c r="H215" s="36">
        <f>SUM(H208:H213)</f>
        <v>378343.11</v>
      </c>
      <c r="I215" s="36">
        <f>SUM(I208:I213)</f>
        <v>608772</v>
      </c>
      <c r="J215" s="36"/>
      <c r="K215" s="35"/>
      <c r="L215" s="36"/>
      <c r="M215" s="35"/>
      <c r="N215" s="36"/>
      <c r="O215" s="35"/>
      <c r="P215" s="36"/>
      <c r="Q215" s="35"/>
      <c r="R215" s="36"/>
      <c r="S215" s="36">
        <f>SUM(S208:S213)</f>
        <v>520358.93</v>
      </c>
      <c r="T215" s="36">
        <f aca="true" t="shared" si="4" ref="T215:AA215">SUM(T208:T213)</f>
        <v>698340</v>
      </c>
      <c r="U215" s="36">
        <f t="shared" si="4"/>
        <v>635188.5</v>
      </c>
      <c r="V215" s="36">
        <f t="shared" si="4"/>
        <v>783081</v>
      </c>
      <c r="W215" s="36">
        <f t="shared" si="4"/>
        <v>525136.1</v>
      </c>
      <c r="X215" s="36">
        <f t="shared" si="4"/>
        <v>398950.62</v>
      </c>
      <c r="Y215" s="36">
        <f t="shared" si="4"/>
        <v>392506</v>
      </c>
      <c r="Z215" s="37">
        <f>SUM(Z208:Z213)</f>
        <v>454533</v>
      </c>
      <c r="AA215" s="36">
        <f t="shared" si="4"/>
        <v>506549</v>
      </c>
    </row>
    <row r="216" spans="1:27" ht="12.75">
      <c r="A216" s="67"/>
      <c r="B216" s="67"/>
      <c r="C216" s="34"/>
      <c r="D216" s="34"/>
      <c r="E216" s="35"/>
      <c r="F216" s="35"/>
      <c r="G216" s="35"/>
      <c r="H216" s="35"/>
      <c r="I216" s="35"/>
      <c r="J216" s="36"/>
      <c r="K216" s="35"/>
      <c r="L216" s="36"/>
      <c r="M216" s="35"/>
      <c r="N216" s="36"/>
      <c r="O216" s="35"/>
      <c r="P216" s="36"/>
      <c r="Q216" s="35"/>
      <c r="R216" s="36"/>
      <c r="S216" s="36"/>
      <c r="T216" s="36"/>
      <c r="U216" s="36"/>
      <c r="V216" s="36"/>
      <c r="W216" s="36"/>
      <c r="X216" s="36"/>
      <c r="Y216" s="36"/>
      <c r="Z216" s="37"/>
      <c r="AA216" s="36"/>
    </row>
    <row r="217" spans="1:27" ht="12.75">
      <c r="A217" s="39"/>
      <c r="B217" s="39"/>
      <c r="C217" s="108" t="s">
        <v>178</v>
      </c>
      <c r="D217" s="40"/>
      <c r="E217" s="109">
        <f>+E215+E200+E190+E179+E148</f>
        <v>25888240</v>
      </c>
      <c r="F217" s="109">
        <f>+F215+F200+F190+F179+F148</f>
        <v>31361125.359000012</v>
      </c>
      <c r="G217" s="109">
        <f>+G215+G200+G190+G179+G148</f>
        <v>25262999</v>
      </c>
      <c r="H217" s="109">
        <f>+H215+H200+H190+H179+H148</f>
        <v>25720060.540000003</v>
      </c>
      <c r="I217" s="109">
        <f>+I215+I200+I190+I179+I148</f>
        <v>16251831</v>
      </c>
      <c r="J217" s="41" t="e">
        <f>#N/A</f>
        <v>#N/A</v>
      </c>
      <c r="K217" s="40" t="e">
        <f>#N/A</f>
        <v>#N/A</v>
      </c>
      <c r="L217" s="41" t="e">
        <f>#N/A</f>
        <v>#N/A</v>
      </c>
      <c r="M217" s="40" t="e">
        <f>#N/A</f>
        <v>#N/A</v>
      </c>
      <c r="N217" s="41" t="e">
        <f>#N/A</f>
        <v>#N/A</v>
      </c>
      <c r="O217" s="40">
        <f>+O214+O125+O167+O156+O177</f>
        <v>1806825.0399999998</v>
      </c>
      <c r="P217" s="41">
        <f>+P214+P125+P167+P156+P177</f>
        <v>80382.28654545455</v>
      </c>
      <c r="Q217" s="41">
        <f>+Q214+Q125+Q167+Q156+Q177</f>
        <v>1743310.61</v>
      </c>
      <c r="R217" s="41">
        <f>+R214+R125+R167+R156+R177</f>
        <v>1977951</v>
      </c>
      <c r="S217" s="109">
        <f>+S215+S200+S190+S179+S148</f>
        <v>29710426.1</v>
      </c>
      <c r="T217" s="109">
        <f aca="true" t="shared" si="5" ref="T217:AA217">+T215+T200+T190+T179+T148</f>
        <v>29007041</v>
      </c>
      <c r="U217" s="109">
        <f t="shared" si="5"/>
        <v>31403159.71</v>
      </c>
      <c r="V217" s="109">
        <f t="shared" si="5"/>
        <v>31829299.720000003</v>
      </c>
      <c r="W217" s="109">
        <f t="shared" si="5"/>
        <v>33813733.63</v>
      </c>
      <c r="X217" s="109">
        <f t="shared" si="5"/>
        <v>32525263.339999996</v>
      </c>
      <c r="Y217" s="109">
        <f t="shared" si="5"/>
        <v>37089850.5</v>
      </c>
      <c r="Z217" s="110">
        <f>+Z215+Z200+Z190+Z179+Z148</f>
        <v>35496870</v>
      </c>
      <c r="AA217" s="109">
        <f t="shared" si="5"/>
        <v>36919495</v>
      </c>
    </row>
    <row r="218" spans="1:27" ht="12.75">
      <c r="A218" s="67"/>
      <c r="B218" s="67"/>
      <c r="C218" s="34"/>
      <c r="D218" s="34"/>
      <c r="E218" s="35"/>
      <c r="F218" s="35"/>
      <c r="G218" s="35"/>
      <c r="H218" s="35"/>
      <c r="I218" s="35"/>
      <c r="J218" s="36"/>
      <c r="K218" s="35"/>
      <c r="L218" s="36"/>
      <c r="M218" s="35"/>
      <c r="N218" s="36"/>
      <c r="O218" s="35"/>
      <c r="P218" s="36"/>
      <c r="Q218" s="35"/>
      <c r="R218" s="36"/>
      <c r="S218" s="36"/>
      <c r="T218" s="36"/>
      <c r="U218" s="36"/>
      <c r="V218" s="36"/>
      <c r="W218" s="36"/>
      <c r="X218" s="36"/>
      <c r="Y218" s="36"/>
      <c r="Z218" s="37"/>
      <c r="AA218" s="36"/>
    </row>
    <row r="219" spans="1:27" ht="12.75">
      <c r="A219" s="34"/>
      <c r="B219" s="34"/>
      <c r="C219" s="34"/>
      <c r="D219" s="34"/>
      <c r="E219" s="35"/>
      <c r="F219" s="35"/>
      <c r="G219" s="35"/>
      <c r="H219" s="35"/>
      <c r="I219" s="35"/>
      <c r="J219" s="36"/>
      <c r="K219" s="35"/>
      <c r="L219" s="36"/>
      <c r="M219" s="35"/>
      <c r="N219" s="36"/>
      <c r="O219" s="35"/>
      <c r="P219" s="36"/>
      <c r="Q219" s="35"/>
      <c r="R219" s="36"/>
      <c r="S219" s="36"/>
      <c r="T219" s="36"/>
      <c r="U219" s="36"/>
      <c r="V219" s="36"/>
      <c r="W219" s="36"/>
      <c r="X219" s="36"/>
      <c r="Y219" s="36"/>
      <c r="Z219" s="37"/>
      <c r="AA219" s="36"/>
    </row>
    <row r="220" spans="1:27" ht="12.75">
      <c r="A220" s="83" t="s">
        <v>179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4"/>
      <c r="P220" s="85"/>
      <c r="Q220" s="84"/>
      <c r="R220" s="85"/>
      <c r="S220" s="86"/>
      <c r="T220" s="86"/>
      <c r="U220" s="86"/>
      <c r="V220" s="86"/>
      <c r="W220" s="36"/>
      <c r="X220" s="36"/>
      <c r="Y220" s="36"/>
      <c r="Z220" s="37"/>
      <c r="AA220" s="36"/>
    </row>
    <row r="221" spans="1:27" ht="12.75">
      <c r="A221" s="22" t="s">
        <v>0</v>
      </c>
      <c r="B221" s="22"/>
      <c r="C221" s="22" t="s">
        <v>0</v>
      </c>
      <c r="D221" s="22" t="s">
        <v>0</v>
      </c>
      <c r="E221" s="22" t="s">
        <v>1</v>
      </c>
      <c r="F221" s="22" t="s">
        <v>1</v>
      </c>
      <c r="G221" s="22" t="s">
        <v>2</v>
      </c>
      <c r="H221" s="22" t="s">
        <v>2</v>
      </c>
      <c r="I221" s="21" t="s">
        <v>3</v>
      </c>
      <c r="J221" s="22" t="s">
        <v>4</v>
      </c>
      <c r="K221" s="21" t="s">
        <v>4</v>
      </c>
      <c r="L221" s="22" t="e">
        <f>+#REF!</f>
        <v>#REF!</v>
      </c>
      <c r="M221" s="21" t="s">
        <v>5</v>
      </c>
      <c r="N221" s="20" t="s">
        <v>6</v>
      </c>
      <c r="O221" s="21" t="s">
        <v>6</v>
      </c>
      <c r="P221" s="20" t="s">
        <v>7</v>
      </c>
      <c r="Q221" s="21" t="s">
        <v>7</v>
      </c>
      <c r="R221" s="22" t="s">
        <v>8</v>
      </c>
      <c r="S221" s="57" t="s">
        <v>9</v>
      </c>
      <c r="T221" s="20" t="s">
        <v>9</v>
      </c>
      <c r="U221" s="57" t="s">
        <v>10</v>
      </c>
      <c r="V221" s="57" t="s">
        <v>11</v>
      </c>
      <c r="W221" s="57" t="s">
        <v>12</v>
      </c>
      <c r="X221" s="57" t="s">
        <v>13</v>
      </c>
      <c r="Y221" s="20" t="s">
        <v>14</v>
      </c>
      <c r="Z221" s="23" t="s">
        <v>15</v>
      </c>
      <c r="AA221" s="23" t="s">
        <v>16</v>
      </c>
    </row>
    <row r="222" spans="1:27" ht="12.75">
      <c r="A222" s="15" t="s">
        <v>17</v>
      </c>
      <c r="B222" s="15"/>
      <c r="C222" s="15" t="s">
        <v>18</v>
      </c>
      <c r="D222" s="15" t="s">
        <v>19</v>
      </c>
      <c r="E222" s="15" t="s">
        <v>20</v>
      </c>
      <c r="F222" s="15" t="s">
        <v>21</v>
      </c>
      <c r="G222" s="15" t="s">
        <v>20</v>
      </c>
      <c r="H222" s="15" t="s">
        <v>21</v>
      </c>
      <c r="I222" s="16" t="s">
        <v>20</v>
      </c>
      <c r="J222" s="16" t="s">
        <v>20</v>
      </c>
      <c r="K222" s="16" t="s">
        <v>21</v>
      </c>
      <c r="L222" s="16" t="e">
        <f>+#REF!</f>
        <v>#REF!</v>
      </c>
      <c r="M222" s="16" t="s">
        <v>21</v>
      </c>
      <c r="N222" s="16" t="s">
        <v>20</v>
      </c>
      <c r="O222" s="16" t="s">
        <v>21</v>
      </c>
      <c r="P222" s="16" t="s">
        <v>20</v>
      </c>
      <c r="Q222" s="16" t="s">
        <v>21</v>
      </c>
      <c r="R222" s="16" t="s">
        <v>20</v>
      </c>
      <c r="S222" s="17" t="s">
        <v>21</v>
      </c>
      <c r="T222" s="18" t="s">
        <v>20</v>
      </c>
      <c r="U222" s="17" t="s">
        <v>21</v>
      </c>
      <c r="V222" s="17" t="s">
        <v>21</v>
      </c>
      <c r="W222" s="17" t="s">
        <v>21</v>
      </c>
      <c r="X222" s="17" t="s">
        <v>21</v>
      </c>
      <c r="Y222" s="18" t="s">
        <v>21</v>
      </c>
      <c r="Z222" s="59" t="s">
        <v>20</v>
      </c>
      <c r="AA222" s="18" t="s">
        <v>20</v>
      </c>
    </row>
    <row r="223" spans="1:27" ht="12.75" hidden="1">
      <c r="A223" s="34">
        <v>12174330</v>
      </c>
      <c r="B223" s="34">
        <v>0</v>
      </c>
      <c r="C223" s="34" t="s">
        <v>180</v>
      </c>
      <c r="D223" s="34" t="s">
        <v>110</v>
      </c>
      <c r="E223" s="35">
        <v>70000</v>
      </c>
      <c r="F223" s="35">
        <v>90791.57</v>
      </c>
      <c r="G223" s="35">
        <v>150000</v>
      </c>
      <c r="H223" s="35">
        <v>41690.7</v>
      </c>
      <c r="I223" s="35">
        <v>0</v>
      </c>
      <c r="J223" s="36">
        <v>0</v>
      </c>
      <c r="K223" s="35">
        <v>0</v>
      </c>
      <c r="L223" s="36">
        <v>0</v>
      </c>
      <c r="M223" s="35">
        <v>0</v>
      </c>
      <c r="N223" s="36">
        <v>0</v>
      </c>
      <c r="O223" s="35"/>
      <c r="P223" s="36"/>
      <c r="Q223" s="35"/>
      <c r="R223" s="36"/>
      <c r="S223" s="36"/>
      <c r="T223" s="36"/>
      <c r="U223" s="36"/>
      <c r="V223" s="36"/>
      <c r="W223" s="36"/>
      <c r="X223" s="36"/>
      <c r="Y223" s="36"/>
      <c r="Z223" s="37"/>
      <c r="AA223" s="36"/>
    </row>
    <row r="224" spans="1:27" s="13" customFormat="1" ht="12.75" hidden="1">
      <c r="A224" s="34">
        <v>10774090</v>
      </c>
      <c r="B224" s="34">
        <v>0</v>
      </c>
      <c r="C224" s="34" t="s">
        <v>54</v>
      </c>
      <c r="D224" s="34" t="s">
        <v>80</v>
      </c>
      <c r="E224" s="35"/>
      <c r="F224" s="35">
        <v>0</v>
      </c>
      <c r="G224" s="35">
        <v>85000</v>
      </c>
      <c r="H224" s="35">
        <v>51188.34</v>
      </c>
      <c r="I224" s="35">
        <v>0</v>
      </c>
      <c r="J224" s="36">
        <v>0</v>
      </c>
      <c r="K224" s="35">
        <v>0</v>
      </c>
      <c r="L224" s="36">
        <v>0</v>
      </c>
      <c r="M224" s="35">
        <v>0</v>
      </c>
      <c r="N224" s="36">
        <v>0</v>
      </c>
      <c r="O224" s="35"/>
      <c r="P224" s="36"/>
      <c r="Q224" s="35"/>
      <c r="R224" s="36"/>
      <c r="S224" s="36"/>
      <c r="T224" s="36"/>
      <c r="U224" s="36"/>
      <c r="V224" s="36"/>
      <c r="W224" s="36"/>
      <c r="X224" s="36"/>
      <c r="Y224" s="36"/>
      <c r="Z224" s="23"/>
      <c r="AA224" s="20"/>
    </row>
    <row r="225" spans="1:27" s="13" customFormat="1" ht="12.75" hidden="1">
      <c r="A225" s="67">
        <v>424279220</v>
      </c>
      <c r="B225" s="67">
        <v>3934</v>
      </c>
      <c r="C225" s="34" t="s">
        <v>181</v>
      </c>
      <c r="D225" s="34" t="s">
        <v>182</v>
      </c>
      <c r="E225" s="35">
        <v>0</v>
      </c>
      <c r="F225" s="35">
        <v>0</v>
      </c>
      <c r="G225" s="35"/>
      <c r="H225" s="35">
        <v>0</v>
      </c>
      <c r="I225" s="35">
        <v>1708000</v>
      </c>
      <c r="J225" s="36">
        <v>0</v>
      </c>
      <c r="K225" s="35"/>
      <c r="L225" s="36">
        <v>0</v>
      </c>
      <c r="M225" s="35">
        <v>0</v>
      </c>
      <c r="N225" s="36">
        <v>0</v>
      </c>
      <c r="O225" s="35"/>
      <c r="P225" s="36"/>
      <c r="Q225" s="35"/>
      <c r="R225" s="36"/>
      <c r="S225" s="36"/>
      <c r="T225" s="36"/>
      <c r="U225" s="36"/>
      <c r="V225" s="36"/>
      <c r="W225" s="36"/>
      <c r="X225" s="36"/>
      <c r="Y225" s="36"/>
      <c r="Z225" s="23"/>
      <c r="AA225" s="20"/>
    </row>
    <row r="226" spans="1:27" ht="12.75" hidden="1">
      <c r="A226" s="67"/>
      <c r="B226" s="67">
        <v>3934</v>
      </c>
      <c r="C226" s="34" t="s">
        <v>183</v>
      </c>
      <c r="D226" s="34"/>
      <c r="E226" s="35"/>
      <c r="F226" s="35"/>
      <c r="G226" s="35"/>
      <c r="H226" s="35"/>
      <c r="I226" s="35"/>
      <c r="J226" s="36"/>
      <c r="K226" s="35"/>
      <c r="L226" s="36">
        <v>0</v>
      </c>
      <c r="M226" s="35">
        <v>0</v>
      </c>
      <c r="N226" s="36"/>
      <c r="O226" s="35"/>
      <c r="P226" s="36"/>
      <c r="Q226" s="35"/>
      <c r="R226" s="36"/>
      <c r="S226" s="36"/>
      <c r="T226" s="36"/>
      <c r="U226" s="36"/>
      <c r="V226" s="36"/>
      <c r="W226" s="36"/>
      <c r="X226" s="36"/>
      <c r="Y226" s="36"/>
      <c r="Z226" s="37"/>
      <c r="AA226" s="36"/>
    </row>
    <row r="227" spans="1:27" ht="12.75" hidden="1">
      <c r="A227" s="67"/>
      <c r="B227" s="67">
        <v>3503</v>
      </c>
      <c r="C227" s="34" t="s">
        <v>184</v>
      </c>
      <c r="D227" s="34"/>
      <c r="E227" s="35"/>
      <c r="F227" s="35"/>
      <c r="G227" s="35"/>
      <c r="H227" s="35"/>
      <c r="I227" s="35"/>
      <c r="J227" s="36"/>
      <c r="K227" s="35"/>
      <c r="L227" s="36">
        <v>0</v>
      </c>
      <c r="M227" s="35">
        <v>0</v>
      </c>
      <c r="N227" s="36"/>
      <c r="O227" s="35"/>
      <c r="P227" s="36"/>
      <c r="Q227" s="35"/>
      <c r="R227" s="36"/>
      <c r="S227" s="36"/>
      <c r="T227" s="36"/>
      <c r="U227" s="36"/>
      <c r="V227" s="36"/>
      <c r="W227" s="36"/>
      <c r="X227" s="36"/>
      <c r="Y227" s="36"/>
      <c r="Z227" s="37"/>
      <c r="AA227" s="36"/>
    </row>
    <row r="228" spans="1:27" ht="12.75">
      <c r="A228" s="43">
        <v>424278010</v>
      </c>
      <c r="B228" s="43">
        <v>3934</v>
      </c>
      <c r="C228" s="39" t="s">
        <v>185</v>
      </c>
      <c r="D228" s="39" t="s">
        <v>186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1"/>
      <c r="K228" s="40">
        <v>13486.89</v>
      </c>
      <c r="L228" s="41"/>
      <c r="M228" s="40">
        <v>3751.56</v>
      </c>
      <c r="N228" s="41">
        <v>0</v>
      </c>
      <c r="O228" s="40">
        <v>1424.93</v>
      </c>
      <c r="P228" s="41"/>
      <c r="Q228" s="40"/>
      <c r="R228" s="41"/>
      <c r="S228" s="41">
        <v>446.86</v>
      </c>
      <c r="T228" s="41"/>
      <c r="U228" s="41">
        <v>0</v>
      </c>
      <c r="V228" s="41">
        <v>0</v>
      </c>
      <c r="W228" s="41"/>
      <c r="X228" s="41">
        <v>50874</v>
      </c>
      <c r="Y228" s="41">
        <v>1505</v>
      </c>
      <c r="Z228" s="42">
        <v>0</v>
      </c>
      <c r="AA228" s="41">
        <v>0</v>
      </c>
    </row>
    <row r="229" spans="1:27" ht="12.75" hidden="1">
      <c r="A229" s="67">
        <v>424279210</v>
      </c>
      <c r="B229" s="67">
        <v>3934</v>
      </c>
      <c r="C229" s="34" t="s">
        <v>48</v>
      </c>
      <c r="D229" s="34" t="s">
        <v>187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6"/>
      <c r="K229" s="35">
        <v>579728.7</v>
      </c>
      <c r="L229" s="36"/>
      <c r="M229" s="35">
        <v>-3756.56</v>
      </c>
      <c r="N229" s="36">
        <v>0</v>
      </c>
      <c r="O229" s="35">
        <f>899745.83+696.97-1424.93-325</f>
        <v>898692.8699999999</v>
      </c>
      <c r="P229" s="36"/>
      <c r="Q229" s="35"/>
      <c r="R229" s="36"/>
      <c r="S229" s="36"/>
      <c r="T229" s="36"/>
      <c r="U229" s="36"/>
      <c r="V229" s="36"/>
      <c r="W229" s="36"/>
      <c r="X229" s="36">
        <v>0</v>
      </c>
      <c r="Y229" s="36">
        <v>0</v>
      </c>
      <c r="Z229" s="37"/>
      <c r="AA229" s="36"/>
    </row>
    <row r="230" spans="1:27" ht="12.75" hidden="1">
      <c r="A230" s="67"/>
      <c r="B230" s="67">
        <v>3934</v>
      </c>
      <c r="C230" s="34" t="s">
        <v>188</v>
      </c>
      <c r="D230" s="34" t="s">
        <v>186</v>
      </c>
      <c r="E230" s="35"/>
      <c r="F230" s="35"/>
      <c r="G230" s="35"/>
      <c r="H230" s="35"/>
      <c r="I230" s="35"/>
      <c r="J230" s="36"/>
      <c r="K230" s="35"/>
      <c r="L230" s="36"/>
      <c r="M230" s="35"/>
      <c r="N230" s="36"/>
      <c r="O230" s="35"/>
      <c r="P230" s="36"/>
      <c r="Q230" s="35"/>
      <c r="R230" s="36"/>
      <c r="S230" s="36"/>
      <c r="T230" s="36"/>
      <c r="U230" s="36"/>
      <c r="V230" s="36"/>
      <c r="W230" s="36"/>
      <c r="X230" s="36"/>
      <c r="Y230" s="36"/>
      <c r="Z230" s="37"/>
      <c r="AA230" s="36"/>
    </row>
    <row r="231" spans="1:27" ht="12.75" hidden="1">
      <c r="A231" s="67"/>
      <c r="B231" s="67">
        <v>3934</v>
      </c>
      <c r="C231" s="34" t="s">
        <v>189</v>
      </c>
      <c r="D231" s="34" t="s">
        <v>190</v>
      </c>
      <c r="E231" s="35"/>
      <c r="F231" s="35"/>
      <c r="G231" s="35"/>
      <c r="H231" s="35"/>
      <c r="I231" s="35"/>
      <c r="J231" s="36"/>
      <c r="K231" s="35"/>
      <c r="L231" s="36"/>
      <c r="M231" s="35"/>
      <c r="N231" s="36"/>
      <c r="O231" s="35"/>
      <c r="P231" s="36"/>
      <c r="Q231" s="35"/>
      <c r="R231" s="36"/>
      <c r="S231" s="36"/>
      <c r="T231" s="36"/>
      <c r="U231" s="36"/>
      <c r="V231" s="36"/>
      <c r="W231" s="36"/>
      <c r="X231" s="36"/>
      <c r="Y231" s="36"/>
      <c r="Z231" s="37"/>
      <c r="AA231" s="36"/>
    </row>
    <row r="232" spans="1:27" ht="12.75" hidden="1">
      <c r="A232" s="67"/>
      <c r="B232" s="67">
        <v>3311</v>
      </c>
      <c r="C232" s="34" t="s">
        <v>191</v>
      </c>
      <c r="D232" s="34"/>
      <c r="E232" s="35"/>
      <c r="F232" s="35"/>
      <c r="G232" s="35"/>
      <c r="H232" s="35"/>
      <c r="I232" s="35"/>
      <c r="J232" s="36"/>
      <c r="K232" s="35"/>
      <c r="L232" s="36">
        <v>3288000</v>
      </c>
      <c r="M232" s="35">
        <v>0</v>
      </c>
      <c r="N232" s="36">
        <v>0</v>
      </c>
      <c r="O232" s="35">
        <v>1099755.36</v>
      </c>
      <c r="P232" s="36"/>
      <c r="Q232" s="35">
        <v>1444893.54</v>
      </c>
      <c r="R232" s="36"/>
      <c r="S232" s="36">
        <v>0</v>
      </c>
      <c r="T232" s="36"/>
      <c r="U232" s="36">
        <v>0</v>
      </c>
      <c r="V232" s="36">
        <v>0</v>
      </c>
      <c r="W232" s="36"/>
      <c r="X232" s="36">
        <v>0</v>
      </c>
      <c r="Y232" s="36">
        <v>0</v>
      </c>
      <c r="Z232" s="37">
        <v>0</v>
      </c>
      <c r="AA232" s="36"/>
    </row>
    <row r="233" spans="1:27" ht="12.75">
      <c r="A233" s="43"/>
      <c r="B233" s="43"/>
      <c r="C233" s="39" t="s">
        <v>192</v>
      </c>
      <c r="D233" s="39" t="s">
        <v>193</v>
      </c>
      <c r="E233" s="40"/>
      <c r="F233" s="40"/>
      <c r="G233" s="40"/>
      <c r="H233" s="40"/>
      <c r="I233" s="40"/>
      <c r="J233" s="41"/>
      <c r="K233" s="40"/>
      <c r="L233" s="41"/>
      <c r="M233" s="40"/>
      <c r="N233" s="41"/>
      <c r="O233" s="40"/>
      <c r="P233" s="41"/>
      <c r="Q233" s="40"/>
      <c r="R233" s="41">
        <v>2875000</v>
      </c>
      <c r="S233" s="41"/>
      <c r="T233" s="41"/>
      <c r="U233" s="41"/>
      <c r="V233" s="41"/>
      <c r="W233" s="41"/>
      <c r="X233" s="41"/>
      <c r="Y233" s="41"/>
      <c r="Z233" s="42"/>
      <c r="AA233" s="41"/>
    </row>
    <row r="234" spans="1:27" ht="12.75">
      <c r="A234" s="67">
        <v>434379210</v>
      </c>
      <c r="B234" s="67">
        <v>3934</v>
      </c>
      <c r="C234" s="34" t="s">
        <v>181</v>
      </c>
      <c r="D234" s="34" t="s">
        <v>194</v>
      </c>
      <c r="E234" s="35"/>
      <c r="F234" s="35"/>
      <c r="G234" s="35"/>
      <c r="H234" s="35"/>
      <c r="I234" s="35"/>
      <c r="J234" s="36"/>
      <c r="K234" s="35"/>
      <c r="L234" s="36"/>
      <c r="M234" s="35"/>
      <c r="N234" s="36"/>
      <c r="O234" s="35"/>
      <c r="P234" s="36"/>
      <c r="Q234" s="35">
        <v>327500.51</v>
      </c>
      <c r="R234" s="36"/>
      <c r="S234" s="36">
        <v>371109.44</v>
      </c>
      <c r="T234" s="36"/>
      <c r="U234" s="36">
        <v>1831066.1</v>
      </c>
      <c r="V234" s="36">
        <v>0</v>
      </c>
      <c r="W234" s="36"/>
      <c r="X234" s="36">
        <v>0</v>
      </c>
      <c r="Y234" s="36">
        <v>0</v>
      </c>
      <c r="Z234" s="37">
        <v>9520000</v>
      </c>
      <c r="AA234" s="36">
        <v>0</v>
      </c>
    </row>
    <row r="235" spans="1:27" ht="12.75" hidden="1">
      <c r="A235" s="67">
        <v>434379210</v>
      </c>
      <c r="B235" s="67">
        <v>3934</v>
      </c>
      <c r="C235" s="34" t="s">
        <v>181</v>
      </c>
      <c r="D235" s="34" t="s">
        <v>195</v>
      </c>
      <c r="E235" s="35"/>
      <c r="F235" s="35"/>
      <c r="G235" s="35"/>
      <c r="H235" s="35"/>
      <c r="I235" s="35"/>
      <c r="J235" s="36"/>
      <c r="K235" s="35"/>
      <c r="L235" s="36"/>
      <c r="M235" s="35"/>
      <c r="N235" s="36"/>
      <c r="O235" s="35">
        <v>2080827.55</v>
      </c>
      <c r="P235" s="36"/>
      <c r="Q235" s="35"/>
      <c r="R235" s="36">
        <v>4200000</v>
      </c>
      <c r="S235" s="36"/>
      <c r="T235" s="36"/>
      <c r="U235" s="36"/>
      <c r="V235" s="36"/>
      <c r="W235" s="36"/>
      <c r="X235" s="36"/>
      <c r="Y235" s="36"/>
      <c r="Z235" s="37"/>
      <c r="AA235" s="36"/>
    </row>
    <row r="236" spans="1:27" ht="15">
      <c r="A236" s="67">
        <v>424279210</v>
      </c>
      <c r="B236" s="67">
        <v>3934</v>
      </c>
      <c r="C236" s="34" t="s">
        <v>181</v>
      </c>
      <c r="D236" s="34" t="s">
        <v>196</v>
      </c>
      <c r="E236" s="35"/>
      <c r="F236" s="35"/>
      <c r="G236" s="35"/>
      <c r="H236" s="35"/>
      <c r="I236" s="35"/>
      <c r="J236" s="36"/>
      <c r="K236" s="35"/>
      <c r="L236" s="36"/>
      <c r="M236" s="35"/>
      <c r="N236" s="36"/>
      <c r="O236" s="35"/>
      <c r="P236" s="36"/>
      <c r="Q236" s="35"/>
      <c r="R236" s="36"/>
      <c r="S236" s="36">
        <v>0</v>
      </c>
      <c r="T236" s="36"/>
      <c r="U236" s="98">
        <v>0</v>
      </c>
      <c r="V236" s="98">
        <v>21504</v>
      </c>
      <c r="W236" s="98">
        <v>439646.28</v>
      </c>
      <c r="X236" s="98">
        <v>2676014</v>
      </c>
      <c r="Y236" s="98">
        <v>0</v>
      </c>
      <c r="Z236" s="99">
        <v>0</v>
      </c>
      <c r="AA236" s="98">
        <v>0</v>
      </c>
    </row>
    <row r="237" spans="1:27" ht="15" hidden="1">
      <c r="A237" s="67"/>
      <c r="B237" s="67"/>
      <c r="C237" s="34" t="s">
        <v>181</v>
      </c>
      <c r="D237" s="34" t="s">
        <v>197</v>
      </c>
      <c r="E237" s="35"/>
      <c r="F237" s="35"/>
      <c r="G237" s="35"/>
      <c r="H237" s="35"/>
      <c r="I237" s="35"/>
      <c r="J237" s="36"/>
      <c r="K237" s="35"/>
      <c r="L237" s="36"/>
      <c r="M237" s="35"/>
      <c r="N237" s="36"/>
      <c r="O237" s="35"/>
      <c r="P237" s="36"/>
      <c r="Q237" s="35"/>
      <c r="R237" s="36"/>
      <c r="S237" s="98">
        <v>0</v>
      </c>
      <c r="T237" s="98"/>
      <c r="U237" s="98">
        <v>0</v>
      </c>
      <c r="V237" s="98">
        <v>0</v>
      </c>
      <c r="W237" s="98">
        <v>0</v>
      </c>
      <c r="X237" s="98">
        <v>0</v>
      </c>
      <c r="Y237" s="98">
        <v>0</v>
      </c>
      <c r="Z237" s="99">
        <v>0</v>
      </c>
      <c r="AA237" s="98">
        <v>0</v>
      </c>
    </row>
    <row r="238" spans="1:27" ht="15">
      <c r="A238" s="43">
        <v>454579220</v>
      </c>
      <c r="B238" s="43">
        <v>3934</v>
      </c>
      <c r="C238" s="39" t="s">
        <v>181</v>
      </c>
      <c r="D238" s="39" t="s">
        <v>198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1">
        <v>1640000</v>
      </c>
      <c r="K238" s="40">
        <v>0</v>
      </c>
      <c r="L238" s="41">
        <v>2824000</v>
      </c>
      <c r="M238" s="40">
        <v>1090436.75</v>
      </c>
      <c r="N238" s="41">
        <v>0</v>
      </c>
      <c r="O238" s="40">
        <v>11677.7</v>
      </c>
      <c r="P238" s="41">
        <v>0</v>
      </c>
      <c r="Q238" s="40"/>
      <c r="R238" s="41">
        <v>0</v>
      </c>
      <c r="S238" s="92">
        <v>0</v>
      </c>
      <c r="T238" s="92"/>
      <c r="U238" s="92">
        <v>0</v>
      </c>
      <c r="V238" s="92">
        <v>0</v>
      </c>
      <c r="W238" s="92">
        <v>0</v>
      </c>
      <c r="X238" s="92">
        <v>0</v>
      </c>
      <c r="Y238" s="92">
        <v>0</v>
      </c>
      <c r="Z238" s="93">
        <v>0</v>
      </c>
      <c r="AA238" s="92">
        <v>75000</v>
      </c>
    </row>
    <row r="239" spans="1:27" ht="12.75">
      <c r="A239" s="34"/>
      <c r="B239" s="34"/>
      <c r="C239" s="34"/>
      <c r="D239" s="34"/>
      <c r="E239" s="36">
        <f>SUM(E228:E238)</f>
        <v>0</v>
      </c>
      <c r="F239" s="36">
        <f>SUM(F228:F238)</f>
        <v>0</v>
      </c>
      <c r="G239" s="36">
        <f>SUM(G228:G238)</f>
        <v>0</v>
      </c>
      <c r="H239" s="36">
        <f>SUM(H228:H238)</f>
        <v>0</v>
      </c>
      <c r="I239" s="36">
        <f>SUM(I228:I238)</f>
        <v>0</v>
      </c>
      <c r="J239" s="35" t="e">
        <f>#N/A</f>
        <v>#N/A</v>
      </c>
      <c r="K239" s="35" t="e">
        <f>#N/A</f>
        <v>#N/A</v>
      </c>
      <c r="L239" s="35" t="e">
        <f>#N/A</f>
        <v>#N/A</v>
      </c>
      <c r="M239" s="35" t="e">
        <f>#N/A</f>
        <v>#N/A</v>
      </c>
      <c r="N239" s="36" t="e">
        <f>#N/A</f>
        <v>#N/A</v>
      </c>
      <c r="O239" s="35">
        <f>SUM(O208:O238)</f>
        <v>6439588.13</v>
      </c>
      <c r="P239" s="36">
        <f>SUM(P208:P238)</f>
        <v>981902.2865454545</v>
      </c>
      <c r="Q239" s="36">
        <f>SUM(Q208:Q238)</f>
        <v>4085006.4800000004</v>
      </c>
      <c r="R239" s="36">
        <f>SUM(R208:R238)</f>
        <v>9931057</v>
      </c>
      <c r="S239" s="36">
        <f>SUM(S228:S238)</f>
        <v>371556.3</v>
      </c>
      <c r="T239" s="36">
        <f aca="true" t="shared" si="6" ref="T239:AA239">SUM(T228:T238)</f>
        <v>0</v>
      </c>
      <c r="U239" s="36">
        <f t="shared" si="6"/>
        <v>1831066.1</v>
      </c>
      <c r="V239" s="36">
        <f t="shared" si="6"/>
        <v>21504</v>
      </c>
      <c r="W239" s="36">
        <f t="shared" si="6"/>
        <v>439646.28</v>
      </c>
      <c r="X239" s="36">
        <f t="shared" si="6"/>
        <v>2726888</v>
      </c>
      <c r="Y239" s="36">
        <f t="shared" si="6"/>
        <v>1505</v>
      </c>
      <c r="Z239" s="37">
        <f>SUM(Z228:Z238)</f>
        <v>9520000</v>
      </c>
      <c r="AA239" s="36">
        <f t="shared" si="6"/>
        <v>75000</v>
      </c>
    </row>
    <row r="240" spans="1:27" ht="12.75">
      <c r="A240" s="34"/>
      <c r="B240" s="34"/>
      <c r="C240" s="34"/>
      <c r="D240" s="34"/>
      <c r="E240" s="36"/>
      <c r="F240" s="36"/>
      <c r="G240" s="36"/>
      <c r="H240" s="36"/>
      <c r="I240" s="36"/>
      <c r="J240" s="35"/>
      <c r="K240" s="35"/>
      <c r="L240" s="35"/>
      <c r="M240" s="35"/>
      <c r="N240" s="36"/>
      <c r="O240" s="35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7"/>
      <c r="AA240" s="36"/>
    </row>
    <row r="241" spans="1:27" ht="12.75">
      <c r="A241" s="39"/>
      <c r="B241" s="39"/>
      <c r="C241" s="108" t="s">
        <v>178</v>
      </c>
      <c r="D241" s="40"/>
      <c r="E241" s="109">
        <f>+E239+E148+E190+E179+E200+E215</f>
        <v>25888240</v>
      </c>
      <c r="F241" s="109">
        <f>+F239+F148+F190+F179+F200+F215</f>
        <v>31361125.359000012</v>
      </c>
      <c r="G241" s="109">
        <f>+G239+G148+G190+G179+G200+G215</f>
        <v>25262999</v>
      </c>
      <c r="H241" s="109">
        <f>+H239+H148+H190+H179+H200+H215</f>
        <v>25720060.540000003</v>
      </c>
      <c r="I241" s="109">
        <f>+I239+I148+I190+I179+I200+I215</f>
        <v>16251831</v>
      </c>
      <c r="J241" s="41" t="e">
        <f>#N/A</f>
        <v>#N/A</v>
      </c>
      <c r="K241" s="40" t="e">
        <f>#N/A</f>
        <v>#N/A</v>
      </c>
      <c r="L241" s="41" t="e">
        <f>#N/A</f>
        <v>#N/A</v>
      </c>
      <c r="M241" s="40" t="e">
        <f>#N/A</f>
        <v>#N/A</v>
      </c>
      <c r="N241" s="41" t="e">
        <f>#N/A</f>
        <v>#N/A</v>
      </c>
      <c r="O241" s="40">
        <f>+O239+O148+O190+O179+O200</f>
        <v>33205003.499999996</v>
      </c>
      <c r="P241" s="41">
        <f>+P239+P148+P190+P179+P200</f>
        <v>27259068.235636372</v>
      </c>
      <c r="Q241" s="41">
        <f>+Q239+Q148+Q190+Q179+Q200</f>
        <v>29783629.1</v>
      </c>
      <c r="R241" s="41">
        <f>+R239+R148+R190+R179+R200</f>
        <v>39218430.41472727</v>
      </c>
      <c r="S241" s="109">
        <f>+S239+S148+S190+S179+S200+S215</f>
        <v>30081982.400000002</v>
      </c>
      <c r="T241" s="109">
        <f aca="true" t="shared" si="7" ref="T241:AA241">+T239+T148+T190+T179+T200+T215</f>
        <v>29007041</v>
      </c>
      <c r="U241" s="109">
        <f t="shared" si="7"/>
        <v>33234225.810000002</v>
      </c>
      <c r="V241" s="109">
        <f t="shared" si="7"/>
        <v>31850803.720000003</v>
      </c>
      <c r="W241" s="109">
        <f t="shared" si="7"/>
        <v>34253379.910000004</v>
      </c>
      <c r="X241" s="109">
        <f t="shared" si="7"/>
        <v>35252151.339999996</v>
      </c>
      <c r="Y241" s="109">
        <f>+Y239+Y148+Y190+Y179+Y200+Y215</f>
        <v>37091355.5</v>
      </c>
      <c r="Z241" s="110">
        <f>+Z239+Z148+Z190+Z179+Z200+Z215</f>
        <v>45016870</v>
      </c>
      <c r="AA241" s="109">
        <f t="shared" si="7"/>
        <v>36994495</v>
      </c>
    </row>
    <row r="242" spans="1:27" ht="12.75">
      <c r="A242" s="34"/>
      <c r="B242" s="34"/>
      <c r="C242" s="34"/>
      <c r="D242" s="35"/>
      <c r="E242" s="36"/>
      <c r="F242" s="36"/>
      <c r="G242" s="36"/>
      <c r="H242" s="36"/>
      <c r="I242" s="36"/>
      <c r="J242" s="36"/>
      <c r="K242" s="35"/>
      <c r="L242" s="36"/>
      <c r="M242" s="35"/>
      <c r="N242" s="36"/>
      <c r="O242" s="35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7"/>
      <c r="AA242" s="36"/>
    </row>
    <row r="243" spans="1:27" s="87" customFormat="1" ht="12.75">
      <c r="A243" s="6"/>
      <c r="B243" s="6"/>
      <c r="C243" s="6" t="s">
        <v>199</v>
      </c>
      <c r="D243" s="6"/>
      <c r="E243" s="5"/>
      <c r="F243" s="5">
        <v>27254064.24</v>
      </c>
      <c r="G243" s="5"/>
      <c r="H243" s="5">
        <f>-121140.05+25492.5+25732150.06</f>
        <v>25636502.509999998</v>
      </c>
      <c r="I243" s="5">
        <f>27707254-I241</f>
        <v>11455423</v>
      </c>
      <c r="J243" s="4"/>
      <c r="K243" s="5">
        <v>26300326.01</v>
      </c>
      <c r="L243" s="6"/>
      <c r="M243" s="5">
        <v>26853111.84</v>
      </c>
      <c r="N243" s="4"/>
      <c r="O243" s="5">
        <v>28323354.65</v>
      </c>
      <c r="P243" s="4"/>
      <c r="Q243" s="5">
        <v>29140031.54</v>
      </c>
      <c r="R243" s="4"/>
      <c r="S243" s="4">
        <v>30166575.3</v>
      </c>
      <c r="T243" s="4"/>
      <c r="U243" s="4">
        <v>31112821.02</v>
      </c>
      <c r="V243" s="4">
        <v>34582137.53</v>
      </c>
      <c r="W243" s="4">
        <v>32654810.68</v>
      </c>
      <c r="X243" s="4">
        <v>35331703</v>
      </c>
      <c r="Y243" s="4">
        <v>38622055</v>
      </c>
      <c r="Z243" s="4"/>
      <c r="AA243" s="111"/>
    </row>
    <row r="244" spans="3:25" ht="15">
      <c r="C244" s="6" t="s">
        <v>200</v>
      </c>
      <c r="E244" s="112"/>
      <c r="F244" s="112">
        <v>-141886</v>
      </c>
      <c r="G244" s="112"/>
      <c r="H244" s="112">
        <v>-25492.5</v>
      </c>
      <c r="K244" s="112">
        <v>0</v>
      </c>
      <c r="M244" s="112">
        <v>-86987</v>
      </c>
      <c r="O244" s="112">
        <v>0</v>
      </c>
      <c r="P244" s="4"/>
      <c r="Q244" s="112">
        <v>-104900</v>
      </c>
      <c r="R244" s="4"/>
      <c r="S244" s="113">
        <v>-92535</v>
      </c>
      <c r="U244" s="113">
        <v>0</v>
      </c>
      <c r="V244" s="113">
        <v>-20278</v>
      </c>
      <c r="W244" s="113">
        <v>-900</v>
      </c>
      <c r="X244" s="113">
        <v>-1500</v>
      </c>
      <c r="Y244" s="113">
        <v>-2600</v>
      </c>
    </row>
    <row r="245" spans="3:25" ht="12.75">
      <c r="C245" s="6" t="s">
        <v>201</v>
      </c>
      <c r="E245" s="5"/>
      <c r="F245" s="5">
        <f>SUM(F243:F244)</f>
        <v>27112178.24</v>
      </c>
      <c r="G245" s="5"/>
      <c r="H245" s="5">
        <f>SUM(H243:H244)</f>
        <v>25611010.009999998</v>
      </c>
      <c r="K245" s="5">
        <f>SUM(K243:K244)</f>
        <v>26300326.01</v>
      </c>
      <c r="M245" s="5">
        <f>SUM(M243:M244)</f>
        <v>26766124.84</v>
      </c>
      <c r="O245" s="5">
        <f>SUM(O243:O244)</f>
        <v>28323354.65</v>
      </c>
      <c r="P245" s="4"/>
      <c r="Q245" s="5">
        <f>SUM(Q243:Q244)</f>
        <v>29035131.54</v>
      </c>
      <c r="R245" s="4"/>
      <c r="S245" s="4">
        <f>SUM(S243:S244)</f>
        <v>30074040.3</v>
      </c>
      <c r="U245" s="4">
        <f>SUM(U243:U244)</f>
        <v>31112821.02</v>
      </c>
      <c r="V245" s="4">
        <f>SUM(V243:V244)</f>
        <v>34561859.53</v>
      </c>
      <c r="W245" s="4">
        <f>SUM(W243:W244)</f>
        <v>32653910.68</v>
      </c>
      <c r="X245" s="4">
        <f>SUM(X243:X244)</f>
        <v>35330203</v>
      </c>
      <c r="Y245" s="4">
        <f>SUM(Y243:Y244)</f>
        <v>38619455</v>
      </c>
    </row>
    <row r="246" spans="3:25" ht="12.75">
      <c r="C246" s="6" t="s">
        <v>202</v>
      </c>
      <c r="E246" s="5"/>
      <c r="F246" s="5">
        <f>+F33</f>
        <v>-389616.16</v>
      </c>
      <c r="G246" s="5"/>
      <c r="H246" s="5">
        <f>+H33</f>
        <v>81693.92</v>
      </c>
      <c r="K246" s="5">
        <f>+K33</f>
        <v>40951.18</v>
      </c>
      <c r="M246" s="5">
        <f>+M33</f>
        <v>-191880.9</v>
      </c>
      <c r="N246" s="5">
        <f>+N33</f>
        <v>0</v>
      </c>
      <c r="O246" s="5">
        <f>+O33</f>
        <v>-577132.15</v>
      </c>
      <c r="P246" s="5">
        <f>+P33</f>
        <v>0</v>
      </c>
      <c r="Q246" s="5">
        <f>+Q33</f>
        <v>-1107530.76</v>
      </c>
      <c r="R246" s="4"/>
      <c r="S246" s="4">
        <f>+S33</f>
        <v>-630870.76</v>
      </c>
      <c r="U246" s="4">
        <f>+U33</f>
        <v>-2307932.13</v>
      </c>
      <c r="V246" s="4">
        <f>+V33</f>
        <v>-106349.7</v>
      </c>
      <c r="W246" s="4">
        <f>+W33</f>
        <v>-1036734.35</v>
      </c>
      <c r="X246" s="4">
        <f>+X33</f>
        <v>-2407826.77</v>
      </c>
      <c r="Y246" s="4">
        <f>+Y33</f>
        <v>-1066588</v>
      </c>
    </row>
    <row r="247" spans="3:25" ht="12.75">
      <c r="C247" s="6" t="s">
        <v>203</v>
      </c>
      <c r="E247" s="5"/>
      <c r="F247" s="5"/>
      <c r="G247" s="5"/>
      <c r="H247" s="5"/>
      <c r="K247" s="5"/>
      <c r="N247" s="5"/>
      <c r="O247" s="5">
        <f>-O84</f>
        <v>0</v>
      </c>
      <c r="P247" s="5">
        <f>-P84</f>
        <v>0</v>
      </c>
      <c r="Q247" s="5">
        <f>-Q84</f>
        <v>0</v>
      </c>
      <c r="R247" s="5">
        <f>-R84</f>
        <v>0</v>
      </c>
      <c r="S247" s="4">
        <f aca="true" t="shared" si="8" ref="S247:Y247">S84</f>
        <v>107673.14</v>
      </c>
      <c r="T247" s="4">
        <f t="shared" si="8"/>
        <v>0</v>
      </c>
      <c r="U247" s="4">
        <f t="shared" si="8"/>
        <v>-3692.27</v>
      </c>
      <c r="V247" s="4">
        <f t="shared" si="8"/>
        <v>-112946</v>
      </c>
      <c r="W247" s="4">
        <f t="shared" si="8"/>
        <v>245146</v>
      </c>
      <c r="X247" s="4">
        <f t="shared" si="8"/>
        <v>-127974</v>
      </c>
      <c r="Y247" s="4">
        <f t="shared" si="8"/>
        <v>-127974</v>
      </c>
    </row>
    <row r="248" spans="3:25" ht="12.75">
      <c r="C248" s="6" t="s">
        <v>204</v>
      </c>
      <c r="E248" s="5"/>
      <c r="F248" s="5">
        <f>+F176</f>
        <v>4739373.79</v>
      </c>
      <c r="G248" s="5"/>
      <c r="H248" s="5">
        <f>+H176</f>
        <v>152605.16</v>
      </c>
      <c r="K248" s="5">
        <f>+K176</f>
        <v>-113932.75</v>
      </c>
      <c r="M248" s="5">
        <f>+M176</f>
        <v>528353</v>
      </c>
      <c r="O248" s="5">
        <f>+O176</f>
        <v>439978.93</v>
      </c>
      <c r="P248" s="4"/>
      <c r="Q248" s="5">
        <f>+Q176</f>
        <v>-174281.65</v>
      </c>
      <c r="R248" s="4"/>
      <c r="S248" s="4">
        <f>+S176</f>
        <v>112903.82</v>
      </c>
      <c r="U248" s="4">
        <f>+U176</f>
        <v>-755070.74</v>
      </c>
      <c r="V248" s="4">
        <f>+V176</f>
        <v>-576847.01</v>
      </c>
      <c r="W248" s="4">
        <f>+W176</f>
        <v>-271532</v>
      </c>
      <c r="X248" s="4">
        <f>+X176</f>
        <v>-762353.15</v>
      </c>
      <c r="Y248" s="4">
        <f>+Y176</f>
        <v>0</v>
      </c>
    </row>
    <row r="249" spans="3:25" ht="12.75">
      <c r="C249" s="6" t="s">
        <v>205</v>
      </c>
      <c r="E249" s="5"/>
      <c r="F249" s="5">
        <f>+F189</f>
        <v>-94010.24</v>
      </c>
      <c r="G249" s="5"/>
      <c r="H249" s="5">
        <f>+H189</f>
        <v>-57966.45</v>
      </c>
      <c r="K249" s="5">
        <f>+K189</f>
        <v>174660.22</v>
      </c>
      <c r="M249" s="5">
        <f>+M189</f>
        <v>-54091.55000000002</v>
      </c>
      <c r="O249" s="5">
        <f>+O189</f>
        <v>243161.55</v>
      </c>
      <c r="P249" s="4"/>
      <c r="Q249" s="5">
        <f>+Q189</f>
        <v>-28061.43</v>
      </c>
      <c r="R249" s="4"/>
      <c r="S249" s="4">
        <f>+S189</f>
        <v>44974.88</v>
      </c>
      <c r="U249" s="4">
        <f>+U189</f>
        <v>-76681.98</v>
      </c>
      <c r="V249" s="4">
        <f>+V189</f>
        <v>-33351.24</v>
      </c>
      <c r="W249" s="4">
        <f>+W189</f>
        <v>-2387</v>
      </c>
      <c r="X249" s="4">
        <f>+X189</f>
        <v>127491</v>
      </c>
      <c r="Y249" s="4">
        <f>+Y189</f>
        <v>0</v>
      </c>
    </row>
    <row r="250" spans="3:25" ht="12.75">
      <c r="C250" s="6" t="s">
        <v>206</v>
      </c>
      <c r="E250" s="5"/>
      <c r="F250" s="5">
        <f>+F199</f>
        <v>7626.99</v>
      </c>
      <c r="G250" s="5"/>
      <c r="H250" s="5">
        <f>+H199</f>
        <v>-3590.7</v>
      </c>
      <c r="K250" s="5">
        <f>+K199</f>
        <v>-1190.08</v>
      </c>
      <c r="M250" s="5">
        <f>+M199</f>
        <v>-9481.1</v>
      </c>
      <c r="O250" s="5">
        <f>+O199</f>
        <v>-8327.23</v>
      </c>
      <c r="P250" s="4"/>
      <c r="Q250" s="5">
        <f>+Q199</f>
        <v>-3208.97</v>
      </c>
      <c r="R250" s="4"/>
      <c r="S250" s="4">
        <f>+S199</f>
        <v>-793.79</v>
      </c>
      <c r="U250" s="4">
        <f>+U199</f>
        <v>-2738.24</v>
      </c>
      <c r="V250" s="4">
        <f>+V199</f>
        <v>-2533.28</v>
      </c>
      <c r="W250" s="4">
        <f>+W199</f>
        <v>-14076</v>
      </c>
      <c r="X250" s="4">
        <f>+X199</f>
        <v>-9677.4</v>
      </c>
      <c r="Y250" s="4">
        <f>+Y199</f>
        <v>0</v>
      </c>
    </row>
    <row r="251" spans="3:25" ht="12.75" hidden="1">
      <c r="C251" s="6" t="s">
        <v>207</v>
      </c>
      <c r="E251" s="5"/>
      <c r="F251" s="5">
        <v>0</v>
      </c>
      <c r="G251" s="5"/>
      <c r="H251" s="5">
        <v>0</v>
      </c>
      <c r="K251" s="5">
        <v>0</v>
      </c>
      <c r="M251" s="5">
        <v>0</v>
      </c>
      <c r="O251" s="5">
        <v>0</v>
      </c>
      <c r="P251" s="4"/>
      <c r="Q251" s="5">
        <v>0</v>
      </c>
      <c r="R251" s="4"/>
      <c r="S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</row>
    <row r="252" spans="3:25" ht="12.75" hidden="1">
      <c r="C252" s="6" t="s">
        <v>208</v>
      </c>
      <c r="E252" s="5"/>
      <c r="F252" s="5">
        <v>0</v>
      </c>
      <c r="G252" s="5"/>
      <c r="H252" s="5">
        <v>0</v>
      </c>
      <c r="K252" s="5">
        <v>0</v>
      </c>
      <c r="M252" s="5">
        <v>0</v>
      </c>
      <c r="O252" s="5">
        <v>0</v>
      </c>
      <c r="P252" s="4"/>
      <c r="Q252" s="5">
        <v>0</v>
      </c>
      <c r="R252" s="4"/>
      <c r="S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</row>
    <row r="253" spans="3:25" ht="12.75">
      <c r="C253" s="6" t="s">
        <v>209</v>
      </c>
      <c r="E253" s="5"/>
      <c r="F253" s="5">
        <v>0</v>
      </c>
      <c r="G253" s="5"/>
      <c r="H253" s="5">
        <v>0</v>
      </c>
      <c r="K253" s="5">
        <f>+K229</f>
        <v>579728.7</v>
      </c>
      <c r="M253" s="5">
        <f>+M229</f>
        <v>-3756.56</v>
      </c>
      <c r="O253" s="5">
        <f>+O229</f>
        <v>898692.8699999999</v>
      </c>
      <c r="P253" s="5">
        <f>+P232+P229</f>
        <v>0</v>
      </c>
      <c r="R253" s="5">
        <f>+R232+R229</f>
        <v>0</v>
      </c>
      <c r="T253" s="4">
        <f>+T232+T229</f>
        <v>0</v>
      </c>
      <c r="U253" s="4">
        <f>+U232+U229</f>
        <v>0</v>
      </c>
      <c r="V253" s="4">
        <f>+V232+V229</f>
        <v>0</v>
      </c>
      <c r="W253" s="4">
        <f>+W236</f>
        <v>439646.28</v>
      </c>
      <c r="X253" s="4">
        <v>0</v>
      </c>
      <c r="Y253" s="4">
        <f>+Y236</f>
        <v>0</v>
      </c>
    </row>
    <row r="254" spans="3:25" ht="12.75">
      <c r="C254" s="6" t="s">
        <v>210</v>
      </c>
      <c r="E254" s="5"/>
      <c r="F254" s="5"/>
      <c r="G254" s="5"/>
      <c r="H254" s="5"/>
      <c r="K254" s="5"/>
      <c r="O254" s="5">
        <f aca="true" t="shared" si="9" ref="O254:W254">+O235+O233+O234</f>
        <v>2080827.55</v>
      </c>
      <c r="P254" s="5">
        <f t="shared" si="9"/>
        <v>0</v>
      </c>
      <c r="Q254" s="5">
        <f t="shared" si="9"/>
        <v>327500.51</v>
      </c>
      <c r="R254" s="5">
        <f t="shared" si="9"/>
        <v>7075000</v>
      </c>
      <c r="S254" s="4">
        <f t="shared" si="9"/>
        <v>371109.44</v>
      </c>
      <c r="T254" s="4">
        <f t="shared" si="9"/>
        <v>0</v>
      </c>
      <c r="U254" s="4">
        <f t="shared" si="9"/>
        <v>1831066.1</v>
      </c>
      <c r="V254" s="4">
        <f t="shared" si="9"/>
        <v>0</v>
      </c>
      <c r="W254" s="4">
        <f t="shared" si="9"/>
        <v>0</v>
      </c>
      <c r="X254" s="4">
        <f>+X235+X233+X234</f>
        <v>0</v>
      </c>
      <c r="Y254" s="4">
        <f>+Y235+Y233+Y234</f>
        <v>0</v>
      </c>
    </row>
    <row r="255" spans="3:25" ht="15">
      <c r="C255" s="6" t="s">
        <v>211</v>
      </c>
      <c r="E255" s="112"/>
      <c r="F255" s="112" t="e">
        <f>+#REF!</f>
        <v>#REF!</v>
      </c>
      <c r="G255" s="112"/>
      <c r="H255" s="112" t="e">
        <f>+#REF!</f>
        <v>#REF!</v>
      </c>
      <c r="I255" s="112"/>
      <c r="K255" s="112" t="e">
        <f>+#REF!</f>
        <v>#REF!</v>
      </c>
      <c r="M255" s="112" t="e">
        <f>+#REF!</f>
        <v>#REF!</v>
      </c>
      <c r="N255" s="112" t="e">
        <f>+#REF!</f>
        <v>#REF!</v>
      </c>
      <c r="O255" s="112" t="e">
        <f>+#REF!</f>
        <v>#REF!</v>
      </c>
      <c r="P255" s="112" t="e">
        <f>+#REF!</f>
        <v>#REF!</v>
      </c>
      <c r="Q255" s="112" t="e">
        <f>+#REF!</f>
        <v>#REF!</v>
      </c>
      <c r="R255" s="112" t="e">
        <f>+#REF!</f>
        <v>#REF!</v>
      </c>
      <c r="S255" s="113">
        <f aca="true" t="shared" si="10" ref="S255:Y255">+S212</f>
        <v>2945.37</v>
      </c>
      <c r="T255" s="113">
        <f t="shared" si="10"/>
        <v>0</v>
      </c>
      <c r="U255" s="113">
        <f t="shared" si="10"/>
        <v>-12584.46</v>
      </c>
      <c r="V255" s="113">
        <f t="shared" si="10"/>
        <v>7415.85</v>
      </c>
      <c r="W255" s="113">
        <f t="shared" si="10"/>
        <v>2760</v>
      </c>
      <c r="X255" s="113">
        <f t="shared" si="10"/>
        <v>-5404.63</v>
      </c>
      <c r="Y255" s="113">
        <f t="shared" si="10"/>
        <v>0</v>
      </c>
    </row>
    <row r="256" spans="3:25" ht="12.75">
      <c r="C256" s="6" t="s">
        <v>212</v>
      </c>
      <c r="E256" s="5"/>
      <c r="F256" s="5" t="e">
        <f>SUM(F245:F255)</f>
        <v>#REF!</v>
      </c>
      <c r="G256" s="5"/>
      <c r="H256" s="5" t="e">
        <f>SUM(H245:H255)</f>
        <v>#REF!</v>
      </c>
      <c r="K256" s="5" t="e">
        <f>SUM(K245:K255)</f>
        <v>#REF!</v>
      </c>
      <c r="M256" s="5" t="e">
        <f>SUM(M245:M255)</f>
        <v>#REF!</v>
      </c>
      <c r="O256" s="5" t="e">
        <f>SUM(O245:O255)</f>
        <v>#REF!</v>
      </c>
      <c r="P256" s="4"/>
      <c r="Q256" s="5" t="e">
        <f>SUM(Q245:Q255)</f>
        <v>#REF!</v>
      </c>
      <c r="R256" s="4"/>
      <c r="S256" s="4">
        <f>SUM(S245:S255)</f>
        <v>30081982.400000002</v>
      </c>
      <c r="U256" s="4">
        <f>SUM(U245:U255)</f>
        <v>29785187.300000004</v>
      </c>
      <c r="V256" s="4">
        <f>SUM(V245:V255)</f>
        <v>33737248.15</v>
      </c>
      <c r="W256" s="4">
        <f>SUM(W245:W255)</f>
        <v>32016733.61</v>
      </c>
      <c r="X256" s="4">
        <f>SUM(X245:X255)</f>
        <v>32144458.050000004</v>
      </c>
      <c r="Y256" s="4">
        <f>SUM(Y245:Y255)</f>
        <v>37424893</v>
      </c>
    </row>
    <row r="257" spans="11:18" ht="12.75">
      <c r="K257" s="5"/>
      <c r="P257" s="4"/>
      <c r="R257" s="4"/>
    </row>
    <row r="258" spans="11:18" ht="12.75">
      <c r="K258" s="5"/>
      <c r="P258" s="4"/>
      <c r="R258" s="4"/>
    </row>
    <row r="259" spans="3:25" ht="12.75">
      <c r="C259" s="6" t="s">
        <v>213</v>
      </c>
      <c r="F259" s="5">
        <v>31490115.58</v>
      </c>
      <c r="G259" s="5"/>
      <c r="H259" s="5">
        <f>25492.5+25813124.58</f>
        <v>25838617.08</v>
      </c>
      <c r="K259" s="5">
        <v>26992481.26</v>
      </c>
      <c r="M259" s="5">
        <v>27112810.37</v>
      </c>
      <c r="O259" s="5">
        <v>31398188.46</v>
      </c>
      <c r="P259" s="4"/>
      <c r="Q259" s="5">
        <v>28146159.65</v>
      </c>
      <c r="R259" s="4"/>
      <c r="S259" s="4">
        <v>30174517.4</v>
      </c>
      <c r="U259" s="4">
        <v>33432334.64</v>
      </c>
      <c r="V259" s="4">
        <v>33254503.81</v>
      </c>
      <c r="W259" s="4">
        <v>31851703.27</v>
      </c>
      <c r="X259" s="4">
        <v>34254880</v>
      </c>
      <c r="Y259" s="4">
        <v>38685776</v>
      </c>
    </row>
    <row r="260" spans="3:25" ht="15">
      <c r="C260" s="6" t="s">
        <v>200</v>
      </c>
      <c r="F260" s="112">
        <f>+F244</f>
        <v>-141886</v>
      </c>
      <c r="G260" s="112"/>
      <c r="H260" s="112">
        <f>+H244</f>
        <v>-25492.5</v>
      </c>
      <c r="K260" s="112">
        <f>+K244</f>
        <v>0</v>
      </c>
      <c r="M260" s="112">
        <f>+M244</f>
        <v>-86987</v>
      </c>
      <c r="O260" s="112">
        <f>+O244</f>
        <v>0</v>
      </c>
      <c r="P260" s="4"/>
      <c r="Q260" s="112">
        <f>+Q244</f>
        <v>-104900</v>
      </c>
      <c r="R260" s="4"/>
      <c r="S260" s="113">
        <f>+S244</f>
        <v>-92535</v>
      </c>
      <c r="U260" s="113">
        <f>+U244</f>
        <v>0</v>
      </c>
      <c r="V260" s="113">
        <f>+V244</f>
        <v>-20278</v>
      </c>
      <c r="W260" s="113">
        <f>+W244</f>
        <v>-900</v>
      </c>
      <c r="X260" s="113">
        <f>+X244</f>
        <v>-1500</v>
      </c>
      <c r="Y260" s="113">
        <f>+Y244</f>
        <v>-2600</v>
      </c>
    </row>
    <row r="261" spans="3:25" ht="12.75">
      <c r="C261" s="6" t="s">
        <v>214</v>
      </c>
      <c r="F261" s="5">
        <f>SUM(F259:F260)</f>
        <v>31348229.58</v>
      </c>
      <c r="G261" s="5"/>
      <c r="H261" s="5">
        <f>SUM(H259:H260)</f>
        <v>25813124.58</v>
      </c>
      <c r="K261" s="5">
        <f>SUM(K259:K260)</f>
        <v>26992481.26</v>
      </c>
      <c r="M261" s="5">
        <f>SUM(M259:M260)</f>
        <v>27025823.37</v>
      </c>
      <c r="O261" s="5">
        <f>SUM(O259:O260)</f>
        <v>31398188.46</v>
      </c>
      <c r="P261" s="4"/>
      <c r="Q261" s="5">
        <f>SUM(Q259:Q260)</f>
        <v>28041259.65</v>
      </c>
      <c r="R261" s="4"/>
      <c r="S261" s="4">
        <f>SUM(S259:S260)</f>
        <v>30081982.4</v>
      </c>
      <c r="U261" s="4">
        <f>SUM(U259:U260)</f>
        <v>33432334.64</v>
      </c>
      <c r="V261" s="4">
        <f>SUM(V259:V260)</f>
        <v>33234225.81</v>
      </c>
      <c r="W261" s="4">
        <f>SUM(W259:W260)</f>
        <v>31850803.27</v>
      </c>
      <c r="X261" s="4">
        <f>SUM(X259:X260)</f>
        <v>34253380</v>
      </c>
      <c r="Y261" s="4">
        <f>SUM(Y259:Y260)</f>
        <v>38683176</v>
      </c>
    </row>
    <row r="262" spans="6:25" ht="12.75">
      <c r="F262" s="5"/>
      <c r="H262" s="5"/>
      <c r="K262" s="5"/>
      <c r="O262" s="5" t="e">
        <f>+O261-O256</f>
        <v>#REF!</v>
      </c>
      <c r="Q262" s="5" t="e">
        <f>+Q261-Q256</f>
        <v>#REF!</v>
      </c>
      <c r="R262" s="4"/>
      <c r="S262" s="4">
        <f>+S261-S256</f>
        <v>0</v>
      </c>
      <c r="U262" s="4">
        <f>+U261-U256</f>
        <v>3647147.339999996</v>
      </c>
      <c r="V262" s="4">
        <f>+V261-V256</f>
        <v>-503022.33999999985</v>
      </c>
      <c r="W262" s="4">
        <f>+W261-W256</f>
        <v>-165930.33999999985</v>
      </c>
      <c r="X262" s="4">
        <f>+X261-X256</f>
        <v>2108921.9499999955</v>
      </c>
      <c r="Y262" s="4">
        <f>+Y261-Y256</f>
        <v>1258283</v>
      </c>
    </row>
    <row r="263" spans="11:18" ht="12.75">
      <c r="K263" s="5"/>
      <c r="R263" s="4"/>
    </row>
    <row r="264" spans="11:25" ht="12.75">
      <c r="K264" s="5"/>
      <c r="O264" s="5">
        <f>+O261-O241</f>
        <v>-1806815.0399999954</v>
      </c>
      <c r="P264" s="5">
        <f aca="true" t="shared" si="11" ref="P264:W264">+P261-P241</f>
        <v>-27259068.235636372</v>
      </c>
      <c r="Q264" s="5">
        <f t="shared" si="11"/>
        <v>-1742369.450000003</v>
      </c>
      <c r="R264" s="5">
        <f t="shared" si="11"/>
        <v>-39218430.41472727</v>
      </c>
      <c r="S264" s="4">
        <f t="shared" si="11"/>
        <v>0</v>
      </c>
      <c r="T264" s="4">
        <f t="shared" si="11"/>
        <v>-29007041</v>
      </c>
      <c r="U264" s="4">
        <f t="shared" si="11"/>
        <v>198108.8299999982</v>
      </c>
      <c r="V264" s="4">
        <f t="shared" si="11"/>
        <v>1383422.0899999961</v>
      </c>
      <c r="W264" s="4">
        <f t="shared" si="11"/>
        <v>-2402576.6400000043</v>
      </c>
      <c r="X264" s="4">
        <f>+X261-X241</f>
        <v>-998771.3399999961</v>
      </c>
      <c r="Y264" s="4">
        <f>+Y261-Y241</f>
        <v>1591820.5</v>
      </c>
    </row>
    <row r="265" spans="3:27" ht="12.75">
      <c r="C265" s="6" t="s">
        <v>215</v>
      </c>
      <c r="E265" s="4">
        <f>-E123</f>
        <v>-12875413</v>
      </c>
      <c r="F265" s="4"/>
      <c r="G265" s="4">
        <f>-G123</f>
        <v>-12151669</v>
      </c>
      <c r="H265" s="4"/>
      <c r="I265" s="4">
        <f>-I123</f>
        <v>0</v>
      </c>
      <c r="J265" s="4">
        <f>-J123</f>
        <v>-12915864</v>
      </c>
      <c r="K265" s="5"/>
      <c r="L265" s="4">
        <f>-L123</f>
        <v>-12904076</v>
      </c>
      <c r="N265" s="4">
        <f>-N130</f>
        <v>-28.053548387096775</v>
      </c>
      <c r="R265" s="4">
        <f>-R123</f>
        <v>-14134235</v>
      </c>
      <c r="T265" s="4">
        <f>-T123</f>
        <v>-14775898</v>
      </c>
      <c r="Z265" s="4">
        <f>-Z123</f>
        <v>-17139076</v>
      </c>
      <c r="AA265" s="4">
        <f>-AA123</f>
        <v>-18579836</v>
      </c>
    </row>
    <row r="266" spans="3:27" ht="12.75">
      <c r="C266" s="6" t="s">
        <v>216</v>
      </c>
      <c r="E266" s="4">
        <f>-E132</f>
        <v>420599</v>
      </c>
      <c r="F266" s="4"/>
      <c r="G266" s="4">
        <f>-G132</f>
        <v>383000</v>
      </c>
      <c r="H266" s="4"/>
      <c r="I266" s="4">
        <f>-I132</f>
        <v>394829</v>
      </c>
      <c r="J266" s="4">
        <f>-J132</f>
        <v>395064</v>
      </c>
      <c r="K266" s="5"/>
      <c r="L266" s="4">
        <f>-L132</f>
        <v>349425</v>
      </c>
      <c r="N266" s="4">
        <f>-N139</f>
        <v>-86634.5161290323</v>
      </c>
      <c r="R266" s="4">
        <f>-R132</f>
        <v>325000</v>
      </c>
      <c r="T266" s="4">
        <v>322233</v>
      </c>
      <c r="Z266" s="4">
        <f>-Z132</f>
        <v>375000</v>
      </c>
      <c r="AA266" s="4">
        <f>-AA132</f>
        <v>375000</v>
      </c>
    </row>
    <row r="267" spans="3:27" ht="12.75">
      <c r="C267" s="6" t="s">
        <v>217</v>
      </c>
      <c r="E267" s="4">
        <f>-E33</f>
        <v>-553433</v>
      </c>
      <c r="F267" s="4"/>
      <c r="G267" s="4">
        <f>-G33</f>
        <v>-500000</v>
      </c>
      <c r="H267" s="4"/>
      <c r="I267" s="4">
        <f>-I33</f>
        <v>-1383646</v>
      </c>
      <c r="J267" s="4">
        <f>-J33</f>
        <v>0</v>
      </c>
      <c r="K267" s="5"/>
      <c r="L267" s="4">
        <f>-L33</f>
        <v>-65000</v>
      </c>
      <c r="N267" s="4">
        <f>-N33</f>
        <v>0</v>
      </c>
      <c r="R267" s="4">
        <f>-R33</f>
        <v>0</v>
      </c>
      <c r="T267" s="4">
        <f>-T33</f>
        <v>0</v>
      </c>
      <c r="Z267" s="4">
        <f>-Z33</f>
        <v>-1550000</v>
      </c>
      <c r="AA267" s="4">
        <f>-AA33</f>
        <v>-1650000</v>
      </c>
    </row>
    <row r="268" spans="3:27" ht="12.75">
      <c r="C268" s="6" t="s">
        <v>218</v>
      </c>
      <c r="E268" s="4">
        <v>0</v>
      </c>
      <c r="F268" s="4"/>
      <c r="G268" s="4">
        <v>0</v>
      </c>
      <c r="H268" s="4"/>
      <c r="I268" s="4">
        <v>0</v>
      </c>
      <c r="J268" s="4">
        <v>0</v>
      </c>
      <c r="K268" s="5"/>
      <c r="L268" s="4">
        <v>0</v>
      </c>
      <c r="N268" s="4">
        <v>0</v>
      </c>
      <c r="R268" s="4">
        <v>0</v>
      </c>
      <c r="T268" s="4">
        <v>0</v>
      </c>
      <c r="Z268" s="4">
        <v>0</v>
      </c>
      <c r="AA268" s="4">
        <v>0</v>
      </c>
    </row>
    <row r="269" spans="3:27" ht="12.75">
      <c r="C269" s="6" t="s">
        <v>219</v>
      </c>
      <c r="E269" s="114">
        <v>0</v>
      </c>
      <c r="F269" s="114"/>
      <c r="G269" s="114">
        <v>0</v>
      </c>
      <c r="H269" s="114"/>
      <c r="I269" s="114">
        <v>0</v>
      </c>
      <c r="J269" s="114">
        <v>0</v>
      </c>
      <c r="K269" s="115"/>
      <c r="L269" s="114">
        <v>0</v>
      </c>
      <c r="M269" s="115"/>
      <c r="N269" s="114">
        <v>0</v>
      </c>
      <c r="O269" s="115"/>
      <c r="P269" s="115"/>
      <c r="Q269" s="115"/>
      <c r="R269" s="114">
        <v>0</v>
      </c>
      <c r="S269" s="114"/>
      <c r="T269" s="114">
        <v>0</v>
      </c>
      <c r="U269" s="114"/>
      <c r="V269" s="114"/>
      <c r="W269" s="114"/>
      <c r="X269" s="114"/>
      <c r="Y269" s="114"/>
      <c r="Z269" s="114">
        <v>0</v>
      </c>
      <c r="AA269" s="114">
        <v>0</v>
      </c>
    </row>
    <row r="270" spans="3:27" ht="12.75">
      <c r="C270" s="6" t="s">
        <v>220</v>
      </c>
      <c r="E270" s="4">
        <f>SUM(E241:E269)</f>
        <v>12879993</v>
      </c>
      <c r="F270" s="4"/>
      <c r="G270" s="4">
        <f>SUM(G241:G269)</f>
        <v>12994330</v>
      </c>
      <c r="H270" s="4"/>
      <c r="I270" s="4">
        <f>SUM(I241:I269)</f>
        <v>26718437</v>
      </c>
      <c r="J270" s="4" t="e">
        <f>SUM(J241:J269)</f>
        <v>#N/A</v>
      </c>
      <c r="K270" s="5"/>
      <c r="L270" s="4" t="e">
        <f>SUM(L241:L269)</f>
        <v>#N/A</v>
      </c>
      <c r="N270" s="4" t="e">
        <f>SUM(N241:N269)</f>
        <v>#N/A</v>
      </c>
      <c r="R270" s="4" t="e">
        <f>SUM(R241:R269)</f>
        <v>#REF!</v>
      </c>
      <c r="T270" s="4">
        <f>SUM(T241:T269)</f>
        <v>-14453665</v>
      </c>
      <c r="Z270" s="4">
        <f>SUM(Z241:Z269)</f>
        <v>26702794</v>
      </c>
      <c r="AA270" s="4">
        <f>SUM(AA241:AA269)</f>
        <v>17139659</v>
      </c>
    </row>
    <row r="271" spans="5:18" ht="12.75">
      <c r="E271" s="4"/>
      <c r="F271" s="4"/>
      <c r="G271" s="4"/>
      <c r="H271" s="4"/>
      <c r="I271" s="4"/>
      <c r="J271" s="4"/>
      <c r="K271" s="5"/>
      <c r="L271" s="4"/>
      <c r="R271" s="4"/>
    </row>
    <row r="272" spans="3:27" ht="12.75">
      <c r="C272" s="6" t="s">
        <v>221</v>
      </c>
      <c r="E272" s="4">
        <f>+E123</f>
        <v>12875413</v>
      </c>
      <c r="F272" s="4"/>
      <c r="G272" s="4">
        <f>+G123</f>
        <v>12151669</v>
      </c>
      <c r="H272" s="4"/>
      <c r="I272" s="4">
        <f>+I123</f>
        <v>0</v>
      </c>
      <c r="J272" s="4">
        <f>+J123</f>
        <v>12915864</v>
      </c>
      <c r="K272" s="5"/>
      <c r="L272" s="4">
        <f>+L123</f>
        <v>12904076</v>
      </c>
      <c r="N272" s="4">
        <f>+N130</f>
        <v>28.053548387096775</v>
      </c>
      <c r="R272" s="4">
        <f>+R123</f>
        <v>14134235</v>
      </c>
      <c r="T272" s="4">
        <f>+T123</f>
        <v>14775898</v>
      </c>
      <c r="Z272" s="4">
        <f>+Z123</f>
        <v>17139076</v>
      </c>
      <c r="AA272" s="4">
        <f>+AA123</f>
        <v>18579836</v>
      </c>
    </row>
    <row r="273" spans="3:27" ht="12.75">
      <c r="C273" s="6" t="s">
        <v>219</v>
      </c>
      <c r="E273" s="4">
        <f>-E269</f>
        <v>0</v>
      </c>
      <c r="F273" s="4"/>
      <c r="G273" s="4">
        <f>-G269</f>
        <v>0</v>
      </c>
      <c r="H273" s="4"/>
      <c r="I273" s="4">
        <f>-I269</f>
        <v>0</v>
      </c>
      <c r="J273" s="4">
        <f>-J269</f>
        <v>0</v>
      </c>
      <c r="K273" s="5"/>
      <c r="L273" s="4">
        <f>-L269</f>
        <v>0</v>
      </c>
      <c r="N273" s="4">
        <f>-N269</f>
        <v>0</v>
      </c>
      <c r="R273" s="4">
        <f>-R269</f>
        <v>0</v>
      </c>
      <c r="T273" s="4">
        <f>-T269</f>
        <v>0</v>
      </c>
      <c r="Z273" s="4">
        <f>-Z269</f>
        <v>0</v>
      </c>
      <c r="AA273" s="4">
        <f>-AA269</f>
        <v>0</v>
      </c>
    </row>
    <row r="274" spans="3:27" ht="15">
      <c r="C274" s="6" t="s">
        <v>222</v>
      </c>
      <c r="E274" s="113">
        <v>712000</v>
      </c>
      <c r="F274" s="113"/>
      <c r="G274" s="113">
        <v>712000</v>
      </c>
      <c r="H274" s="113"/>
      <c r="I274" s="113">
        <v>712000</v>
      </c>
      <c r="J274" s="113">
        <v>712000</v>
      </c>
      <c r="K274" s="112"/>
      <c r="L274" s="113">
        <v>712000</v>
      </c>
      <c r="M274" s="112"/>
      <c r="N274" s="113">
        <v>701000</v>
      </c>
      <c r="O274" s="112"/>
      <c r="P274" s="112"/>
      <c r="Q274" s="112"/>
      <c r="R274" s="113">
        <v>712000</v>
      </c>
      <c r="S274" s="113"/>
      <c r="T274" s="113">
        <v>708750</v>
      </c>
      <c r="U274" s="113"/>
      <c r="V274" s="113"/>
      <c r="W274" s="113"/>
      <c r="X274" s="113"/>
      <c r="Y274" s="113"/>
      <c r="Z274" s="113">
        <v>825330</v>
      </c>
      <c r="AA274" s="113">
        <v>825330</v>
      </c>
    </row>
    <row r="275" spans="3:27" ht="12.75">
      <c r="C275" s="6" t="s">
        <v>223</v>
      </c>
      <c r="E275" s="4">
        <f>SUM(E272:E274)</f>
        <v>13587413</v>
      </c>
      <c r="F275" s="4"/>
      <c r="G275" s="4">
        <f>SUM(G272:G274)</f>
        <v>12863669</v>
      </c>
      <c r="H275" s="4"/>
      <c r="I275" s="4">
        <f>SUM(I272:I274)</f>
        <v>712000</v>
      </c>
      <c r="J275" s="4">
        <f>SUM(J272:J274)</f>
        <v>13627864</v>
      </c>
      <c r="K275" s="5"/>
      <c r="L275" s="4">
        <f>SUM(L272:L274)</f>
        <v>13616076</v>
      </c>
      <c r="N275" s="4">
        <f>SUM(N272:N274)</f>
        <v>701028.0535483871</v>
      </c>
      <c r="R275" s="4">
        <f>SUM(R272:R274)</f>
        <v>14846235</v>
      </c>
      <c r="T275" s="4">
        <f>SUM(T272:T274)</f>
        <v>15484648</v>
      </c>
      <c r="Z275" s="4">
        <f>SUM(Z272:Z274)</f>
        <v>17964406</v>
      </c>
      <c r="AA275" s="4">
        <f>SUM(AA272:AA274)</f>
        <v>19405166</v>
      </c>
    </row>
    <row r="276" spans="10:18" ht="12.75">
      <c r="J276" s="4"/>
      <c r="L276" s="4"/>
      <c r="R276" s="4"/>
    </row>
    <row r="277" spans="10:20" ht="12.75">
      <c r="J277" s="4"/>
      <c r="K277" s="4"/>
      <c r="L277" s="4"/>
      <c r="R277" s="4">
        <f>+'[1]TAX RATE'!C15</f>
        <v>15488214.329999998</v>
      </c>
      <c r="T277" s="4" t="e">
        <f>+T275-#REF!</f>
        <v>#REF!</v>
      </c>
    </row>
    <row r="278" spans="10:18" ht="12.75">
      <c r="J278" s="4"/>
      <c r="L278" s="4"/>
      <c r="R278" s="4">
        <f>+R277-R275</f>
        <v>641979.3299999982</v>
      </c>
    </row>
    <row r="279" spans="10:18" ht="12.75">
      <c r="J279" s="4"/>
      <c r="L279" s="4"/>
      <c r="R279" s="4"/>
    </row>
    <row r="280" spans="10:18" ht="12.75">
      <c r="J280" s="4"/>
      <c r="L280" s="4"/>
      <c r="R280" s="4"/>
    </row>
    <row r="281" spans="12:18" ht="12.75">
      <c r="L281" s="4"/>
      <c r="R281" s="4"/>
    </row>
    <row r="282" ht="12.75">
      <c r="L282" s="4"/>
    </row>
    <row r="283" ht="12.75">
      <c r="T283" s="4">
        <f>+T282+T281</f>
        <v>0</v>
      </c>
    </row>
  </sheetData>
  <sheetProtection/>
  <mergeCells count="10">
    <mergeCell ref="A192:N192"/>
    <mergeCell ref="A202:N202"/>
    <mergeCell ref="A204:E204"/>
    <mergeCell ref="A220:N220"/>
    <mergeCell ref="A1:K1"/>
    <mergeCell ref="A8:N8"/>
    <mergeCell ref="A62:N62"/>
    <mergeCell ref="A114:N114"/>
    <mergeCell ref="A151:N151"/>
    <mergeCell ref="A181:N181"/>
  </mergeCells>
  <printOptions gridLines="1" horizontalCentered="1"/>
  <pageMargins left="0.75" right="0.16" top="0.51" bottom="0.16" header="0.17" footer="0.17"/>
  <pageSetup fitToHeight="21" horizontalDpi="600" verticalDpi="600" orientation="landscape" scale="80" r:id="rId1"/>
  <headerFooter alignWithMargins="0">
    <oddHeader>&amp;C&amp;"Arial,Bold"&amp;12Town of Merrimack
 Revenue Budget Detail</oddHeader>
  </headerFooter>
  <rowBreaks count="5" manualBreakCount="5">
    <brk id="58" max="28" man="1"/>
    <brk id="110" max="28" man="1"/>
    <brk id="150" max="28" man="1"/>
    <brk id="201" max="28" man="1"/>
    <brk id="24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Boland</dc:creator>
  <cp:keywords/>
  <dc:description/>
  <cp:lastModifiedBy>Thomas Boland</cp:lastModifiedBy>
  <dcterms:created xsi:type="dcterms:W3CDTF">2021-04-29T16:57:20Z</dcterms:created>
  <dcterms:modified xsi:type="dcterms:W3CDTF">2021-04-29T16:59:10Z</dcterms:modified>
  <cp:category/>
  <cp:version/>
  <cp:contentType/>
  <cp:contentStatus/>
</cp:coreProperties>
</file>